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879D3E3-69A5-43B4-BA90-ABDFE8BAFEFD}" xr6:coauthVersionLast="47" xr6:coauthVersionMax="47" xr10:uidLastSave="{00000000-0000-0000-0000-000000000000}"/>
  <bookViews>
    <workbookView xWindow="3096" yWindow="1524" windowWidth="25356" windowHeight="15156" xr2:uid="{028C11DB-0843-4C45-8C99-B7437B0B78DC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969" i="1" l="1" a="1"/>
  <c r="AE969" i="1" s="1"/>
  <c r="U969" i="1" a="1"/>
  <c r="U969" i="1" s="1"/>
  <c r="K969" i="1" a="1"/>
  <c r="K969" i="1" s="1"/>
  <c r="Q969" i="1"/>
  <c r="R969" i="1"/>
  <c r="S969" i="1"/>
  <c r="T969" i="1"/>
  <c r="A969" i="1" a="1"/>
  <c r="A969" i="1" s="1"/>
  <c r="G969" i="1"/>
  <c r="H969" i="1"/>
  <c r="I969" i="1"/>
  <c r="AE968" i="1" a="1"/>
  <c r="AE968" i="1" s="1"/>
  <c r="U968" i="1" a="1"/>
  <c r="U968" i="1" s="1"/>
  <c r="X968" i="1"/>
  <c r="AA968" i="1"/>
  <c r="AB968" i="1"/>
  <c r="AC968" i="1"/>
  <c r="AD968" i="1"/>
  <c r="K968" i="1" a="1"/>
  <c r="K968" i="1" s="1"/>
  <c r="A968" i="1" a="1"/>
  <c r="A968" i="1" s="1"/>
  <c r="G968" i="1"/>
  <c r="I968" i="1"/>
  <c r="J968" i="1"/>
  <c r="AE967" i="1" a="1"/>
  <c r="AE967" i="1" s="1"/>
  <c r="U967" i="1" a="1"/>
  <c r="U967" i="1" s="1"/>
  <c r="Y967" i="1"/>
  <c r="K967" i="1" a="1"/>
  <c r="K967" i="1" s="1"/>
  <c r="N967" i="1"/>
  <c r="Q967" i="1"/>
  <c r="R967" i="1"/>
  <c r="S967" i="1"/>
  <c r="T967" i="1"/>
  <c r="A967" i="1" a="1"/>
  <c r="A967" i="1" s="1"/>
  <c r="D967" i="1"/>
  <c r="F967" i="1"/>
  <c r="G967" i="1"/>
  <c r="H967" i="1"/>
  <c r="I967" i="1"/>
  <c r="AE966" i="1" a="1"/>
  <c r="AE966" i="1" s="1"/>
  <c r="U966" i="1" a="1"/>
  <c r="U966" i="1" s="1"/>
  <c r="K966" i="1" a="1"/>
  <c r="K966" i="1" s="1"/>
  <c r="A966" i="1" a="1"/>
  <c r="A966" i="1" s="1"/>
  <c r="G966" i="1"/>
  <c r="I966" i="1"/>
  <c r="J966" i="1"/>
  <c r="AE965" i="1" a="1"/>
  <c r="AE965" i="1" s="1"/>
  <c r="U965" i="1" a="1"/>
  <c r="U965" i="1" s="1"/>
  <c r="AA965" i="1"/>
  <c r="K965" i="1" a="1"/>
  <c r="K965" i="1" s="1"/>
  <c r="A965" i="1" a="1"/>
  <c r="A965" i="1" s="1"/>
  <c r="H965" i="1"/>
  <c r="I965" i="1"/>
  <c r="J965" i="1"/>
  <c r="AE964" i="1" a="1"/>
  <c r="AE964" i="1" s="1"/>
  <c r="AH964" i="1"/>
  <c r="U964" i="1" a="1"/>
  <c r="U964" i="1" s="1"/>
  <c r="X964" i="1"/>
  <c r="K964" i="1" a="1"/>
  <c r="K964" i="1" s="1"/>
  <c r="Q964" i="1"/>
  <c r="S964" i="1"/>
  <c r="T964" i="1"/>
  <c r="A964" i="1" a="1"/>
  <c r="A964" i="1" s="1"/>
  <c r="I964" i="1"/>
  <c r="AE963" i="1" a="1"/>
  <c r="AE963" i="1" s="1"/>
  <c r="AG963" i="1"/>
  <c r="AH963" i="1"/>
  <c r="U963" i="1" a="1"/>
  <c r="U963" i="1" s="1"/>
  <c r="Y963" i="1"/>
  <c r="Z963" i="1"/>
  <c r="K963" i="1" a="1"/>
  <c r="K963" i="1" s="1"/>
  <c r="A963" i="1" a="1"/>
  <c r="A963" i="1" s="1"/>
  <c r="G963" i="1"/>
  <c r="H963" i="1"/>
  <c r="I963" i="1"/>
  <c r="J963" i="1"/>
  <c r="AE962" i="1" a="1"/>
  <c r="AE962" i="1" s="1"/>
  <c r="AG962" i="1"/>
  <c r="AH962" i="1"/>
  <c r="U962" i="1" a="1"/>
  <c r="U962" i="1" s="1"/>
  <c r="K962" i="1" a="1"/>
  <c r="K962" i="1" s="1"/>
  <c r="P962" i="1"/>
  <c r="S962" i="1"/>
  <c r="T962" i="1"/>
  <c r="A962" i="1" a="1"/>
  <c r="A962" i="1" s="1"/>
  <c r="F962" i="1"/>
  <c r="G962" i="1"/>
  <c r="H962" i="1"/>
  <c r="I962" i="1"/>
  <c r="J962" i="1"/>
  <c r="AE961" i="1" a="1"/>
  <c r="AE961" i="1" s="1"/>
  <c r="U961" i="1" a="1"/>
  <c r="U961" i="1" s="1"/>
  <c r="Y961" i="1"/>
  <c r="K961" i="1" a="1"/>
  <c r="K961" i="1" s="1"/>
  <c r="O961" i="1"/>
  <c r="Q961" i="1"/>
  <c r="S961" i="1"/>
  <c r="T961" i="1"/>
  <c r="A961" i="1" a="1"/>
  <c r="A961" i="1" s="1"/>
  <c r="AE960" i="1" a="1"/>
  <c r="AE960" i="1" s="1"/>
  <c r="U960" i="1" a="1"/>
  <c r="U960" i="1" s="1"/>
  <c r="K960" i="1" a="1"/>
  <c r="K960" i="1" s="1"/>
  <c r="R960" i="1"/>
  <c r="A960" i="1" a="1"/>
  <c r="A960" i="1" s="1"/>
  <c r="H960" i="1"/>
  <c r="AE959" i="1" a="1"/>
  <c r="AE959" i="1" s="1"/>
  <c r="AH959" i="1"/>
  <c r="U959" i="1" a="1"/>
  <c r="U959" i="1" s="1"/>
  <c r="AB959" i="1"/>
  <c r="K959" i="1" a="1"/>
  <c r="K959" i="1" s="1"/>
  <c r="R959" i="1"/>
  <c r="A959" i="1" a="1"/>
  <c r="A959" i="1" s="1"/>
  <c r="J959" i="1"/>
  <c r="AE958" i="1" a="1"/>
  <c r="AE958" i="1" s="1"/>
  <c r="U958" i="1" a="1"/>
  <c r="U958" i="1" s="1"/>
  <c r="X958" i="1"/>
  <c r="Y958" i="1"/>
  <c r="Z958" i="1"/>
  <c r="AA958" i="1"/>
  <c r="AB958" i="1"/>
  <c r="AC958" i="1"/>
  <c r="AD958" i="1"/>
  <c r="K958" i="1" a="1"/>
  <c r="K958" i="1" s="1"/>
  <c r="A958" i="1" a="1"/>
  <c r="A958" i="1" s="1"/>
  <c r="AE957" i="1" a="1"/>
  <c r="AE957" i="1" s="1"/>
  <c r="AH957" i="1"/>
  <c r="U957" i="1" a="1"/>
  <c r="U957" i="1" s="1"/>
  <c r="AB957" i="1"/>
  <c r="AD957" i="1"/>
  <c r="K957" i="1" a="1"/>
  <c r="K957" i="1" s="1"/>
  <c r="Q957" i="1"/>
  <c r="R957" i="1"/>
  <c r="S957" i="1"/>
  <c r="A957" i="1" a="1"/>
  <c r="A957" i="1" s="1"/>
  <c r="J957" i="1"/>
  <c r="AE956" i="1" a="1"/>
  <c r="AE956" i="1" s="1"/>
  <c r="U956" i="1" a="1"/>
  <c r="U956" i="1" s="1"/>
  <c r="K956" i="1" a="1"/>
  <c r="K956" i="1" s="1"/>
  <c r="P956" i="1"/>
  <c r="R956" i="1"/>
  <c r="S956" i="1"/>
  <c r="T956" i="1"/>
  <c r="A956" i="1" a="1"/>
  <c r="A956" i="1" s="1"/>
  <c r="G956" i="1"/>
  <c r="AE955" i="1" a="1"/>
  <c r="AE955" i="1" s="1"/>
  <c r="AH955" i="1"/>
  <c r="U955" i="1" a="1"/>
  <c r="U955" i="1" s="1"/>
  <c r="X955" i="1"/>
  <c r="Y955" i="1"/>
  <c r="AB955" i="1"/>
  <c r="AC955" i="1"/>
  <c r="AD955" i="1"/>
  <c r="K955" i="1" a="1"/>
  <c r="K955" i="1" s="1"/>
  <c r="O955" i="1"/>
  <c r="P955" i="1"/>
  <c r="Q955" i="1"/>
  <c r="R955" i="1"/>
  <c r="S955" i="1"/>
  <c r="T955" i="1"/>
  <c r="A955" i="1" a="1"/>
  <c r="A955" i="1" s="1"/>
  <c r="AE954" i="1" a="1"/>
  <c r="AE954" i="1" s="1"/>
  <c r="U954" i="1" a="1"/>
  <c r="U954" i="1" s="1"/>
  <c r="K954" i="1" a="1"/>
  <c r="K954" i="1" s="1"/>
  <c r="O954" i="1"/>
  <c r="Q954" i="1"/>
  <c r="R954" i="1"/>
  <c r="S954" i="1"/>
  <c r="T954" i="1"/>
  <c r="A954" i="1" a="1"/>
  <c r="A954" i="1" s="1"/>
  <c r="AE953" i="1" a="1"/>
  <c r="AE953" i="1" s="1"/>
  <c r="AH953" i="1"/>
  <c r="U953" i="1" a="1"/>
  <c r="U953" i="1" s="1"/>
  <c r="Y953" i="1"/>
  <c r="Z953" i="1"/>
  <c r="AC953" i="1"/>
  <c r="AD953" i="1"/>
  <c r="K953" i="1" a="1"/>
  <c r="K953" i="1" s="1"/>
  <c r="Q953" i="1"/>
  <c r="R953" i="1"/>
  <c r="T953" i="1"/>
  <c r="A953" i="1" a="1"/>
  <c r="A953" i="1" s="1"/>
  <c r="E953" i="1"/>
  <c r="F953" i="1"/>
  <c r="G953" i="1"/>
  <c r="AE952" i="1" a="1"/>
  <c r="AE952" i="1" s="1"/>
  <c r="AH952" i="1"/>
  <c r="U952" i="1" a="1"/>
  <c r="U952" i="1" s="1"/>
  <c r="Z952" i="1"/>
  <c r="AA952" i="1"/>
  <c r="K952" i="1" a="1"/>
  <c r="K952" i="1" s="1"/>
  <c r="A952" i="1" a="1"/>
  <c r="A952" i="1" s="1"/>
  <c r="I952" i="1"/>
  <c r="AE951" i="1" a="1"/>
  <c r="AE951" i="1" s="1"/>
  <c r="U951" i="1" a="1"/>
  <c r="U951" i="1" s="1"/>
  <c r="K951" i="1" a="1"/>
  <c r="K951" i="1" s="1"/>
  <c r="P951" i="1"/>
  <c r="Q951" i="1"/>
  <c r="T951" i="1"/>
  <c r="A951" i="1" a="1"/>
  <c r="A951" i="1" s="1"/>
  <c r="G951" i="1"/>
  <c r="H951" i="1"/>
  <c r="J951" i="1"/>
  <c r="AE950" i="1" a="1"/>
  <c r="AE950" i="1" s="1"/>
  <c r="U950" i="1" a="1"/>
  <c r="U950" i="1" s="1"/>
  <c r="K950" i="1" a="1"/>
  <c r="K950" i="1" s="1"/>
  <c r="O950" i="1"/>
  <c r="T950" i="1"/>
  <c r="A950" i="1" a="1"/>
  <c r="A950" i="1" s="1"/>
  <c r="I950" i="1"/>
  <c r="J950" i="1"/>
  <c r="AE949" i="1" a="1"/>
  <c r="AE949" i="1" s="1"/>
  <c r="AG949" i="1"/>
  <c r="AH949" i="1"/>
  <c r="U949" i="1" a="1"/>
  <c r="U949" i="1" s="1"/>
  <c r="K949" i="1" a="1"/>
  <c r="K949" i="1" s="1"/>
  <c r="A949" i="1" a="1"/>
  <c r="A949" i="1" s="1"/>
  <c r="I949" i="1"/>
  <c r="AE948" i="1" a="1"/>
  <c r="AE948" i="1" s="1"/>
  <c r="AH948" i="1"/>
  <c r="U948" i="1" a="1"/>
  <c r="U948" i="1" s="1"/>
  <c r="Y948" i="1"/>
  <c r="K948" i="1" a="1"/>
  <c r="K948" i="1" s="1"/>
  <c r="A948" i="1" a="1"/>
  <c r="A948" i="1" s="1"/>
  <c r="J948" i="1"/>
  <c r="AE947" i="1" a="1"/>
  <c r="AE947" i="1" s="1"/>
  <c r="AG947" i="1"/>
  <c r="AH947" i="1"/>
  <c r="U947" i="1" a="1"/>
  <c r="U947" i="1" s="1"/>
  <c r="K947" i="1" a="1"/>
  <c r="K947" i="1" s="1"/>
  <c r="A947" i="1" a="1"/>
  <c r="A947" i="1" s="1"/>
  <c r="H947" i="1"/>
  <c r="J947" i="1"/>
  <c r="AE946" i="1" a="1"/>
  <c r="AE946" i="1" s="1"/>
  <c r="AH946" i="1"/>
  <c r="U946" i="1" a="1"/>
  <c r="U946" i="1" s="1"/>
  <c r="Y946" i="1"/>
  <c r="K946" i="1" a="1"/>
  <c r="K946" i="1" s="1"/>
  <c r="T946" i="1"/>
  <c r="A946" i="1" a="1"/>
  <c r="A946" i="1" s="1"/>
  <c r="I946" i="1"/>
  <c r="J946" i="1"/>
  <c r="AE945" i="1" a="1"/>
  <c r="AE945" i="1" s="1"/>
  <c r="AH945" i="1"/>
  <c r="U945" i="1" a="1"/>
  <c r="U945" i="1" s="1"/>
  <c r="X945" i="1"/>
  <c r="Y945" i="1"/>
  <c r="Z945" i="1"/>
  <c r="K945" i="1" a="1"/>
  <c r="K945" i="1" s="1"/>
  <c r="P945" i="1"/>
  <c r="A945" i="1" a="1"/>
  <c r="A945" i="1" s="1"/>
  <c r="E945" i="1"/>
  <c r="F945" i="1"/>
  <c r="I945" i="1"/>
  <c r="J945" i="1"/>
  <c r="AE944" i="1" a="1"/>
  <c r="AE944" i="1" s="1"/>
  <c r="AH944" i="1"/>
  <c r="U944" i="1" a="1"/>
  <c r="U944" i="1" s="1"/>
  <c r="X944" i="1"/>
  <c r="Y944" i="1"/>
  <c r="Z944" i="1"/>
  <c r="K944" i="1" a="1"/>
  <c r="K944" i="1" s="1"/>
  <c r="A944" i="1" a="1"/>
  <c r="A944" i="1" s="1"/>
  <c r="C944" i="1"/>
  <c r="D944" i="1"/>
  <c r="G944" i="1"/>
  <c r="H944" i="1"/>
  <c r="I944" i="1"/>
  <c r="J944" i="1"/>
  <c r="AE943" i="1" a="1"/>
  <c r="AE943" i="1" s="1"/>
  <c r="U943" i="1" a="1"/>
  <c r="U943" i="1" s="1"/>
  <c r="K943" i="1" a="1"/>
  <c r="K943" i="1" s="1"/>
  <c r="S943" i="1"/>
  <c r="A943" i="1" a="1"/>
  <c r="A943" i="1" s="1"/>
  <c r="H943" i="1"/>
  <c r="I943" i="1"/>
  <c r="J943" i="1"/>
  <c r="AE942" i="1" a="1"/>
  <c r="AE942" i="1" s="1"/>
  <c r="AH942" i="1"/>
  <c r="U942" i="1" a="1"/>
  <c r="U942" i="1" s="1"/>
  <c r="K942" i="1" a="1"/>
  <c r="K942" i="1" s="1"/>
  <c r="O942" i="1"/>
  <c r="P942" i="1"/>
  <c r="S942" i="1"/>
  <c r="T942" i="1"/>
  <c r="A942" i="1" a="1"/>
  <c r="A942" i="1" s="1"/>
  <c r="J942" i="1"/>
  <c r="AE941" i="1" a="1"/>
  <c r="AE941" i="1" s="1"/>
  <c r="AH941" i="1"/>
  <c r="U941" i="1" a="1"/>
  <c r="U941" i="1" s="1"/>
  <c r="X941" i="1"/>
  <c r="Y941" i="1"/>
  <c r="Z941" i="1"/>
  <c r="K941" i="1" a="1"/>
  <c r="K941" i="1" s="1"/>
  <c r="A941" i="1" a="1"/>
  <c r="A941" i="1" s="1"/>
  <c r="E941" i="1"/>
  <c r="F941" i="1"/>
  <c r="I941" i="1"/>
  <c r="J941" i="1"/>
  <c r="AE940" i="1" a="1"/>
  <c r="AE940" i="1" s="1"/>
  <c r="AH940" i="1"/>
  <c r="U940" i="1" a="1"/>
  <c r="U940" i="1" s="1"/>
  <c r="Y940" i="1"/>
  <c r="Z940" i="1"/>
  <c r="AA940" i="1"/>
  <c r="K940" i="1" a="1"/>
  <c r="K940" i="1" s="1"/>
  <c r="N940" i="1"/>
  <c r="O940" i="1"/>
  <c r="P940" i="1"/>
  <c r="Q940" i="1"/>
  <c r="R940" i="1"/>
  <c r="A940" i="1" a="1"/>
  <c r="A940" i="1" s="1"/>
  <c r="AE939" i="1" a="1"/>
  <c r="AE939" i="1" s="1"/>
  <c r="AH939" i="1"/>
  <c r="U939" i="1" a="1"/>
  <c r="U939" i="1" s="1"/>
  <c r="Y939" i="1"/>
  <c r="Z939" i="1"/>
  <c r="AA939" i="1"/>
  <c r="AB939" i="1"/>
  <c r="AC939" i="1"/>
  <c r="AD939" i="1"/>
  <c r="K939" i="1" a="1"/>
  <c r="K939" i="1" s="1"/>
  <c r="A939" i="1" a="1"/>
  <c r="A939" i="1" s="1"/>
  <c r="AE938" i="1" a="1"/>
  <c r="AE938" i="1" s="1"/>
  <c r="U938" i="1" a="1"/>
  <c r="U938" i="1" s="1"/>
  <c r="W938" i="1"/>
  <c r="X938" i="1"/>
  <c r="AB938" i="1"/>
  <c r="AC938" i="1"/>
  <c r="AD938" i="1"/>
  <c r="K938" i="1" a="1"/>
  <c r="K938" i="1" s="1"/>
  <c r="O938" i="1"/>
  <c r="P938" i="1"/>
  <c r="Q938" i="1"/>
  <c r="A938" i="1" a="1"/>
  <c r="A938" i="1" s="1"/>
  <c r="G938" i="1"/>
  <c r="H938" i="1"/>
  <c r="J938" i="1"/>
  <c r="AE937" i="1" a="1"/>
  <c r="AE937" i="1" s="1"/>
  <c r="U937" i="1" a="1"/>
  <c r="U937" i="1" s="1"/>
  <c r="Z937" i="1"/>
  <c r="AA937" i="1"/>
  <c r="AB937" i="1"/>
  <c r="AC937" i="1"/>
  <c r="K937" i="1" a="1"/>
  <c r="K937" i="1" s="1"/>
  <c r="O937" i="1"/>
  <c r="P937" i="1"/>
  <c r="Q937" i="1"/>
  <c r="R937" i="1"/>
  <c r="S937" i="1"/>
  <c r="T937" i="1"/>
  <c r="A937" i="1" a="1"/>
  <c r="A937" i="1" s="1"/>
  <c r="AE936" i="1" a="1"/>
  <c r="AE936" i="1" s="1"/>
  <c r="U936" i="1" a="1"/>
  <c r="U936" i="1" s="1"/>
  <c r="AC936" i="1"/>
  <c r="AD936" i="1"/>
  <c r="K936" i="1" a="1"/>
  <c r="K936" i="1" s="1"/>
  <c r="A936" i="1" a="1"/>
  <c r="A936" i="1" s="1"/>
  <c r="G936" i="1"/>
  <c r="H936" i="1"/>
  <c r="I936" i="1"/>
  <c r="AE935" i="1" a="1"/>
  <c r="AE935" i="1" s="1"/>
  <c r="U935" i="1" a="1"/>
  <c r="U935" i="1" s="1"/>
  <c r="AA935" i="1"/>
  <c r="AC935" i="1"/>
  <c r="AD935" i="1"/>
  <c r="K935" i="1" a="1"/>
  <c r="K935" i="1" s="1"/>
  <c r="A935" i="1" a="1"/>
  <c r="A935" i="1" s="1"/>
  <c r="F935" i="1"/>
  <c r="G935" i="1"/>
  <c r="I935" i="1"/>
  <c r="J935" i="1"/>
  <c r="AE934" i="1" a="1"/>
  <c r="AE934" i="1" s="1"/>
  <c r="U934" i="1" a="1"/>
  <c r="U934" i="1" s="1"/>
  <c r="X934" i="1"/>
  <c r="Y934" i="1"/>
  <c r="AB934" i="1"/>
  <c r="AC934" i="1"/>
  <c r="K934" i="1" a="1"/>
  <c r="K934" i="1" s="1"/>
  <c r="O934" i="1"/>
  <c r="P934" i="1"/>
  <c r="Q934" i="1"/>
  <c r="R934" i="1"/>
  <c r="A934" i="1" a="1"/>
  <c r="A934" i="1" s="1"/>
  <c r="G934" i="1"/>
  <c r="H934" i="1"/>
  <c r="J934" i="1"/>
  <c r="AE933" i="1" a="1"/>
  <c r="AE933" i="1" s="1"/>
  <c r="U933" i="1" a="1"/>
  <c r="U933" i="1" s="1"/>
  <c r="Y933" i="1"/>
  <c r="Z933" i="1"/>
  <c r="AA933" i="1"/>
  <c r="AD933" i="1"/>
  <c r="K933" i="1" a="1"/>
  <c r="K933" i="1" s="1"/>
  <c r="R933" i="1"/>
  <c r="A933" i="1" a="1"/>
  <c r="A933" i="1" s="1"/>
  <c r="I933" i="1"/>
  <c r="J933" i="1"/>
  <c r="AE932" i="1" a="1"/>
  <c r="AE932" i="1" s="1"/>
  <c r="AH932" i="1"/>
  <c r="U932" i="1" a="1"/>
  <c r="U932" i="1" s="1"/>
  <c r="K932" i="1" a="1"/>
  <c r="K932" i="1" s="1"/>
  <c r="O932" i="1"/>
  <c r="Q932" i="1"/>
  <c r="R932" i="1"/>
  <c r="S932" i="1"/>
  <c r="T932" i="1"/>
  <c r="A932" i="1" a="1"/>
  <c r="A932" i="1" s="1"/>
  <c r="AE931" i="1" a="1"/>
  <c r="AE931" i="1" s="1"/>
  <c r="AG931" i="1"/>
  <c r="AH931" i="1"/>
  <c r="U931" i="1" a="1"/>
  <c r="U931" i="1" s="1"/>
  <c r="X931" i="1"/>
  <c r="Y931" i="1"/>
  <c r="Z931" i="1"/>
  <c r="AC931" i="1"/>
  <c r="AD931" i="1"/>
  <c r="K931" i="1" a="1"/>
  <c r="K931" i="1" s="1"/>
  <c r="Q931" i="1"/>
  <c r="R931" i="1"/>
  <c r="A931" i="1" a="1"/>
  <c r="A931" i="1" s="1"/>
  <c r="H931" i="1"/>
  <c r="I931" i="1"/>
  <c r="J931" i="1"/>
  <c r="AE930" i="1" a="1"/>
  <c r="AE930" i="1" s="1"/>
  <c r="U930" i="1" a="1"/>
  <c r="U930" i="1" s="1"/>
  <c r="X930" i="1"/>
  <c r="Z930" i="1"/>
  <c r="AA930" i="1"/>
  <c r="AB930" i="1"/>
  <c r="AC930" i="1"/>
  <c r="AD930" i="1"/>
  <c r="K930" i="1" a="1"/>
  <c r="K930" i="1" s="1"/>
  <c r="T930" i="1"/>
  <c r="A930" i="1" a="1"/>
  <c r="A930" i="1" s="1"/>
  <c r="AE929" i="1" a="1"/>
  <c r="AE929" i="1" s="1"/>
  <c r="U929" i="1" a="1"/>
  <c r="U929" i="1" s="1"/>
  <c r="K929" i="1" a="1"/>
  <c r="K929" i="1" s="1"/>
  <c r="O929" i="1"/>
  <c r="P929" i="1"/>
  <c r="Q929" i="1"/>
  <c r="R929" i="1"/>
  <c r="S929" i="1"/>
  <c r="T929" i="1"/>
  <c r="A929" i="1" a="1"/>
  <c r="A929" i="1" s="1"/>
  <c r="AE928" i="1" a="1"/>
  <c r="AE928" i="1" s="1"/>
  <c r="U928" i="1" a="1"/>
  <c r="U928" i="1" s="1"/>
  <c r="Z928" i="1"/>
  <c r="K928" i="1" a="1"/>
  <c r="K928" i="1" s="1"/>
  <c r="Q928" i="1"/>
  <c r="R928" i="1"/>
  <c r="S928" i="1"/>
  <c r="T928" i="1"/>
  <c r="A928" i="1" a="1"/>
  <c r="A928" i="1" s="1"/>
  <c r="H928" i="1"/>
  <c r="I928" i="1"/>
  <c r="AE927" i="1" a="1"/>
  <c r="AE927" i="1" s="1"/>
  <c r="AH927" i="1"/>
  <c r="U927" i="1" a="1"/>
  <c r="U927" i="1" s="1"/>
  <c r="Z927" i="1"/>
  <c r="AA927" i="1"/>
  <c r="AB927" i="1"/>
  <c r="AC927" i="1"/>
  <c r="AD927" i="1"/>
  <c r="K927" i="1" a="1"/>
  <c r="K927" i="1" s="1"/>
  <c r="R927" i="1"/>
  <c r="T927" i="1"/>
  <c r="A927" i="1" a="1"/>
  <c r="A927" i="1" s="1"/>
  <c r="B927" i="1"/>
  <c r="H927" i="1"/>
  <c r="I927" i="1"/>
  <c r="AE926" i="1" a="1"/>
  <c r="AE926" i="1" s="1"/>
  <c r="U926" i="1" a="1"/>
  <c r="U926" i="1" s="1"/>
  <c r="Y926" i="1"/>
  <c r="Z926" i="1"/>
  <c r="AA926" i="1"/>
  <c r="AB926" i="1"/>
  <c r="AC926" i="1"/>
  <c r="AD926" i="1"/>
  <c r="K926" i="1" a="1"/>
  <c r="K926" i="1" s="1"/>
  <c r="S926" i="1"/>
  <c r="T926" i="1"/>
  <c r="A926" i="1" a="1"/>
  <c r="A926" i="1" s="1"/>
  <c r="F926" i="1"/>
  <c r="G926" i="1"/>
  <c r="AE925" i="1" a="1"/>
  <c r="AE925" i="1" s="1"/>
  <c r="U925" i="1" a="1"/>
  <c r="U925" i="1" s="1"/>
  <c r="Y925" i="1"/>
  <c r="Z925" i="1"/>
  <c r="AA925" i="1"/>
  <c r="AB925" i="1"/>
  <c r="AC925" i="1"/>
  <c r="AD925" i="1"/>
  <c r="K925" i="1" a="1"/>
  <c r="K925" i="1" s="1"/>
  <c r="R925" i="1"/>
  <c r="S925" i="1"/>
  <c r="T925" i="1"/>
  <c r="A925" i="1" a="1"/>
  <c r="A925" i="1" s="1"/>
  <c r="E925" i="1"/>
  <c r="F925" i="1"/>
  <c r="G925" i="1"/>
  <c r="AE924" i="1" a="1"/>
  <c r="AE924" i="1" s="1"/>
  <c r="U924" i="1" a="1"/>
  <c r="U924" i="1" s="1"/>
  <c r="X924" i="1"/>
  <c r="Y924" i="1"/>
  <c r="Z924" i="1"/>
  <c r="AA924" i="1"/>
  <c r="AB924" i="1"/>
  <c r="AC924" i="1"/>
  <c r="AD924" i="1"/>
  <c r="K924" i="1" a="1"/>
  <c r="K924" i="1" s="1"/>
  <c r="O924" i="1"/>
  <c r="P924" i="1"/>
  <c r="Q924" i="1"/>
  <c r="R924" i="1"/>
  <c r="S924" i="1"/>
  <c r="T924" i="1"/>
  <c r="A924" i="1" a="1"/>
  <c r="A924" i="1" s="1"/>
  <c r="H924" i="1"/>
  <c r="I924" i="1"/>
  <c r="AE923" i="1" a="1"/>
  <c r="AE923" i="1" s="1"/>
  <c r="U923" i="1" a="1"/>
  <c r="U923" i="1" s="1"/>
  <c r="Z923" i="1"/>
  <c r="AA923" i="1"/>
  <c r="AB923" i="1"/>
  <c r="AC923" i="1"/>
  <c r="AD923" i="1"/>
  <c r="K923" i="1" a="1"/>
  <c r="K923" i="1" s="1"/>
  <c r="O923" i="1"/>
  <c r="T923" i="1"/>
  <c r="A923" i="1" a="1"/>
  <c r="A923" i="1" s="1"/>
  <c r="F923" i="1"/>
  <c r="H923" i="1"/>
  <c r="I923" i="1"/>
  <c r="AE922" i="1" a="1"/>
  <c r="AE922" i="1" s="1"/>
  <c r="AH922" i="1"/>
  <c r="U922" i="1" a="1"/>
  <c r="U922" i="1" s="1"/>
  <c r="Y922" i="1"/>
  <c r="Z922" i="1"/>
  <c r="AA922" i="1"/>
  <c r="AB922" i="1"/>
  <c r="AC922" i="1"/>
  <c r="AD922" i="1"/>
  <c r="K922" i="1" a="1"/>
  <c r="K922" i="1" s="1"/>
  <c r="S922" i="1"/>
  <c r="T922" i="1"/>
  <c r="A922" i="1" a="1"/>
  <c r="A922" i="1" s="1"/>
  <c r="I922" i="1"/>
  <c r="J922" i="1"/>
  <c r="AE921" i="1" a="1"/>
  <c r="AE921" i="1" s="1"/>
  <c r="U921" i="1" a="1"/>
  <c r="U921" i="1" s="1"/>
  <c r="AA921" i="1"/>
  <c r="AD921" i="1"/>
  <c r="K921" i="1" a="1"/>
  <c r="K921" i="1" s="1"/>
  <c r="S921" i="1"/>
  <c r="A921" i="1" a="1"/>
  <c r="A921" i="1" s="1"/>
  <c r="J921" i="1"/>
  <c r="AE920" i="1" a="1"/>
  <c r="AE920" i="1" s="1"/>
  <c r="AH920" i="1"/>
  <c r="U920" i="1" a="1"/>
  <c r="U920" i="1" s="1"/>
  <c r="K920" i="1" a="1"/>
  <c r="K920" i="1" s="1"/>
  <c r="O920" i="1"/>
  <c r="P920" i="1"/>
  <c r="Q920" i="1"/>
  <c r="R920" i="1"/>
  <c r="S920" i="1"/>
  <c r="T920" i="1"/>
  <c r="A920" i="1" a="1"/>
  <c r="A920" i="1" s="1"/>
  <c r="AE919" i="1" a="1"/>
  <c r="AE919" i="1" s="1"/>
  <c r="U919" i="1" a="1"/>
  <c r="U919" i="1" s="1"/>
  <c r="Y919" i="1"/>
  <c r="Z919" i="1"/>
  <c r="AA919" i="1"/>
  <c r="AB919" i="1"/>
  <c r="AC919" i="1"/>
  <c r="AD919" i="1"/>
  <c r="K919" i="1" a="1"/>
  <c r="K919" i="1" s="1"/>
  <c r="R919" i="1"/>
  <c r="S919" i="1"/>
  <c r="T919" i="1"/>
  <c r="A919" i="1" a="1"/>
  <c r="A919" i="1" s="1"/>
  <c r="G919" i="1"/>
  <c r="H919" i="1"/>
  <c r="AE918" i="1" a="1"/>
  <c r="AE918" i="1" s="1"/>
  <c r="AF918" i="1"/>
  <c r="AH918" i="1"/>
  <c r="U918" i="1" a="1"/>
  <c r="U918" i="1" s="1"/>
  <c r="W918" i="1"/>
  <c r="X918" i="1"/>
  <c r="Y918" i="1"/>
  <c r="Z918" i="1"/>
  <c r="AA918" i="1"/>
  <c r="AB918" i="1"/>
  <c r="AC918" i="1"/>
  <c r="AD918" i="1"/>
  <c r="K918" i="1" a="1"/>
  <c r="K918" i="1" s="1"/>
  <c r="O918" i="1"/>
  <c r="P918" i="1"/>
  <c r="Q918" i="1"/>
  <c r="R918" i="1"/>
  <c r="S918" i="1"/>
  <c r="T918" i="1"/>
  <c r="A918" i="1" a="1"/>
  <c r="A918" i="1" s="1"/>
  <c r="AE917" i="1" a="1"/>
  <c r="AE917" i="1" s="1"/>
  <c r="U917" i="1" a="1"/>
  <c r="U917" i="1" s="1"/>
  <c r="W917" i="1"/>
  <c r="X917" i="1"/>
  <c r="Y917" i="1"/>
  <c r="Z917" i="1"/>
  <c r="AA917" i="1"/>
  <c r="AB917" i="1"/>
  <c r="AC917" i="1"/>
  <c r="AD917" i="1"/>
  <c r="K917" i="1" a="1"/>
  <c r="K917" i="1" s="1"/>
  <c r="O917" i="1"/>
  <c r="T917" i="1"/>
  <c r="A917" i="1" a="1"/>
  <c r="B917" i="1" s="1"/>
  <c r="A917" i="1"/>
  <c r="E917" i="1"/>
  <c r="G917" i="1"/>
  <c r="H917" i="1"/>
  <c r="AE916" i="1" a="1"/>
  <c r="AE916" i="1" s="1"/>
  <c r="AH916" i="1"/>
  <c r="U916" i="1" a="1"/>
  <c r="U916" i="1" s="1"/>
  <c r="AB916" i="1"/>
  <c r="AC916" i="1"/>
  <c r="AD916" i="1"/>
  <c r="K916" i="1" a="1"/>
  <c r="K916" i="1" s="1"/>
  <c r="P916" i="1"/>
  <c r="A916" i="1" a="1"/>
  <c r="A916" i="1" s="1"/>
  <c r="AE915" i="1" a="1"/>
  <c r="AE915" i="1" s="1"/>
  <c r="U915" i="1" a="1"/>
  <c r="U915" i="1" s="1"/>
  <c r="W915" i="1"/>
  <c r="X915" i="1"/>
  <c r="Y915" i="1"/>
  <c r="Z915" i="1"/>
  <c r="AA915" i="1"/>
  <c r="AB915" i="1"/>
  <c r="AC915" i="1"/>
  <c r="AD915" i="1"/>
  <c r="K915" i="1" a="1"/>
  <c r="K915" i="1" s="1"/>
  <c r="R915" i="1"/>
  <c r="S915" i="1"/>
  <c r="T915" i="1"/>
  <c r="A915" i="1" a="1"/>
  <c r="A915" i="1" s="1"/>
  <c r="AE914" i="1" a="1"/>
  <c r="AE914" i="1" s="1"/>
  <c r="U914" i="1" a="1"/>
  <c r="U914" i="1" s="1"/>
  <c r="Z914" i="1"/>
  <c r="AA914" i="1"/>
  <c r="AB914" i="1"/>
  <c r="AC914" i="1"/>
  <c r="AD914" i="1"/>
  <c r="K914" i="1" a="1"/>
  <c r="K914" i="1" s="1"/>
  <c r="Q914" i="1"/>
  <c r="R914" i="1"/>
  <c r="A914" i="1" a="1"/>
  <c r="A914" i="1" s="1"/>
  <c r="AE913" i="1" a="1"/>
  <c r="AE913" i="1" s="1"/>
  <c r="AH913" i="1"/>
  <c r="U913" i="1" a="1"/>
  <c r="U913" i="1" s="1"/>
  <c r="X913" i="1"/>
  <c r="K913" i="1" a="1"/>
  <c r="K913" i="1" s="1"/>
  <c r="P913" i="1"/>
  <c r="Q913" i="1"/>
  <c r="R913" i="1"/>
  <c r="S913" i="1"/>
  <c r="T913" i="1"/>
  <c r="A913" i="1" a="1"/>
  <c r="A913" i="1" s="1"/>
  <c r="D913" i="1"/>
  <c r="AE912" i="1" a="1"/>
  <c r="AE912" i="1" s="1"/>
  <c r="U912" i="1" a="1"/>
  <c r="U912" i="1" s="1"/>
  <c r="K912" i="1" a="1"/>
  <c r="K912" i="1" s="1"/>
  <c r="O912" i="1"/>
  <c r="P912" i="1"/>
  <c r="Q912" i="1"/>
  <c r="S912" i="1"/>
  <c r="T912" i="1"/>
  <c r="A912" i="1" a="1"/>
  <c r="A912" i="1" s="1"/>
  <c r="I912" i="1"/>
  <c r="AE911" i="1" a="1"/>
  <c r="AE911" i="1" s="1"/>
  <c r="AH911" i="1"/>
  <c r="U911" i="1" a="1"/>
  <c r="U911" i="1" s="1"/>
  <c r="X911" i="1"/>
  <c r="AC911" i="1"/>
  <c r="AD911" i="1"/>
  <c r="K911" i="1" a="1"/>
  <c r="K911" i="1" s="1"/>
  <c r="Q911" i="1"/>
  <c r="R911" i="1"/>
  <c r="A911" i="1" a="1"/>
  <c r="A911" i="1" s="1"/>
  <c r="H911" i="1"/>
  <c r="I911" i="1"/>
  <c r="J911" i="1"/>
  <c r="AE910" i="1" a="1"/>
  <c r="AE910" i="1" s="1"/>
  <c r="U910" i="1" a="1"/>
  <c r="U910" i="1" s="1"/>
  <c r="K910" i="1" a="1"/>
  <c r="K910" i="1" s="1"/>
  <c r="Q910" i="1"/>
  <c r="R910" i="1"/>
  <c r="T910" i="1"/>
  <c r="A910" i="1" a="1"/>
  <c r="A910" i="1" s="1"/>
  <c r="AE909" i="1" a="1"/>
  <c r="AE909" i="1" s="1"/>
  <c r="U909" i="1" a="1"/>
  <c r="U909" i="1" s="1"/>
  <c r="X909" i="1"/>
  <c r="Y909" i="1"/>
  <c r="Z909" i="1"/>
  <c r="AA909" i="1"/>
  <c r="AB909" i="1"/>
  <c r="AC909" i="1"/>
  <c r="AD909" i="1"/>
  <c r="K909" i="1" a="1"/>
  <c r="K909" i="1" s="1"/>
  <c r="O909" i="1"/>
  <c r="P909" i="1"/>
  <c r="Q909" i="1"/>
  <c r="R909" i="1"/>
  <c r="S909" i="1"/>
  <c r="T909" i="1"/>
  <c r="A909" i="1" a="1"/>
  <c r="A909" i="1" s="1"/>
  <c r="I909" i="1"/>
  <c r="J909" i="1"/>
  <c r="AE908" i="1" a="1"/>
  <c r="AE908" i="1" s="1"/>
  <c r="U908" i="1" a="1"/>
  <c r="U908" i="1" s="1"/>
  <c r="X908" i="1"/>
  <c r="Z908" i="1"/>
  <c r="AB908" i="1"/>
  <c r="AC908" i="1"/>
  <c r="AD908" i="1"/>
  <c r="K908" i="1" a="1"/>
  <c r="K908" i="1" s="1"/>
  <c r="O908" i="1"/>
  <c r="A908" i="1" a="1"/>
  <c r="A908" i="1" s="1"/>
  <c r="G908" i="1"/>
  <c r="H908" i="1"/>
  <c r="I908" i="1"/>
  <c r="J908" i="1"/>
  <c r="AE907" i="1" a="1"/>
  <c r="AE907" i="1" s="1"/>
  <c r="AG907" i="1"/>
  <c r="AH907" i="1"/>
  <c r="U907" i="1" a="1"/>
  <c r="U907" i="1" s="1"/>
  <c r="K907" i="1" a="1"/>
  <c r="K907" i="1" s="1"/>
  <c r="S907" i="1"/>
  <c r="T907" i="1"/>
  <c r="A907" i="1" a="1"/>
  <c r="A907" i="1" s="1"/>
  <c r="G907" i="1"/>
  <c r="AE906" i="1" a="1"/>
  <c r="AE906" i="1" s="1"/>
  <c r="AH906" i="1"/>
  <c r="U906" i="1" a="1"/>
  <c r="U906" i="1" s="1"/>
  <c r="V906" i="1"/>
  <c r="W906" i="1"/>
  <c r="Y906" i="1"/>
  <c r="Z906" i="1"/>
  <c r="K906" i="1" a="1"/>
  <c r="K906" i="1" s="1"/>
  <c r="Q906" i="1"/>
  <c r="R906" i="1"/>
  <c r="S906" i="1"/>
  <c r="T906" i="1"/>
  <c r="A906" i="1" a="1"/>
  <c r="A906" i="1" s="1"/>
  <c r="AE905" i="1" a="1"/>
  <c r="AE905" i="1" s="1"/>
  <c r="AG905" i="1"/>
  <c r="AH905" i="1"/>
  <c r="U905" i="1" a="1"/>
  <c r="U905" i="1" s="1"/>
  <c r="W905" i="1"/>
  <c r="X905" i="1"/>
  <c r="Y905" i="1"/>
  <c r="K905" i="1" a="1"/>
  <c r="K905" i="1" s="1"/>
  <c r="T905" i="1"/>
  <c r="A905" i="1" a="1"/>
  <c r="A905" i="1" s="1"/>
  <c r="H905" i="1"/>
  <c r="AE904" i="1" a="1"/>
  <c r="AE904" i="1" s="1"/>
  <c r="U904" i="1" a="1"/>
  <c r="U904" i="1" s="1"/>
  <c r="W904" i="1"/>
  <c r="X904" i="1"/>
  <c r="Y904" i="1"/>
  <c r="Z904" i="1"/>
  <c r="AA904" i="1"/>
  <c r="AB904" i="1"/>
  <c r="AC904" i="1"/>
  <c r="AD904" i="1"/>
  <c r="K904" i="1" a="1"/>
  <c r="K904" i="1" s="1"/>
  <c r="T904" i="1"/>
  <c r="A904" i="1" a="1"/>
  <c r="A904" i="1" s="1"/>
  <c r="I904" i="1"/>
  <c r="AE903" i="1" a="1"/>
  <c r="AE903" i="1" s="1"/>
  <c r="U903" i="1" a="1"/>
  <c r="U903" i="1" s="1"/>
  <c r="Y903" i="1"/>
  <c r="Z903" i="1"/>
  <c r="AA903" i="1"/>
  <c r="AB903" i="1"/>
  <c r="AC903" i="1"/>
  <c r="AD903" i="1"/>
  <c r="K903" i="1" a="1"/>
  <c r="K903" i="1" s="1"/>
  <c r="P903" i="1"/>
  <c r="A903" i="1" a="1"/>
  <c r="A903" i="1" s="1"/>
  <c r="E903" i="1"/>
  <c r="F903" i="1"/>
  <c r="G903" i="1"/>
  <c r="H903" i="1"/>
  <c r="I903" i="1"/>
  <c r="J903" i="1"/>
  <c r="AE902" i="1" a="1"/>
  <c r="AE902" i="1" s="1"/>
  <c r="U902" i="1" a="1"/>
  <c r="U902" i="1" s="1"/>
  <c r="AA902" i="1"/>
  <c r="AC902" i="1"/>
  <c r="AD902" i="1"/>
  <c r="K902" i="1" a="1"/>
  <c r="K902" i="1" s="1"/>
  <c r="N902" i="1"/>
  <c r="P902" i="1"/>
  <c r="Q902" i="1"/>
  <c r="A902" i="1" a="1"/>
  <c r="A902" i="1" s="1"/>
  <c r="E902" i="1"/>
  <c r="H902" i="1"/>
  <c r="I902" i="1"/>
  <c r="J902" i="1"/>
  <c r="AE901" i="1" a="1"/>
  <c r="AE901" i="1" s="1"/>
  <c r="AH901" i="1"/>
  <c r="U901" i="1" a="1"/>
  <c r="U901" i="1" s="1"/>
  <c r="AC901" i="1"/>
  <c r="K901" i="1" a="1"/>
  <c r="K901" i="1" s="1"/>
  <c r="Q901" i="1"/>
  <c r="R901" i="1"/>
  <c r="S901" i="1"/>
  <c r="T901" i="1"/>
  <c r="A901" i="1" a="1"/>
  <c r="A901" i="1" s="1"/>
  <c r="H901" i="1"/>
  <c r="I901" i="1"/>
  <c r="AE900" i="1" a="1"/>
  <c r="AE900" i="1" s="1"/>
  <c r="U900" i="1" a="1"/>
  <c r="U900" i="1" s="1"/>
  <c r="X900" i="1"/>
  <c r="Z900" i="1"/>
  <c r="AA900" i="1"/>
  <c r="AB900" i="1"/>
  <c r="AC900" i="1"/>
  <c r="AD900" i="1"/>
  <c r="K900" i="1" a="1"/>
  <c r="K900" i="1" s="1"/>
  <c r="A900" i="1" a="1"/>
  <c r="A900" i="1" s="1"/>
  <c r="D900" i="1"/>
  <c r="E900" i="1"/>
  <c r="F900" i="1"/>
  <c r="H900" i="1"/>
  <c r="I900" i="1"/>
  <c r="AE899" i="1" a="1"/>
  <c r="AE899" i="1" s="1"/>
  <c r="U899" i="1" a="1"/>
  <c r="U899" i="1" s="1"/>
  <c r="Z899" i="1"/>
  <c r="AA899" i="1"/>
  <c r="AB899" i="1"/>
  <c r="AC899" i="1"/>
  <c r="AD899" i="1"/>
  <c r="K899" i="1" a="1"/>
  <c r="K899" i="1" s="1"/>
  <c r="T899" i="1"/>
  <c r="A899" i="1" a="1"/>
  <c r="A899" i="1" s="1"/>
  <c r="G899" i="1"/>
  <c r="I899" i="1"/>
  <c r="J899" i="1"/>
  <c r="AE898" i="1" a="1"/>
  <c r="AE898" i="1" s="1"/>
  <c r="U898" i="1" a="1"/>
  <c r="U898" i="1" s="1"/>
  <c r="Z898" i="1"/>
  <c r="AB898" i="1"/>
  <c r="AC898" i="1"/>
  <c r="AD898" i="1"/>
  <c r="K898" i="1" a="1"/>
  <c r="K898" i="1" s="1"/>
  <c r="A898" i="1" a="1"/>
  <c r="A898" i="1" s="1"/>
  <c r="E898" i="1"/>
  <c r="F898" i="1"/>
  <c r="G898" i="1"/>
  <c r="H898" i="1"/>
  <c r="I898" i="1"/>
  <c r="J898" i="1"/>
  <c r="AE897" i="1" a="1"/>
  <c r="AE897" i="1" s="1"/>
  <c r="U897" i="1" a="1"/>
  <c r="U897" i="1" s="1"/>
  <c r="AA897" i="1"/>
  <c r="AB897" i="1"/>
  <c r="AC897" i="1"/>
  <c r="AD897" i="1"/>
  <c r="K897" i="1" a="1"/>
  <c r="K897" i="1" s="1"/>
  <c r="T897" i="1"/>
  <c r="A897" i="1" a="1"/>
  <c r="A897" i="1" s="1"/>
  <c r="G897" i="1"/>
  <c r="I897" i="1"/>
  <c r="J897" i="1"/>
  <c r="AE896" i="1" a="1"/>
  <c r="AE896" i="1" s="1"/>
  <c r="U896" i="1" a="1"/>
  <c r="U896" i="1" s="1"/>
  <c r="Z896" i="1"/>
  <c r="AB896" i="1"/>
  <c r="AC896" i="1"/>
  <c r="AD896" i="1"/>
  <c r="K896" i="1" a="1"/>
  <c r="K896" i="1" s="1"/>
  <c r="A896" i="1" a="1"/>
  <c r="A896" i="1" s="1"/>
  <c r="E896" i="1"/>
  <c r="F896" i="1"/>
  <c r="G896" i="1"/>
  <c r="H896" i="1"/>
  <c r="I896" i="1"/>
  <c r="J896" i="1"/>
  <c r="AE895" i="1" a="1"/>
  <c r="AE895" i="1" s="1"/>
  <c r="AH895" i="1"/>
  <c r="U895" i="1" a="1"/>
  <c r="U895" i="1" s="1"/>
  <c r="K895" i="1" a="1"/>
  <c r="K895" i="1" s="1"/>
  <c r="A895" i="1" a="1"/>
  <c r="A895" i="1" s="1"/>
  <c r="D895" i="1"/>
  <c r="G895" i="1"/>
  <c r="H895" i="1"/>
  <c r="I895" i="1"/>
  <c r="J895" i="1"/>
  <c r="AE894" i="1" a="1"/>
  <c r="AE894" i="1" s="1"/>
  <c r="U894" i="1" a="1"/>
  <c r="U894" i="1" s="1"/>
  <c r="X894" i="1"/>
  <c r="Y894" i="1"/>
  <c r="Z894" i="1"/>
  <c r="K894" i="1" a="1"/>
  <c r="K894" i="1" s="1"/>
  <c r="O894" i="1"/>
  <c r="P894" i="1"/>
  <c r="Q894" i="1"/>
  <c r="R894" i="1"/>
  <c r="S894" i="1"/>
  <c r="T894" i="1"/>
  <c r="A894" i="1" a="1"/>
  <c r="A894" i="1" s="1"/>
  <c r="I894" i="1"/>
  <c r="J894" i="1"/>
  <c r="AE893" i="1" a="1"/>
  <c r="AE893" i="1" s="1"/>
  <c r="AH893" i="1"/>
  <c r="U893" i="1" a="1"/>
  <c r="U893" i="1" s="1"/>
  <c r="X893" i="1"/>
  <c r="Y893" i="1"/>
  <c r="Z893" i="1"/>
  <c r="K893" i="1" a="1"/>
  <c r="K893" i="1" s="1"/>
  <c r="N893" i="1"/>
  <c r="O893" i="1"/>
  <c r="P893" i="1"/>
  <c r="Q893" i="1"/>
  <c r="R893" i="1"/>
  <c r="S893" i="1"/>
  <c r="T893" i="1"/>
  <c r="A893" i="1" a="1"/>
  <c r="A893" i="1" s="1"/>
  <c r="E893" i="1"/>
  <c r="G893" i="1"/>
  <c r="H893" i="1"/>
  <c r="I893" i="1"/>
  <c r="J893" i="1"/>
  <c r="AE892" i="1" a="1"/>
  <c r="AE892" i="1" s="1"/>
  <c r="U892" i="1" a="1"/>
  <c r="U892" i="1" s="1"/>
  <c r="V892" i="1"/>
  <c r="K892" i="1" a="1"/>
  <c r="K892" i="1" s="1"/>
  <c r="P892" i="1"/>
  <c r="Q892" i="1"/>
  <c r="A892" i="1" a="1"/>
  <c r="A892" i="1" s="1"/>
  <c r="G892" i="1"/>
  <c r="H892" i="1"/>
  <c r="I892" i="1"/>
  <c r="J892" i="1"/>
  <c r="AE891" i="1" a="1"/>
  <c r="AE891" i="1" s="1"/>
  <c r="AF891" i="1"/>
  <c r="AH891" i="1"/>
  <c r="U891" i="1" a="1"/>
  <c r="U891" i="1" s="1"/>
  <c r="K891" i="1" a="1"/>
  <c r="K891" i="1" s="1"/>
  <c r="O891" i="1"/>
  <c r="A891" i="1" a="1"/>
  <c r="A891" i="1" s="1"/>
  <c r="D891" i="1"/>
  <c r="E891" i="1"/>
  <c r="F891" i="1"/>
  <c r="G891" i="1"/>
  <c r="H891" i="1"/>
  <c r="I891" i="1"/>
  <c r="J891" i="1"/>
  <c r="AE890" i="1" a="1"/>
  <c r="AE890" i="1" s="1"/>
  <c r="U890" i="1" a="1"/>
  <c r="U890" i="1" s="1"/>
  <c r="K890" i="1" a="1"/>
  <c r="K890" i="1" s="1"/>
  <c r="Q890" i="1"/>
  <c r="R890" i="1"/>
  <c r="A890" i="1" a="1"/>
  <c r="A890" i="1" s="1"/>
  <c r="I890" i="1"/>
  <c r="J890" i="1"/>
  <c r="AE889" i="1" a="1"/>
  <c r="AE889" i="1" s="1"/>
  <c r="U889" i="1" a="1"/>
  <c r="U889" i="1" s="1"/>
  <c r="AC889" i="1"/>
  <c r="AD889" i="1"/>
  <c r="K889" i="1" a="1"/>
  <c r="K889" i="1" s="1"/>
  <c r="A889" i="1" a="1"/>
  <c r="A889" i="1" s="1"/>
  <c r="AE888" i="1" a="1"/>
  <c r="AE888" i="1" s="1"/>
  <c r="AH888" i="1"/>
  <c r="U888" i="1" a="1"/>
  <c r="U888" i="1" s="1"/>
  <c r="W888" i="1"/>
  <c r="Y888" i="1"/>
  <c r="Z888" i="1"/>
  <c r="AA888" i="1"/>
  <c r="K888" i="1" a="1"/>
  <c r="K888" i="1" s="1"/>
  <c r="P888" i="1"/>
  <c r="Q888" i="1"/>
  <c r="R888" i="1"/>
  <c r="S888" i="1"/>
  <c r="T888" i="1"/>
  <c r="A888" i="1" a="1"/>
  <c r="A888" i="1" s="1"/>
  <c r="G888" i="1"/>
  <c r="AE887" i="1" a="1"/>
  <c r="AE887" i="1" s="1"/>
  <c r="AH887" i="1"/>
  <c r="U887" i="1" a="1"/>
  <c r="U887" i="1" s="1"/>
  <c r="X887" i="1"/>
  <c r="Y887" i="1"/>
  <c r="AA887" i="1"/>
  <c r="AB887" i="1"/>
  <c r="AC887" i="1"/>
  <c r="K887" i="1" a="1"/>
  <c r="K887" i="1" s="1"/>
  <c r="T887" i="1"/>
  <c r="A887" i="1" a="1"/>
  <c r="A887" i="1" s="1"/>
  <c r="G887" i="1"/>
  <c r="H887" i="1"/>
  <c r="AE886" i="1" a="1"/>
  <c r="AE886" i="1" s="1"/>
  <c r="U886" i="1" a="1"/>
  <c r="U886" i="1" s="1"/>
  <c r="Z886" i="1"/>
  <c r="AA886" i="1"/>
  <c r="AB886" i="1"/>
  <c r="AC886" i="1"/>
  <c r="AD886" i="1"/>
  <c r="K886" i="1" a="1"/>
  <c r="K886" i="1" s="1"/>
  <c r="L886" i="1"/>
  <c r="A886" i="1" a="1"/>
  <c r="A886" i="1" s="1"/>
  <c r="AE885" i="1" a="1"/>
  <c r="AE885" i="1" s="1"/>
  <c r="U885" i="1" a="1"/>
  <c r="U885" i="1" s="1"/>
  <c r="X885" i="1"/>
  <c r="Y885" i="1"/>
  <c r="Z885" i="1"/>
  <c r="AB885" i="1"/>
  <c r="AC885" i="1"/>
  <c r="AD885" i="1"/>
  <c r="K885" i="1" a="1"/>
  <c r="K885" i="1" s="1"/>
  <c r="O885" i="1"/>
  <c r="Q885" i="1"/>
  <c r="S885" i="1"/>
  <c r="T885" i="1"/>
  <c r="A885" i="1" a="1"/>
  <c r="A885" i="1" s="1"/>
  <c r="AE884" i="1" a="1"/>
  <c r="AE884" i="1" s="1"/>
  <c r="U884" i="1" a="1"/>
  <c r="U884" i="1" s="1"/>
  <c r="Z884" i="1"/>
  <c r="AA884" i="1"/>
  <c r="AB884" i="1"/>
  <c r="K884" i="1" a="1"/>
  <c r="K884" i="1" s="1"/>
  <c r="P884" i="1"/>
  <c r="R884" i="1"/>
  <c r="S884" i="1"/>
  <c r="T884" i="1"/>
  <c r="A884" i="1" a="1"/>
  <c r="A884" i="1" s="1"/>
  <c r="AE883" i="1" a="1"/>
  <c r="AE883" i="1" s="1"/>
  <c r="AG883" i="1"/>
  <c r="AH883" i="1"/>
  <c r="U883" i="1" a="1"/>
  <c r="U883" i="1" s="1"/>
  <c r="Z883" i="1"/>
  <c r="AA883" i="1"/>
  <c r="AB883" i="1"/>
  <c r="K883" i="1" a="1"/>
  <c r="K883" i="1" s="1"/>
  <c r="P883" i="1"/>
  <c r="Q883" i="1"/>
  <c r="R883" i="1"/>
  <c r="S883" i="1"/>
  <c r="T883" i="1"/>
  <c r="A883" i="1" a="1"/>
  <c r="A883" i="1" s="1"/>
  <c r="F883" i="1"/>
  <c r="AE882" i="1" a="1"/>
  <c r="AE882" i="1" s="1"/>
  <c r="AH882" i="1"/>
  <c r="U882" i="1" a="1"/>
  <c r="U882" i="1" s="1"/>
  <c r="Z882" i="1"/>
  <c r="AA882" i="1"/>
  <c r="AB882" i="1"/>
  <c r="K882" i="1" a="1"/>
  <c r="K882" i="1" s="1"/>
  <c r="Q882" i="1"/>
  <c r="R882" i="1"/>
  <c r="S882" i="1"/>
  <c r="T882" i="1"/>
  <c r="A882" i="1" a="1"/>
  <c r="A882" i="1" s="1"/>
  <c r="AE881" i="1" a="1"/>
  <c r="AE881" i="1" s="1"/>
  <c r="AG881" i="1"/>
  <c r="AH881" i="1"/>
  <c r="U881" i="1" a="1"/>
  <c r="U881" i="1" s="1"/>
  <c r="Y881" i="1"/>
  <c r="Z881" i="1"/>
  <c r="AB881" i="1"/>
  <c r="AC881" i="1"/>
  <c r="AD881" i="1"/>
  <c r="K881" i="1" a="1"/>
  <c r="K881" i="1" s="1"/>
  <c r="R881" i="1"/>
  <c r="S881" i="1"/>
  <c r="A881" i="1" a="1"/>
  <c r="A881" i="1" s="1"/>
  <c r="H881" i="1"/>
  <c r="I881" i="1"/>
  <c r="J881" i="1"/>
  <c r="AE880" i="1" a="1"/>
  <c r="AE880" i="1" s="1"/>
  <c r="U880" i="1" a="1"/>
  <c r="U880" i="1" s="1"/>
  <c r="AC880" i="1"/>
  <c r="AD880" i="1"/>
  <c r="K880" i="1" a="1"/>
  <c r="K880" i="1" s="1"/>
  <c r="Q880" i="1"/>
  <c r="R880" i="1"/>
  <c r="S880" i="1"/>
  <c r="A880" i="1" a="1"/>
  <c r="A880" i="1" s="1"/>
  <c r="G880" i="1"/>
  <c r="H880" i="1"/>
  <c r="I880" i="1"/>
  <c r="J880" i="1"/>
  <c r="AE879" i="1" a="1"/>
  <c r="AE879" i="1" s="1"/>
  <c r="U879" i="1" a="1"/>
  <c r="U879" i="1" s="1"/>
  <c r="AB879" i="1"/>
  <c r="AC879" i="1"/>
  <c r="AD879" i="1"/>
  <c r="K879" i="1" a="1"/>
  <c r="K879" i="1" s="1"/>
  <c r="P879" i="1"/>
  <c r="Q879" i="1"/>
  <c r="R879" i="1"/>
  <c r="A879" i="1" a="1"/>
  <c r="A879" i="1" s="1"/>
  <c r="AE878" i="1" a="1"/>
  <c r="AE878" i="1" s="1"/>
  <c r="U878" i="1" a="1"/>
  <c r="U878" i="1" s="1"/>
  <c r="K878" i="1" a="1"/>
  <c r="K878" i="1" s="1"/>
  <c r="P878" i="1"/>
  <c r="Q878" i="1"/>
  <c r="S878" i="1"/>
  <c r="T878" i="1"/>
  <c r="A878" i="1" a="1"/>
  <c r="A878" i="1" s="1"/>
  <c r="AE877" i="1" a="1"/>
  <c r="AE877" i="1" s="1"/>
  <c r="AH877" i="1"/>
  <c r="U877" i="1" a="1"/>
  <c r="U877" i="1" s="1"/>
  <c r="Z877" i="1"/>
  <c r="AA877" i="1"/>
  <c r="AB877" i="1"/>
  <c r="K877" i="1" a="1"/>
  <c r="K877" i="1" s="1"/>
  <c r="O877" i="1"/>
  <c r="Q877" i="1"/>
  <c r="R877" i="1"/>
  <c r="S877" i="1"/>
  <c r="T877" i="1"/>
  <c r="A877" i="1" a="1"/>
  <c r="A877" i="1" s="1"/>
  <c r="H877" i="1"/>
  <c r="I877" i="1"/>
  <c r="J877" i="1"/>
  <c r="AE876" i="1" a="1"/>
  <c r="AE876" i="1" s="1"/>
  <c r="U876" i="1" a="1"/>
  <c r="U876" i="1" s="1"/>
  <c r="AB876" i="1"/>
  <c r="AC876" i="1"/>
  <c r="AD876" i="1"/>
  <c r="K876" i="1" a="1"/>
  <c r="K876" i="1" s="1"/>
  <c r="A876" i="1" a="1"/>
  <c r="A876" i="1" s="1"/>
  <c r="H876" i="1"/>
  <c r="I876" i="1"/>
  <c r="J876" i="1"/>
  <c r="AE875" i="1" a="1"/>
  <c r="AE875" i="1" s="1"/>
  <c r="U875" i="1" a="1"/>
  <c r="U875" i="1" s="1"/>
  <c r="Z875" i="1"/>
  <c r="AA875" i="1"/>
  <c r="AB875" i="1"/>
  <c r="K875" i="1" a="1"/>
  <c r="K875" i="1" s="1"/>
  <c r="S875" i="1"/>
  <c r="T875" i="1"/>
  <c r="A875" i="1" a="1"/>
  <c r="A875" i="1" s="1"/>
  <c r="AE874" i="1" a="1"/>
  <c r="AE874" i="1" s="1"/>
  <c r="AH874" i="1"/>
  <c r="U874" i="1" a="1"/>
  <c r="U874" i="1" s="1"/>
  <c r="X874" i="1"/>
  <c r="Y874" i="1"/>
  <c r="AA874" i="1"/>
  <c r="AB874" i="1"/>
  <c r="AC874" i="1"/>
  <c r="K874" i="1" a="1"/>
  <c r="K874" i="1" s="1"/>
  <c r="T874" i="1"/>
  <c r="A874" i="1" a="1"/>
  <c r="A874" i="1" s="1"/>
  <c r="E874" i="1"/>
  <c r="G874" i="1"/>
  <c r="AE873" i="1" a="1"/>
  <c r="AE873" i="1" s="1"/>
  <c r="AH873" i="1"/>
  <c r="U873" i="1" a="1"/>
  <c r="U873" i="1" s="1"/>
  <c r="AB873" i="1"/>
  <c r="AC873" i="1"/>
  <c r="AD873" i="1"/>
  <c r="K873" i="1" a="1"/>
  <c r="K873" i="1" s="1"/>
  <c r="R873" i="1"/>
  <c r="S873" i="1"/>
  <c r="T873" i="1"/>
  <c r="A873" i="1" a="1"/>
  <c r="A873" i="1" s="1"/>
  <c r="G873" i="1"/>
  <c r="H873" i="1"/>
  <c r="AE872" i="1" a="1"/>
  <c r="AE872" i="1" s="1"/>
  <c r="AF872" i="1"/>
  <c r="AG872" i="1"/>
  <c r="AH872" i="1"/>
  <c r="U872" i="1" a="1"/>
  <c r="U872" i="1" s="1"/>
  <c r="K872" i="1" a="1"/>
  <c r="K872" i="1" s="1"/>
  <c r="P872" i="1"/>
  <c r="Q872" i="1"/>
  <c r="S872" i="1"/>
  <c r="T872" i="1"/>
  <c r="A872" i="1" a="1"/>
  <c r="A872" i="1" s="1"/>
  <c r="AE871" i="1" a="1"/>
  <c r="AE871" i="1" s="1"/>
  <c r="U871" i="1" a="1"/>
  <c r="U871" i="1" s="1"/>
  <c r="K871" i="1" a="1"/>
  <c r="K871" i="1" s="1"/>
  <c r="O871" i="1"/>
  <c r="P871" i="1"/>
  <c r="Q871" i="1"/>
  <c r="R871" i="1"/>
  <c r="S871" i="1"/>
  <c r="T871" i="1"/>
  <c r="A871" i="1" a="1"/>
  <c r="A871" i="1" s="1"/>
  <c r="AE870" i="1" a="1"/>
  <c r="AE870" i="1" s="1"/>
  <c r="U870" i="1" a="1"/>
  <c r="U870" i="1" s="1"/>
  <c r="K870" i="1" a="1"/>
  <c r="K870" i="1" s="1"/>
  <c r="S870" i="1"/>
  <c r="T870" i="1"/>
  <c r="A870" i="1" a="1"/>
  <c r="A870" i="1" s="1"/>
  <c r="D870" i="1"/>
  <c r="F870" i="1"/>
  <c r="G870" i="1"/>
  <c r="H870" i="1"/>
  <c r="AE869" i="1" a="1"/>
  <c r="AE869" i="1" s="1"/>
  <c r="U869" i="1" a="1"/>
  <c r="U869" i="1" s="1"/>
  <c r="Y869" i="1"/>
  <c r="K869" i="1" a="1"/>
  <c r="K869" i="1" s="1"/>
  <c r="Q869" i="1"/>
  <c r="R869" i="1"/>
  <c r="S869" i="1"/>
  <c r="T869" i="1"/>
  <c r="A869" i="1" a="1"/>
  <c r="A869" i="1" s="1"/>
  <c r="E869" i="1"/>
  <c r="F869" i="1"/>
  <c r="G869" i="1"/>
  <c r="AE868" i="1" a="1"/>
  <c r="AE868" i="1" s="1"/>
  <c r="AH868" i="1"/>
  <c r="U868" i="1" a="1"/>
  <c r="U868" i="1" s="1"/>
  <c r="Y868" i="1"/>
  <c r="K868" i="1" a="1"/>
  <c r="K868" i="1" s="1"/>
  <c r="P868" i="1"/>
  <c r="Q868" i="1"/>
  <c r="R868" i="1"/>
  <c r="S868" i="1"/>
  <c r="T868" i="1"/>
  <c r="A868" i="1" a="1"/>
  <c r="A868" i="1" s="1"/>
  <c r="D868" i="1"/>
  <c r="AE867" i="1" a="1"/>
  <c r="AE867" i="1" s="1"/>
  <c r="U867" i="1" a="1"/>
  <c r="U867" i="1" s="1"/>
  <c r="X867" i="1"/>
  <c r="K867" i="1" a="1"/>
  <c r="K867" i="1" s="1"/>
  <c r="O867" i="1"/>
  <c r="P867" i="1"/>
  <c r="Q867" i="1"/>
  <c r="R867" i="1"/>
  <c r="S867" i="1"/>
  <c r="T867" i="1"/>
  <c r="A867" i="1" a="1"/>
  <c r="A867" i="1" s="1"/>
  <c r="AE866" i="1" a="1"/>
  <c r="AE866" i="1" s="1"/>
  <c r="U866" i="1" a="1"/>
  <c r="U866" i="1" s="1"/>
  <c r="AA866" i="1"/>
  <c r="AB866" i="1"/>
  <c r="AC866" i="1"/>
  <c r="AD866" i="1"/>
  <c r="K866" i="1" a="1"/>
  <c r="K866" i="1" s="1"/>
  <c r="A866" i="1" a="1"/>
  <c r="A866" i="1" s="1"/>
  <c r="F866" i="1"/>
  <c r="G866" i="1"/>
  <c r="I866" i="1"/>
  <c r="J866" i="1"/>
  <c r="AE865" i="1" a="1"/>
  <c r="AE865" i="1" s="1"/>
  <c r="U865" i="1" a="1"/>
  <c r="U865" i="1" s="1"/>
  <c r="Z865" i="1"/>
  <c r="AA865" i="1"/>
  <c r="AB865" i="1"/>
  <c r="AC865" i="1"/>
  <c r="AD865" i="1"/>
  <c r="K865" i="1" a="1"/>
  <c r="K865" i="1" s="1"/>
  <c r="R865" i="1"/>
  <c r="S865" i="1"/>
  <c r="T865" i="1"/>
  <c r="A865" i="1" a="1"/>
  <c r="A865" i="1" s="1"/>
  <c r="AE864" i="1" a="1"/>
  <c r="AE864" i="1" s="1"/>
  <c r="AH864" i="1"/>
  <c r="U864" i="1" a="1"/>
  <c r="U864" i="1" s="1"/>
  <c r="K864" i="1" a="1"/>
  <c r="K864" i="1" s="1"/>
  <c r="A864" i="1" a="1"/>
  <c r="A864" i="1" s="1"/>
  <c r="F864" i="1"/>
  <c r="G864" i="1"/>
  <c r="H864" i="1"/>
  <c r="I864" i="1"/>
  <c r="J864" i="1"/>
  <c r="AE863" i="1" a="1"/>
  <c r="AE863" i="1" s="1"/>
  <c r="AH863" i="1"/>
  <c r="U863" i="1" a="1"/>
  <c r="U863" i="1" s="1"/>
  <c r="K863" i="1" a="1"/>
  <c r="K863" i="1" s="1"/>
  <c r="O863" i="1"/>
  <c r="A863" i="1" a="1"/>
  <c r="A863" i="1" s="1"/>
  <c r="F863" i="1"/>
  <c r="G863" i="1"/>
  <c r="H863" i="1"/>
  <c r="I863" i="1"/>
  <c r="J863" i="1"/>
  <c r="AE862" i="1" a="1"/>
  <c r="AE862" i="1" s="1"/>
  <c r="AH862" i="1"/>
  <c r="U862" i="1" a="1"/>
  <c r="U862" i="1" s="1"/>
  <c r="K862" i="1" a="1"/>
  <c r="K862" i="1" s="1"/>
  <c r="O862" i="1"/>
  <c r="P862" i="1"/>
  <c r="A862" i="1" a="1"/>
  <c r="A862" i="1" s="1"/>
  <c r="F862" i="1"/>
  <c r="H862" i="1"/>
  <c r="I862" i="1"/>
  <c r="J862" i="1"/>
  <c r="AE861" i="1" a="1"/>
  <c r="AE861" i="1" s="1"/>
  <c r="AH861" i="1"/>
  <c r="U861" i="1" a="1"/>
  <c r="U861" i="1" s="1"/>
  <c r="X861" i="1"/>
  <c r="K861" i="1" a="1"/>
  <c r="K861" i="1" s="1"/>
  <c r="O861" i="1"/>
  <c r="P861" i="1"/>
  <c r="Q861" i="1"/>
  <c r="R861" i="1"/>
  <c r="S861" i="1"/>
  <c r="A861" i="1" a="1"/>
  <c r="A861" i="1" s="1"/>
  <c r="I861" i="1"/>
  <c r="J861" i="1"/>
  <c r="AE860" i="1" a="1"/>
  <c r="AE860" i="1" s="1"/>
  <c r="AG860" i="1"/>
  <c r="AH860" i="1"/>
  <c r="U860" i="1" a="1"/>
  <c r="U860" i="1" s="1"/>
  <c r="Z860" i="1"/>
  <c r="AA860" i="1"/>
  <c r="AB860" i="1"/>
  <c r="AC860" i="1"/>
  <c r="K860" i="1" a="1"/>
  <c r="K860" i="1" s="1"/>
  <c r="R860" i="1"/>
  <c r="S860" i="1"/>
  <c r="T860" i="1"/>
  <c r="A860" i="1" a="1"/>
  <c r="A860" i="1" s="1"/>
  <c r="AE859" i="1" a="1"/>
  <c r="AE859" i="1" s="1"/>
  <c r="U859" i="1" a="1"/>
  <c r="U859" i="1" s="1"/>
  <c r="AB859" i="1"/>
  <c r="AC859" i="1"/>
  <c r="K859" i="1" a="1"/>
  <c r="K859" i="1" s="1"/>
  <c r="S859" i="1"/>
  <c r="T859" i="1"/>
  <c r="A859" i="1" a="1"/>
  <c r="A859" i="1" s="1"/>
  <c r="F859" i="1"/>
  <c r="AE858" i="1" a="1"/>
  <c r="AE858" i="1" s="1"/>
  <c r="AG858" i="1"/>
  <c r="U858" i="1" a="1"/>
  <c r="U858" i="1" s="1"/>
  <c r="AA858" i="1"/>
  <c r="AB858" i="1"/>
  <c r="K858" i="1" a="1"/>
  <c r="K858" i="1" s="1"/>
  <c r="R858" i="1"/>
  <c r="S858" i="1"/>
  <c r="T858" i="1"/>
  <c r="A858" i="1" a="1"/>
  <c r="A858" i="1" s="1"/>
  <c r="AE857" i="1" a="1"/>
  <c r="AE857" i="1" s="1"/>
  <c r="U857" i="1" a="1"/>
  <c r="U857" i="1" s="1"/>
  <c r="AA857" i="1"/>
  <c r="AB857" i="1"/>
  <c r="K857" i="1" a="1"/>
  <c r="K857" i="1" s="1"/>
  <c r="A857" i="1" a="1"/>
  <c r="A857" i="1" s="1"/>
  <c r="F857" i="1"/>
  <c r="G857" i="1"/>
  <c r="AE856" i="1" a="1"/>
  <c r="AE856" i="1" s="1"/>
  <c r="AH856" i="1"/>
  <c r="U856" i="1" a="1"/>
  <c r="U856" i="1" s="1"/>
  <c r="Z856" i="1"/>
  <c r="AA856" i="1"/>
  <c r="AB856" i="1"/>
  <c r="AC856" i="1"/>
  <c r="AD856" i="1"/>
  <c r="K856" i="1" a="1"/>
  <c r="K856" i="1" s="1"/>
  <c r="O856" i="1"/>
  <c r="A856" i="1" a="1"/>
  <c r="A856" i="1" s="1"/>
  <c r="D856" i="1"/>
  <c r="E856" i="1"/>
  <c r="F856" i="1"/>
  <c r="G856" i="1"/>
  <c r="H856" i="1"/>
  <c r="I856" i="1"/>
  <c r="AE855" i="1" a="1"/>
  <c r="AE855" i="1" s="1"/>
  <c r="AG855" i="1"/>
  <c r="AH855" i="1"/>
  <c r="U855" i="1" a="1"/>
  <c r="U855" i="1" s="1"/>
  <c r="Y855" i="1"/>
  <c r="Z855" i="1"/>
  <c r="AA855" i="1"/>
  <c r="AB855" i="1"/>
  <c r="AC855" i="1"/>
  <c r="AD855" i="1"/>
  <c r="K855" i="1" a="1"/>
  <c r="K855" i="1" s="1"/>
  <c r="A855" i="1" a="1"/>
  <c r="A855" i="1" s="1"/>
  <c r="F855" i="1"/>
  <c r="G855" i="1"/>
  <c r="H855" i="1"/>
  <c r="I855" i="1"/>
  <c r="AE854" i="1" a="1"/>
  <c r="AE854" i="1" s="1"/>
  <c r="AG854" i="1"/>
  <c r="AH854" i="1"/>
  <c r="U854" i="1" a="1"/>
  <c r="U854" i="1" s="1"/>
  <c r="X854" i="1"/>
  <c r="Y854" i="1"/>
  <c r="Z854" i="1"/>
  <c r="AA854" i="1"/>
  <c r="AB854" i="1"/>
  <c r="AC854" i="1"/>
  <c r="AD854" i="1"/>
  <c r="K854" i="1" a="1"/>
  <c r="K854" i="1" s="1"/>
  <c r="A854" i="1" a="1"/>
  <c r="A854" i="1" s="1"/>
  <c r="AE853" i="1" a="1"/>
  <c r="AE853" i="1" s="1"/>
  <c r="AH853" i="1"/>
  <c r="U853" i="1" a="1"/>
  <c r="U853" i="1" s="1"/>
  <c r="X853" i="1"/>
  <c r="Z853" i="1"/>
  <c r="AA853" i="1"/>
  <c r="AB853" i="1"/>
  <c r="AC853" i="1"/>
  <c r="AD853" i="1"/>
  <c r="K853" i="1" a="1"/>
  <c r="K853" i="1" s="1"/>
  <c r="R853" i="1"/>
  <c r="A853" i="1" a="1"/>
  <c r="A853" i="1" s="1"/>
  <c r="AE852" i="1" a="1"/>
  <c r="AE852" i="1" s="1"/>
  <c r="AF852" i="1"/>
  <c r="AG852" i="1"/>
  <c r="AH852" i="1"/>
  <c r="U852" i="1" a="1"/>
  <c r="U852" i="1" s="1"/>
  <c r="AD852" i="1"/>
  <c r="K852" i="1" a="1"/>
  <c r="K852" i="1" s="1"/>
  <c r="P852" i="1"/>
  <c r="R852" i="1"/>
  <c r="S852" i="1"/>
  <c r="T852" i="1"/>
  <c r="A852" i="1" a="1"/>
  <c r="A852" i="1" s="1"/>
  <c r="G852" i="1"/>
  <c r="AE851" i="1" a="1"/>
  <c r="AE851" i="1" s="1"/>
  <c r="AH851" i="1"/>
  <c r="U851" i="1" a="1"/>
  <c r="U851" i="1" s="1"/>
  <c r="AD851" i="1"/>
  <c r="K851" i="1" a="1"/>
  <c r="K851" i="1" s="1"/>
  <c r="R851" i="1"/>
  <c r="S851" i="1"/>
  <c r="T851" i="1"/>
  <c r="A851" i="1" a="1"/>
  <c r="A851" i="1" s="1"/>
  <c r="F851" i="1"/>
  <c r="AE850" i="1" a="1"/>
  <c r="AE850" i="1" s="1"/>
  <c r="U850" i="1" a="1"/>
  <c r="U850" i="1" s="1"/>
  <c r="K850" i="1" a="1"/>
  <c r="K850" i="1" s="1"/>
  <c r="S850" i="1"/>
  <c r="T850" i="1"/>
  <c r="A850" i="1" a="1"/>
  <c r="A850" i="1" s="1"/>
  <c r="AE849" i="1" a="1"/>
  <c r="AE849" i="1" s="1"/>
  <c r="U849" i="1" a="1"/>
  <c r="U849" i="1" s="1"/>
  <c r="X849" i="1"/>
  <c r="Z849" i="1"/>
  <c r="AA849" i="1"/>
  <c r="AB849" i="1"/>
  <c r="K849" i="1" a="1"/>
  <c r="K849" i="1" s="1"/>
  <c r="O849" i="1"/>
  <c r="P849" i="1"/>
  <c r="R849" i="1"/>
  <c r="S849" i="1"/>
  <c r="T849" i="1"/>
  <c r="A849" i="1" a="1"/>
  <c r="A849" i="1" s="1"/>
  <c r="AE848" i="1" a="1"/>
  <c r="AE848" i="1" s="1"/>
  <c r="AG848" i="1"/>
  <c r="U848" i="1" a="1"/>
  <c r="U848" i="1" s="1"/>
  <c r="AB848" i="1"/>
  <c r="AC848" i="1"/>
  <c r="AD848" i="1"/>
  <c r="K848" i="1" a="1"/>
  <c r="K848" i="1" s="1"/>
  <c r="A848" i="1" a="1"/>
  <c r="A848" i="1" s="1"/>
  <c r="F848" i="1"/>
  <c r="H848" i="1"/>
  <c r="I848" i="1"/>
  <c r="J848" i="1"/>
  <c r="AE847" i="1" a="1"/>
  <c r="AE847" i="1" s="1"/>
  <c r="U847" i="1" a="1"/>
  <c r="U847" i="1" s="1"/>
  <c r="Z847" i="1"/>
  <c r="K847" i="1" a="1"/>
  <c r="K847" i="1" s="1"/>
  <c r="O847" i="1"/>
  <c r="P847" i="1"/>
  <c r="Q847" i="1"/>
  <c r="R847" i="1"/>
  <c r="S847" i="1"/>
  <c r="A847" i="1" a="1"/>
  <c r="A847" i="1" s="1"/>
  <c r="H847" i="1"/>
  <c r="I847" i="1"/>
  <c r="J847" i="1"/>
  <c r="AE846" i="1" a="1"/>
  <c r="AE846" i="1" s="1"/>
  <c r="AG846" i="1"/>
  <c r="AH846" i="1"/>
  <c r="U846" i="1" a="1"/>
  <c r="U846" i="1" s="1"/>
  <c r="X846" i="1"/>
  <c r="Z846" i="1"/>
  <c r="AA846" i="1"/>
  <c r="AB846" i="1"/>
  <c r="K846" i="1" a="1"/>
  <c r="K846" i="1" s="1"/>
  <c r="Q846" i="1"/>
  <c r="S846" i="1"/>
  <c r="T846" i="1"/>
  <c r="A846" i="1" a="1"/>
  <c r="A846" i="1" s="1"/>
  <c r="D846" i="1"/>
  <c r="AE845" i="1" a="1"/>
  <c r="AE845" i="1" s="1"/>
  <c r="AH845" i="1"/>
  <c r="U845" i="1" a="1"/>
  <c r="U845" i="1" s="1"/>
  <c r="Z845" i="1"/>
  <c r="AA845" i="1"/>
  <c r="K845" i="1" a="1"/>
  <c r="K845" i="1" s="1"/>
  <c r="P845" i="1"/>
  <c r="Q845" i="1"/>
  <c r="R845" i="1"/>
  <c r="S845" i="1"/>
  <c r="T845" i="1"/>
  <c r="A845" i="1" a="1"/>
  <c r="A845" i="1" s="1"/>
  <c r="AE844" i="1" a="1"/>
  <c r="AE844" i="1" s="1"/>
  <c r="AG844" i="1"/>
  <c r="AH844" i="1"/>
  <c r="U844" i="1" a="1"/>
  <c r="U844" i="1" s="1"/>
  <c r="X844" i="1"/>
  <c r="Y844" i="1"/>
  <c r="Z844" i="1"/>
  <c r="AA844" i="1"/>
  <c r="AB844" i="1"/>
  <c r="AC844" i="1"/>
  <c r="AD844" i="1"/>
  <c r="K844" i="1" a="1"/>
  <c r="K844" i="1" s="1"/>
  <c r="T844" i="1"/>
  <c r="A844" i="1" a="1"/>
  <c r="A844" i="1" s="1"/>
  <c r="AE843" i="1" a="1"/>
  <c r="AE843" i="1" s="1"/>
  <c r="U843" i="1" a="1"/>
  <c r="U843" i="1" s="1"/>
  <c r="AA843" i="1"/>
  <c r="AB843" i="1"/>
  <c r="K843" i="1" a="1"/>
  <c r="K843" i="1" s="1"/>
  <c r="A843" i="1" a="1"/>
  <c r="A843" i="1" s="1"/>
  <c r="AE842" i="1" a="1"/>
  <c r="AE842" i="1" s="1"/>
  <c r="AH842" i="1"/>
  <c r="U842" i="1" a="1"/>
  <c r="U842" i="1" s="1"/>
  <c r="AB842" i="1"/>
  <c r="AC842" i="1"/>
  <c r="K842" i="1" a="1"/>
  <c r="K842" i="1" s="1"/>
  <c r="T842" i="1"/>
  <c r="A842" i="1" a="1"/>
  <c r="A842" i="1" s="1"/>
  <c r="AE841" i="1" a="1"/>
  <c r="AE841" i="1" s="1"/>
  <c r="U841" i="1" a="1"/>
  <c r="U841" i="1" s="1"/>
  <c r="Y841" i="1"/>
  <c r="Z841" i="1"/>
  <c r="AA841" i="1"/>
  <c r="AB841" i="1"/>
  <c r="AC841" i="1"/>
  <c r="AD841" i="1"/>
  <c r="K841" i="1" a="1"/>
  <c r="K841" i="1" s="1"/>
  <c r="A841" i="1" a="1"/>
  <c r="A841" i="1" s="1"/>
  <c r="AE840" i="1" a="1"/>
  <c r="AE840" i="1" s="1"/>
  <c r="U840" i="1" a="1"/>
  <c r="U840" i="1" s="1"/>
  <c r="AA840" i="1"/>
  <c r="AC840" i="1"/>
  <c r="AD840" i="1"/>
  <c r="K840" i="1" a="1"/>
  <c r="K840" i="1" s="1"/>
  <c r="Q840" i="1"/>
  <c r="R840" i="1"/>
  <c r="A840" i="1" a="1"/>
  <c r="A840" i="1" s="1"/>
  <c r="H840" i="1"/>
  <c r="I840" i="1"/>
  <c r="J840" i="1"/>
  <c r="AE839" i="1" a="1"/>
  <c r="AE839" i="1" s="1"/>
  <c r="U839" i="1" a="1"/>
  <c r="U839" i="1" s="1"/>
  <c r="Z839" i="1"/>
  <c r="AB839" i="1"/>
  <c r="AC839" i="1"/>
  <c r="AD839" i="1"/>
  <c r="K839" i="1" a="1"/>
  <c r="K839" i="1" s="1"/>
  <c r="O839" i="1"/>
  <c r="P839" i="1"/>
  <c r="A839" i="1" a="1"/>
  <c r="A839" i="1" s="1"/>
  <c r="F839" i="1"/>
  <c r="G839" i="1"/>
  <c r="H839" i="1"/>
  <c r="I839" i="1"/>
  <c r="J839" i="1"/>
  <c r="AE838" i="1" a="1"/>
  <c r="AE838" i="1" s="1"/>
  <c r="AH838" i="1"/>
  <c r="U838" i="1" a="1"/>
  <c r="U838" i="1" s="1"/>
  <c r="Y838" i="1"/>
  <c r="AA838" i="1"/>
  <c r="AB838" i="1"/>
  <c r="AC838" i="1"/>
  <c r="AD838" i="1"/>
  <c r="K838" i="1" a="1"/>
  <c r="K838" i="1" s="1"/>
  <c r="N838" i="1"/>
  <c r="O838" i="1"/>
  <c r="A838" i="1" a="1"/>
  <c r="A838" i="1" s="1"/>
  <c r="D838" i="1"/>
  <c r="E838" i="1"/>
  <c r="F838" i="1"/>
  <c r="G838" i="1"/>
  <c r="H838" i="1"/>
  <c r="AE837" i="1" a="1"/>
  <c r="AE837" i="1" s="1"/>
  <c r="U837" i="1" a="1"/>
  <c r="U837" i="1" s="1"/>
  <c r="Y837" i="1"/>
  <c r="Z837" i="1"/>
  <c r="AA837" i="1"/>
  <c r="AB837" i="1"/>
  <c r="AC837" i="1"/>
  <c r="AD837" i="1"/>
  <c r="K837" i="1" a="1"/>
  <c r="K837" i="1" s="1"/>
  <c r="A837" i="1" a="1"/>
  <c r="A837" i="1" s="1"/>
  <c r="J837" i="1"/>
  <c r="AE836" i="1" a="1"/>
  <c r="AE836" i="1" s="1"/>
  <c r="U836" i="1" a="1"/>
  <c r="U836" i="1" s="1"/>
  <c r="AC836" i="1"/>
  <c r="AD836" i="1"/>
  <c r="K836" i="1" a="1"/>
  <c r="K836" i="1" s="1"/>
  <c r="Q836" i="1"/>
  <c r="R836" i="1"/>
  <c r="A836" i="1" a="1"/>
  <c r="A836" i="1" s="1"/>
  <c r="AE835" i="1" a="1"/>
  <c r="AE835" i="1" s="1"/>
  <c r="AH835" i="1"/>
  <c r="U835" i="1" a="1"/>
  <c r="U835" i="1" s="1"/>
  <c r="K835" i="1" a="1"/>
  <c r="K835" i="1" s="1"/>
  <c r="O835" i="1"/>
  <c r="P835" i="1"/>
  <c r="Q835" i="1"/>
  <c r="R835" i="1"/>
  <c r="S835" i="1"/>
  <c r="T835" i="1"/>
  <c r="A835" i="1" a="1"/>
  <c r="A835" i="1" s="1"/>
  <c r="AE834" i="1" a="1"/>
  <c r="AE834" i="1" s="1"/>
  <c r="AH834" i="1"/>
  <c r="U834" i="1" a="1"/>
  <c r="U834" i="1" s="1"/>
  <c r="K834" i="1" a="1"/>
  <c r="K834" i="1" s="1"/>
  <c r="O834" i="1"/>
  <c r="P834" i="1"/>
  <c r="Q834" i="1"/>
  <c r="R834" i="1"/>
  <c r="S834" i="1"/>
  <c r="T834" i="1"/>
  <c r="A834" i="1" a="1"/>
  <c r="B834" i="1" s="1"/>
  <c r="AE833" i="1" a="1"/>
  <c r="AE833" i="1" s="1"/>
  <c r="AG833" i="1"/>
  <c r="AH833" i="1"/>
  <c r="U833" i="1" a="1"/>
  <c r="U833" i="1" s="1"/>
  <c r="K833" i="1" a="1"/>
  <c r="K833" i="1" s="1"/>
  <c r="S833" i="1"/>
  <c r="T833" i="1"/>
  <c r="A833" i="1" a="1"/>
  <c r="A833" i="1" s="1"/>
  <c r="AE832" i="1" a="1"/>
  <c r="AE832" i="1" s="1"/>
  <c r="U832" i="1" a="1"/>
  <c r="U832" i="1" s="1"/>
  <c r="X832" i="1"/>
  <c r="Y832" i="1"/>
  <c r="Z832" i="1"/>
  <c r="AA832" i="1"/>
  <c r="AD832" i="1"/>
  <c r="K832" i="1" a="1"/>
  <c r="K832" i="1" s="1"/>
  <c r="P832" i="1"/>
  <c r="Q832" i="1"/>
  <c r="R832" i="1"/>
  <c r="S832" i="1"/>
  <c r="T832" i="1"/>
  <c r="A832" i="1" a="1"/>
  <c r="A832" i="1" s="1"/>
  <c r="G832" i="1"/>
  <c r="H832" i="1"/>
  <c r="AE831" i="1" a="1"/>
  <c r="AE831" i="1" s="1"/>
  <c r="U831" i="1" a="1"/>
  <c r="U831" i="1" s="1"/>
  <c r="Y831" i="1"/>
  <c r="Z831" i="1"/>
  <c r="AA831" i="1"/>
  <c r="AB831" i="1"/>
  <c r="K831" i="1" a="1"/>
  <c r="K831" i="1" s="1"/>
  <c r="O831" i="1"/>
  <c r="Q831" i="1"/>
  <c r="R831" i="1"/>
  <c r="S831" i="1"/>
  <c r="T831" i="1"/>
  <c r="A831" i="1" a="1"/>
  <c r="A831" i="1" s="1"/>
  <c r="E831" i="1"/>
  <c r="F831" i="1"/>
  <c r="AE830" i="1" a="1"/>
  <c r="AE830" i="1" s="1"/>
  <c r="U830" i="1" a="1"/>
  <c r="U830" i="1" s="1"/>
  <c r="X830" i="1"/>
  <c r="Y830" i="1"/>
  <c r="Z830" i="1"/>
  <c r="AA830" i="1"/>
  <c r="AD830" i="1"/>
  <c r="K830" i="1" a="1"/>
  <c r="K830" i="1" s="1"/>
  <c r="P830" i="1"/>
  <c r="R830" i="1"/>
  <c r="S830" i="1"/>
  <c r="T830" i="1"/>
  <c r="A830" i="1" a="1"/>
  <c r="A830" i="1" s="1"/>
  <c r="E830" i="1"/>
  <c r="F830" i="1"/>
  <c r="AE829" i="1" a="1"/>
  <c r="AE829" i="1" s="1"/>
  <c r="AH829" i="1"/>
  <c r="U829" i="1" a="1"/>
  <c r="U829" i="1" s="1"/>
  <c r="K829" i="1" a="1"/>
  <c r="K829" i="1" s="1"/>
  <c r="R829" i="1"/>
  <c r="T829" i="1"/>
  <c r="A829" i="1" a="1"/>
  <c r="A829" i="1" s="1"/>
  <c r="H829" i="1"/>
  <c r="I829" i="1"/>
  <c r="AE828" i="1" a="1"/>
  <c r="AE828" i="1" s="1"/>
  <c r="AH828" i="1"/>
  <c r="U828" i="1" a="1"/>
  <c r="U828" i="1" s="1"/>
  <c r="X828" i="1"/>
  <c r="Y828" i="1"/>
  <c r="Z828" i="1"/>
  <c r="AA828" i="1"/>
  <c r="AB828" i="1"/>
  <c r="AC828" i="1"/>
  <c r="AD828" i="1"/>
  <c r="K828" i="1" a="1"/>
  <c r="K828" i="1" s="1"/>
  <c r="O828" i="1"/>
  <c r="P828" i="1"/>
  <c r="Q828" i="1"/>
  <c r="R828" i="1"/>
  <c r="S828" i="1"/>
  <c r="T828" i="1"/>
  <c r="A828" i="1" a="1"/>
  <c r="A828" i="1" s="1"/>
  <c r="E828" i="1"/>
  <c r="G828" i="1"/>
  <c r="H828" i="1"/>
  <c r="AE827" i="1" a="1"/>
  <c r="AE827" i="1" s="1"/>
  <c r="U827" i="1" a="1"/>
  <c r="U827" i="1" s="1"/>
  <c r="Z827" i="1"/>
  <c r="AA827" i="1"/>
  <c r="AB827" i="1"/>
  <c r="AC827" i="1"/>
  <c r="K827" i="1" a="1"/>
  <c r="K827" i="1" s="1"/>
  <c r="N827" i="1"/>
  <c r="O827" i="1"/>
  <c r="P827" i="1"/>
  <c r="Q827" i="1"/>
  <c r="R827" i="1"/>
  <c r="S827" i="1"/>
  <c r="T827" i="1"/>
  <c r="A827" i="1" a="1"/>
  <c r="A827" i="1" s="1"/>
  <c r="I827" i="1"/>
  <c r="J827" i="1"/>
  <c r="AE826" i="1" a="1"/>
  <c r="AE826" i="1" s="1"/>
  <c r="U826" i="1" a="1"/>
  <c r="U826" i="1" s="1"/>
  <c r="AD826" i="1"/>
  <c r="K826" i="1" a="1"/>
  <c r="K826" i="1" s="1"/>
  <c r="A826" i="1" a="1"/>
  <c r="A826" i="1" s="1"/>
  <c r="D826" i="1"/>
  <c r="F826" i="1"/>
  <c r="G826" i="1"/>
  <c r="H826" i="1"/>
  <c r="I826" i="1"/>
  <c r="J826" i="1"/>
  <c r="AE825" i="1" a="1"/>
  <c r="AE825" i="1" s="1"/>
  <c r="AH825" i="1"/>
  <c r="U825" i="1" a="1"/>
  <c r="U825" i="1" s="1"/>
  <c r="K825" i="1" a="1"/>
  <c r="K825" i="1" s="1"/>
  <c r="A825" i="1" a="1"/>
  <c r="A825" i="1" s="1"/>
  <c r="E825" i="1"/>
  <c r="F825" i="1"/>
  <c r="G825" i="1"/>
  <c r="H825" i="1"/>
  <c r="I825" i="1"/>
  <c r="J825" i="1"/>
  <c r="AE824" i="1" a="1"/>
  <c r="AE824" i="1" s="1"/>
  <c r="U824" i="1" a="1"/>
  <c r="U824" i="1" s="1"/>
  <c r="AD824" i="1"/>
  <c r="K824" i="1" a="1"/>
  <c r="K824" i="1" s="1"/>
  <c r="A824" i="1" a="1"/>
  <c r="A824" i="1" s="1"/>
  <c r="D824" i="1"/>
  <c r="F824" i="1"/>
  <c r="G824" i="1"/>
  <c r="H824" i="1"/>
  <c r="I824" i="1"/>
  <c r="J824" i="1"/>
  <c r="AE823" i="1" a="1"/>
  <c r="AE823" i="1" s="1"/>
  <c r="U823" i="1" a="1"/>
  <c r="U823" i="1" s="1"/>
  <c r="K823" i="1" a="1"/>
  <c r="K823" i="1" s="1"/>
  <c r="T823" i="1"/>
  <c r="A823" i="1" a="1"/>
  <c r="A823" i="1" s="1"/>
  <c r="D823" i="1"/>
  <c r="E823" i="1"/>
  <c r="F823" i="1"/>
  <c r="G823" i="1"/>
  <c r="J823" i="1"/>
  <c r="AE822" i="1" a="1"/>
  <c r="AE822" i="1" s="1"/>
  <c r="AG822" i="1"/>
  <c r="U822" i="1" a="1"/>
  <c r="U822" i="1" s="1"/>
  <c r="AB822" i="1"/>
  <c r="AC822" i="1"/>
  <c r="K822" i="1" a="1"/>
  <c r="K822" i="1" s="1"/>
  <c r="N822" i="1"/>
  <c r="P822" i="1"/>
  <c r="S822" i="1"/>
  <c r="T822" i="1"/>
  <c r="A822" i="1" a="1"/>
  <c r="A822" i="1" s="1"/>
  <c r="AE821" i="1" a="1"/>
  <c r="AE821" i="1" s="1"/>
  <c r="AF821" i="1"/>
  <c r="AG821" i="1"/>
  <c r="AH821" i="1"/>
  <c r="U821" i="1" a="1"/>
  <c r="U821" i="1" s="1"/>
  <c r="Y821" i="1"/>
  <c r="Z821" i="1"/>
  <c r="K821" i="1" a="1"/>
  <c r="K821" i="1" s="1"/>
  <c r="S821" i="1"/>
  <c r="T821" i="1"/>
  <c r="A821" i="1" a="1"/>
  <c r="A821" i="1" s="1"/>
  <c r="AE820" i="1" a="1"/>
  <c r="AE820" i="1" s="1"/>
  <c r="AH820" i="1"/>
  <c r="U820" i="1" a="1"/>
  <c r="U820" i="1" s="1"/>
  <c r="Y820" i="1"/>
  <c r="Z820" i="1"/>
  <c r="AA820" i="1"/>
  <c r="AB820" i="1"/>
  <c r="AC820" i="1"/>
  <c r="AD820" i="1"/>
  <c r="K820" i="1" a="1"/>
  <c r="K820" i="1" s="1"/>
  <c r="A820" i="1" a="1"/>
  <c r="A820" i="1" s="1"/>
  <c r="E820" i="1"/>
  <c r="F820" i="1"/>
  <c r="G820" i="1"/>
  <c r="H820" i="1"/>
  <c r="AE819" i="1" a="1"/>
  <c r="AE819" i="1" s="1"/>
  <c r="U819" i="1" a="1"/>
  <c r="U819" i="1" s="1"/>
  <c r="X819" i="1"/>
  <c r="Y819" i="1"/>
  <c r="Z819" i="1"/>
  <c r="AA819" i="1"/>
  <c r="AB819" i="1"/>
  <c r="AC819" i="1"/>
  <c r="AD819" i="1"/>
  <c r="K819" i="1" a="1"/>
  <c r="K819" i="1" s="1"/>
  <c r="A819" i="1" a="1"/>
  <c r="A819" i="1" s="1"/>
  <c r="AE818" i="1" a="1"/>
  <c r="AE818" i="1" s="1"/>
  <c r="U818" i="1" a="1"/>
  <c r="U818" i="1" s="1"/>
  <c r="Z818" i="1"/>
  <c r="AA818" i="1"/>
  <c r="AB818" i="1"/>
  <c r="AC818" i="1"/>
  <c r="AD818" i="1"/>
  <c r="K818" i="1" a="1"/>
  <c r="K818" i="1" s="1"/>
  <c r="R818" i="1"/>
  <c r="A818" i="1" a="1"/>
  <c r="A818" i="1" s="1"/>
  <c r="I818" i="1"/>
  <c r="J818" i="1"/>
  <c r="AE817" i="1" a="1"/>
  <c r="AE817" i="1" s="1"/>
  <c r="U817" i="1" a="1"/>
  <c r="U817" i="1" s="1"/>
  <c r="X817" i="1"/>
  <c r="Y817" i="1"/>
  <c r="Z817" i="1"/>
  <c r="AA817" i="1"/>
  <c r="AB817" i="1"/>
  <c r="AC817" i="1"/>
  <c r="AD817" i="1"/>
  <c r="K817" i="1" a="1"/>
  <c r="K817" i="1" s="1"/>
  <c r="R817" i="1"/>
  <c r="S817" i="1"/>
  <c r="A817" i="1" a="1"/>
  <c r="A817" i="1" s="1"/>
  <c r="D817" i="1"/>
  <c r="F817" i="1"/>
  <c r="I817" i="1"/>
  <c r="J817" i="1"/>
  <c r="AE816" i="1" a="1"/>
  <c r="AE816" i="1" s="1"/>
  <c r="U816" i="1" a="1"/>
  <c r="U816" i="1" s="1"/>
  <c r="W816" i="1"/>
  <c r="X816" i="1"/>
  <c r="Y816" i="1"/>
  <c r="Z816" i="1"/>
  <c r="AA816" i="1"/>
  <c r="AB816" i="1"/>
  <c r="AC816" i="1"/>
  <c r="AD816" i="1"/>
  <c r="K816" i="1" a="1"/>
  <c r="K816" i="1" s="1"/>
  <c r="N816" i="1"/>
  <c r="O816" i="1"/>
  <c r="A816" i="1" a="1"/>
  <c r="A816" i="1" s="1"/>
  <c r="I816" i="1"/>
  <c r="J816" i="1"/>
  <c r="AE815" i="1" a="1"/>
  <c r="AE815" i="1" s="1"/>
  <c r="U815" i="1" a="1"/>
  <c r="U815" i="1" s="1"/>
  <c r="X815" i="1"/>
  <c r="Y815" i="1"/>
  <c r="Z815" i="1"/>
  <c r="AA815" i="1"/>
  <c r="AB815" i="1"/>
  <c r="AC815" i="1"/>
  <c r="AD815" i="1"/>
  <c r="K815" i="1" a="1"/>
  <c r="K815" i="1" s="1"/>
  <c r="P815" i="1"/>
  <c r="Q815" i="1"/>
  <c r="A815" i="1" a="1"/>
  <c r="A815" i="1" s="1"/>
  <c r="D815" i="1"/>
  <c r="G815" i="1"/>
  <c r="H815" i="1"/>
  <c r="I815" i="1"/>
  <c r="J815" i="1"/>
  <c r="AE814" i="1" a="1"/>
  <c r="AE814" i="1" s="1"/>
  <c r="AH814" i="1"/>
  <c r="U814" i="1" a="1"/>
  <c r="U814" i="1" s="1"/>
  <c r="AA814" i="1"/>
  <c r="AB814" i="1"/>
  <c r="AC814" i="1"/>
  <c r="AD814" i="1"/>
  <c r="K814" i="1" a="1"/>
  <c r="K814" i="1" s="1"/>
  <c r="P814" i="1"/>
  <c r="Q814" i="1"/>
  <c r="A814" i="1" a="1"/>
  <c r="A814" i="1" s="1"/>
  <c r="H814" i="1"/>
  <c r="I814" i="1"/>
  <c r="J814" i="1"/>
  <c r="AE813" i="1" a="1"/>
  <c r="AE813" i="1" s="1"/>
  <c r="U813" i="1" a="1"/>
  <c r="U813" i="1" s="1"/>
  <c r="Z813" i="1"/>
  <c r="AA813" i="1"/>
  <c r="AB813" i="1"/>
  <c r="AC813" i="1"/>
  <c r="AD813" i="1"/>
  <c r="K813" i="1" a="1"/>
  <c r="K813" i="1" s="1"/>
  <c r="O813" i="1"/>
  <c r="A813" i="1" a="1"/>
  <c r="A813" i="1" s="1"/>
  <c r="H813" i="1"/>
  <c r="I813" i="1"/>
  <c r="J813" i="1"/>
  <c r="AE812" i="1" a="1"/>
  <c r="AE812" i="1" s="1"/>
  <c r="U812" i="1" a="1"/>
  <c r="U812" i="1" s="1"/>
  <c r="Z812" i="1"/>
  <c r="AB812" i="1"/>
  <c r="AD812" i="1"/>
  <c r="K812" i="1" a="1"/>
  <c r="K812" i="1" s="1"/>
  <c r="Q812" i="1"/>
  <c r="R812" i="1"/>
  <c r="S812" i="1"/>
  <c r="T812" i="1"/>
  <c r="A812" i="1" a="1"/>
  <c r="A812" i="1" s="1"/>
  <c r="AE811" i="1" a="1"/>
  <c r="AE811" i="1" s="1"/>
  <c r="AH811" i="1"/>
  <c r="U811" i="1" a="1"/>
  <c r="U811" i="1" s="1"/>
  <c r="K811" i="1" a="1"/>
  <c r="K811" i="1" s="1"/>
  <c r="N811" i="1"/>
  <c r="O811" i="1"/>
  <c r="P811" i="1"/>
  <c r="Q811" i="1"/>
  <c r="R811" i="1"/>
  <c r="S811" i="1"/>
  <c r="T811" i="1"/>
  <c r="A811" i="1" a="1"/>
  <c r="A811" i="1" s="1"/>
  <c r="AE810" i="1" a="1"/>
  <c r="AE810" i="1" s="1"/>
  <c r="U810" i="1" a="1"/>
  <c r="U810" i="1" s="1"/>
  <c r="W810" i="1"/>
  <c r="X810" i="1"/>
  <c r="K810" i="1" a="1"/>
  <c r="K810" i="1" s="1"/>
  <c r="P810" i="1"/>
  <c r="Q810" i="1"/>
  <c r="R810" i="1"/>
  <c r="S810" i="1"/>
  <c r="T810" i="1"/>
  <c r="A810" i="1" a="1"/>
  <c r="A810" i="1" s="1"/>
  <c r="D810" i="1"/>
  <c r="AE809" i="1" a="1"/>
  <c r="AE809" i="1" s="1"/>
  <c r="AG809" i="1"/>
  <c r="AH809" i="1"/>
  <c r="U809" i="1" a="1"/>
  <c r="U809" i="1" s="1"/>
  <c r="K809" i="1" a="1"/>
  <c r="K809" i="1" s="1"/>
  <c r="N809" i="1"/>
  <c r="P809" i="1"/>
  <c r="Q809" i="1"/>
  <c r="R809" i="1"/>
  <c r="A809" i="1" a="1"/>
  <c r="A809" i="1" s="1"/>
  <c r="AE808" i="1" a="1"/>
  <c r="AE808" i="1" s="1"/>
  <c r="AH808" i="1"/>
  <c r="U808" i="1" a="1"/>
  <c r="U808" i="1" s="1"/>
  <c r="K808" i="1" a="1"/>
  <c r="K808" i="1" s="1"/>
  <c r="R808" i="1"/>
  <c r="T808" i="1"/>
  <c r="A808" i="1" a="1"/>
  <c r="A808" i="1" s="1"/>
  <c r="AE807" i="1" a="1"/>
  <c r="AE807" i="1" s="1"/>
  <c r="AH807" i="1"/>
  <c r="U807" i="1" a="1"/>
  <c r="U807" i="1" s="1"/>
  <c r="K807" i="1" a="1"/>
  <c r="K807" i="1" s="1"/>
  <c r="A807" i="1" a="1"/>
  <c r="A807" i="1" s="1"/>
  <c r="I807" i="1"/>
  <c r="J807" i="1"/>
  <c r="AE806" i="1" a="1"/>
  <c r="AE806" i="1" s="1"/>
  <c r="U806" i="1" a="1"/>
  <c r="U806" i="1" s="1"/>
  <c r="Y806" i="1"/>
  <c r="Z806" i="1"/>
  <c r="AD806" i="1"/>
  <c r="K806" i="1" a="1"/>
  <c r="K806" i="1" s="1"/>
  <c r="A806" i="1" a="1"/>
  <c r="A806" i="1" s="1"/>
  <c r="E806" i="1"/>
  <c r="G806" i="1"/>
  <c r="H806" i="1"/>
  <c r="I806" i="1"/>
  <c r="J806" i="1"/>
  <c r="AE805" i="1" a="1"/>
  <c r="AE805" i="1" s="1"/>
  <c r="AH805" i="1"/>
  <c r="U805" i="1" a="1"/>
  <c r="U805" i="1" s="1"/>
  <c r="K805" i="1" a="1"/>
  <c r="K805" i="1" s="1"/>
  <c r="A805" i="1" a="1"/>
  <c r="A805" i="1" s="1"/>
  <c r="H805" i="1"/>
  <c r="I805" i="1"/>
  <c r="J805" i="1"/>
  <c r="AE804" i="1" a="1"/>
  <c r="AE804" i="1" s="1"/>
  <c r="U804" i="1" a="1"/>
  <c r="U804" i="1" s="1"/>
  <c r="X804" i="1"/>
  <c r="K804" i="1" a="1"/>
  <c r="K804" i="1" s="1"/>
  <c r="N804" i="1"/>
  <c r="O804" i="1"/>
  <c r="P804" i="1"/>
  <c r="Q804" i="1"/>
  <c r="T804" i="1"/>
  <c r="A804" i="1" a="1"/>
  <c r="A804" i="1" s="1"/>
  <c r="E804" i="1"/>
  <c r="F804" i="1"/>
  <c r="G804" i="1"/>
  <c r="H804" i="1"/>
  <c r="I804" i="1"/>
  <c r="J804" i="1"/>
  <c r="AE803" i="1" a="1"/>
  <c r="AE803" i="1" s="1"/>
  <c r="AH803" i="1"/>
  <c r="U803" i="1" a="1"/>
  <c r="U803" i="1" s="1"/>
  <c r="K803" i="1" a="1"/>
  <c r="K803" i="1" s="1"/>
  <c r="N803" i="1"/>
  <c r="O803" i="1"/>
  <c r="A803" i="1" a="1"/>
  <c r="A803" i="1" s="1"/>
  <c r="I803" i="1"/>
  <c r="J803" i="1"/>
  <c r="AE802" i="1" a="1"/>
  <c r="AE802" i="1" s="1"/>
  <c r="U802" i="1" a="1"/>
  <c r="U802" i="1" s="1"/>
  <c r="Z802" i="1"/>
  <c r="AA802" i="1"/>
  <c r="K802" i="1" a="1"/>
  <c r="K802" i="1" s="1"/>
  <c r="T802" i="1"/>
  <c r="A802" i="1" a="1"/>
  <c r="A802" i="1" s="1"/>
  <c r="AE801" i="1" a="1"/>
  <c r="AE801" i="1" s="1"/>
  <c r="U801" i="1" a="1"/>
  <c r="U801" i="1" s="1"/>
  <c r="Y801" i="1"/>
  <c r="Z801" i="1"/>
  <c r="AA801" i="1"/>
  <c r="AB801" i="1"/>
  <c r="AC801" i="1"/>
  <c r="AD801" i="1"/>
  <c r="K801" i="1" a="1"/>
  <c r="K801" i="1" s="1"/>
  <c r="A801" i="1" a="1"/>
  <c r="A801" i="1" s="1"/>
  <c r="D801" i="1"/>
  <c r="E801" i="1"/>
  <c r="F801" i="1"/>
  <c r="G801" i="1"/>
  <c r="J801" i="1"/>
  <c r="AE800" i="1" a="1"/>
  <c r="AE800" i="1" s="1"/>
  <c r="U800" i="1" a="1"/>
  <c r="U800" i="1" s="1"/>
  <c r="Z800" i="1"/>
  <c r="AB800" i="1"/>
  <c r="AC800" i="1"/>
  <c r="K800" i="1" a="1"/>
  <c r="K800" i="1" s="1"/>
  <c r="N800" i="1"/>
  <c r="Q800" i="1"/>
  <c r="R800" i="1"/>
  <c r="S800" i="1"/>
  <c r="T800" i="1"/>
  <c r="A800" i="1" a="1"/>
  <c r="A800" i="1" s="1"/>
  <c r="AE799" i="1" a="1"/>
  <c r="AE799" i="1" s="1"/>
  <c r="AG799" i="1"/>
  <c r="AH799" i="1"/>
  <c r="U799" i="1" a="1"/>
  <c r="U799" i="1" s="1"/>
  <c r="X799" i="1"/>
  <c r="Z799" i="1"/>
  <c r="AA799" i="1"/>
  <c r="K799" i="1" a="1"/>
  <c r="K799" i="1" s="1"/>
  <c r="O799" i="1"/>
  <c r="Q799" i="1"/>
  <c r="R799" i="1"/>
  <c r="S799" i="1"/>
  <c r="T799" i="1"/>
  <c r="A799" i="1" a="1"/>
  <c r="A799" i="1" s="1"/>
  <c r="AE798" i="1" a="1"/>
  <c r="AE798" i="1" s="1"/>
  <c r="U798" i="1" a="1"/>
  <c r="U798" i="1" s="1"/>
  <c r="AA798" i="1"/>
  <c r="AB798" i="1"/>
  <c r="K798" i="1" a="1"/>
  <c r="K798" i="1" s="1"/>
  <c r="M798" i="1"/>
  <c r="N798" i="1"/>
  <c r="P798" i="1"/>
  <c r="Q798" i="1"/>
  <c r="R798" i="1"/>
  <c r="S798" i="1"/>
  <c r="T798" i="1"/>
  <c r="A798" i="1" a="1"/>
  <c r="A798" i="1" s="1"/>
  <c r="I798" i="1"/>
  <c r="AE797" i="1" a="1"/>
  <c r="AE797" i="1" s="1"/>
  <c r="AH797" i="1"/>
  <c r="U797" i="1" a="1"/>
  <c r="U797" i="1" s="1"/>
  <c r="AB797" i="1"/>
  <c r="AC797" i="1"/>
  <c r="K797" i="1" a="1"/>
  <c r="K797" i="1" s="1"/>
  <c r="S797" i="1"/>
  <c r="T797" i="1"/>
  <c r="A797" i="1" a="1"/>
  <c r="A797" i="1" s="1"/>
  <c r="AE796" i="1" a="1"/>
  <c r="AE796" i="1" s="1"/>
  <c r="AH796" i="1"/>
  <c r="U796" i="1" a="1"/>
  <c r="U796" i="1" s="1"/>
  <c r="Z796" i="1"/>
  <c r="AB796" i="1"/>
  <c r="AC796" i="1"/>
  <c r="AD796" i="1"/>
  <c r="K796" i="1" a="1"/>
  <c r="K796" i="1" s="1"/>
  <c r="R796" i="1"/>
  <c r="S796" i="1"/>
  <c r="A796" i="1" a="1"/>
  <c r="A796" i="1" s="1"/>
  <c r="I796" i="1"/>
  <c r="AE795" i="1" a="1"/>
  <c r="AE795" i="1" s="1"/>
  <c r="U795" i="1" a="1"/>
  <c r="U795" i="1" s="1"/>
  <c r="Y795" i="1"/>
  <c r="K795" i="1" a="1"/>
  <c r="K795" i="1" s="1"/>
  <c r="M795" i="1"/>
  <c r="N795" i="1"/>
  <c r="O795" i="1"/>
  <c r="P795" i="1"/>
  <c r="Q795" i="1"/>
  <c r="R795" i="1"/>
  <c r="S795" i="1"/>
  <c r="A795" i="1" a="1"/>
  <c r="A795" i="1" s="1"/>
  <c r="J795" i="1"/>
  <c r="AE794" i="1" a="1"/>
  <c r="AE794" i="1" s="1"/>
  <c r="U794" i="1" a="1"/>
  <c r="U794" i="1" s="1"/>
  <c r="K794" i="1" a="1"/>
  <c r="K794" i="1" s="1"/>
  <c r="P794" i="1"/>
  <c r="Q794" i="1"/>
  <c r="R794" i="1"/>
  <c r="S794" i="1"/>
  <c r="T794" i="1"/>
  <c r="A794" i="1" a="1"/>
  <c r="A794" i="1" s="1"/>
  <c r="G794" i="1"/>
  <c r="AE793" i="1" a="1"/>
  <c r="AE793" i="1" s="1"/>
  <c r="U793" i="1" a="1"/>
  <c r="U793" i="1" s="1"/>
  <c r="AA793" i="1"/>
  <c r="AC793" i="1"/>
  <c r="AD793" i="1"/>
  <c r="K793" i="1" a="1"/>
  <c r="K793" i="1" s="1"/>
  <c r="A793" i="1" a="1"/>
  <c r="A793" i="1" s="1"/>
  <c r="D793" i="1"/>
  <c r="E793" i="1"/>
  <c r="F793" i="1"/>
  <c r="G793" i="1"/>
  <c r="H793" i="1"/>
  <c r="I793" i="1"/>
  <c r="J793" i="1"/>
  <c r="AE792" i="1" a="1"/>
  <c r="AE792" i="1" s="1"/>
  <c r="U792" i="1" a="1"/>
  <c r="U792" i="1" s="1"/>
  <c r="AA792" i="1"/>
  <c r="AC792" i="1"/>
  <c r="AD792" i="1"/>
  <c r="K792" i="1" a="1"/>
  <c r="K792" i="1" s="1"/>
  <c r="A792" i="1" a="1"/>
  <c r="A792" i="1" s="1"/>
  <c r="F792" i="1"/>
  <c r="G792" i="1"/>
  <c r="H792" i="1"/>
  <c r="I792" i="1"/>
  <c r="J792" i="1"/>
  <c r="AE791" i="1" a="1"/>
  <c r="AE791" i="1" s="1"/>
  <c r="AG791" i="1"/>
  <c r="U791" i="1" a="1"/>
  <c r="U791" i="1" s="1"/>
  <c r="Z791" i="1"/>
  <c r="AB791" i="1"/>
  <c r="AC791" i="1"/>
  <c r="AD791" i="1"/>
  <c r="K791" i="1" a="1"/>
  <c r="K791" i="1" s="1"/>
  <c r="A791" i="1" a="1"/>
  <c r="A791" i="1" s="1"/>
  <c r="F791" i="1"/>
  <c r="G791" i="1"/>
  <c r="H791" i="1"/>
  <c r="I791" i="1"/>
  <c r="J791" i="1"/>
  <c r="AE790" i="1" a="1"/>
  <c r="AE790" i="1" s="1"/>
  <c r="AH790" i="1"/>
  <c r="U790" i="1" a="1"/>
  <c r="U790" i="1" s="1"/>
  <c r="K790" i="1" a="1"/>
  <c r="K790" i="1" s="1"/>
  <c r="Q790" i="1"/>
  <c r="A790" i="1" a="1"/>
  <c r="A790" i="1" s="1"/>
  <c r="AE789" i="1" a="1"/>
  <c r="AE789" i="1" s="1"/>
  <c r="AH789" i="1"/>
  <c r="U789" i="1" a="1"/>
  <c r="U789" i="1" s="1"/>
  <c r="X789" i="1"/>
  <c r="Y789" i="1"/>
  <c r="Z789" i="1"/>
  <c r="AA789" i="1"/>
  <c r="AB789" i="1"/>
  <c r="AC789" i="1"/>
  <c r="AD789" i="1"/>
  <c r="K789" i="1" a="1"/>
  <c r="K789" i="1" s="1"/>
  <c r="Q789" i="1"/>
  <c r="S789" i="1"/>
  <c r="T789" i="1"/>
  <c r="A789" i="1" a="1"/>
  <c r="A789" i="1" s="1"/>
  <c r="AE788" i="1" a="1"/>
  <c r="AE788" i="1" s="1"/>
  <c r="AH788" i="1"/>
  <c r="U788" i="1" a="1"/>
  <c r="U788" i="1" s="1"/>
  <c r="AC788" i="1"/>
  <c r="AD788" i="1"/>
  <c r="K788" i="1" a="1"/>
  <c r="K788" i="1" s="1"/>
  <c r="A788" i="1" a="1"/>
  <c r="A788" i="1" s="1"/>
  <c r="H788" i="1"/>
  <c r="J788" i="1"/>
  <c r="AE787" i="1" a="1"/>
  <c r="AE787" i="1" s="1"/>
  <c r="U787" i="1" a="1"/>
  <c r="U787" i="1" s="1"/>
  <c r="Y787" i="1"/>
  <c r="Z787" i="1"/>
  <c r="AA787" i="1"/>
  <c r="AB787" i="1"/>
  <c r="AC787" i="1"/>
  <c r="AD787" i="1"/>
  <c r="K787" i="1" a="1"/>
  <c r="K787" i="1" s="1"/>
  <c r="R787" i="1"/>
  <c r="S787" i="1"/>
  <c r="A787" i="1" a="1"/>
  <c r="A787" i="1" s="1"/>
  <c r="G787" i="1"/>
  <c r="I787" i="1"/>
  <c r="J787" i="1"/>
  <c r="AE786" i="1" a="1"/>
  <c r="AE786" i="1" s="1"/>
  <c r="U786" i="1" a="1"/>
  <c r="U786" i="1" s="1"/>
  <c r="AA786" i="1"/>
  <c r="AB786" i="1"/>
  <c r="AC786" i="1"/>
  <c r="AD786" i="1"/>
  <c r="K786" i="1" a="1"/>
  <c r="K786" i="1" s="1"/>
  <c r="O786" i="1"/>
  <c r="P786" i="1"/>
  <c r="A786" i="1" a="1"/>
  <c r="A786" i="1" s="1"/>
  <c r="I786" i="1"/>
  <c r="AE785" i="1" a="1"/>
  <c r="AE785" i="1" s="1"/>
  <c r="U785" i="1" a="1"/>
  <c r="U785" i="1" s="1"/>
  <c r="Z785" i="1"/>
  <c r="AA785" i="1"/>
  <c r="AB785" i="1"/>
  <c r="AC785" i="1"/>
  <c r="AD785" i="1"/>
  <c r="K785" i="1" a="1"/>
  <c r="K785" i="1" s="1"/>
  <c r="O785" i="1"/>
  <c r="P785" i="1"/>
  <c r="A785" i="1" a="1"/>
  <c r="A785" i="1" s="1"/>
  <c r="AE784" i="1" a="1"/>
  <c r="AE784" i="1" s="1"/>
  <c r="AH784" i="1"/>
  <c r="U784" i="1" a="1"/>
  <c r="U784" i="1" s="1"/>
  <c r="AA784" i="1"/>
  <c r="AB784" i="1"/>
  <c r="AC784" i="1"/>
  <c r="AD784" i="1"/>
  <c r="K784" i="1" a="1"/>
  <c r="K784" i="1" s="1"/>
  <c r="P784" i="1"/>
  <c r="Q784" i="1"/>
  <c r="A784" i="1" a="1"/>
  <c r="A784" i="1" s="1"/>
  <c r="D784" i="1"/>
  <c r="F784" i="1"/>
  <c r="G784" i="1"/>
  <c r="H784" i="1"/>
  <c r="I784" i="1"/>
  <c r="J784" i="1"/>
  <c r="AE783" i="1" a="1"/>
  <c r="AE783" i="1" s="1"/>
  <c r="U783" i="1" a="1"/>
  <c r="U783" i="1" s="1"/>
  <c r="Z783" i="1"/>
  <c r="AA783" i="1"/>
  <c r="AB783" i="1"/>
  <c r="AC783" i="1"/>
  <c r="AD783" i="1"/>
  <c r="K783" i="1" a="1"/>
  <c r="K783" i="1" s="1"/>
  <c r="Q783" i="1"/>
  <c r="R783" i="1"/>
  <c r="A783" i="1" a="1"/>
  <c r="A783" i="1" s="1"/>
  <c r="H783" i="1"/>
  <c r="I783" i="1"/>
  <c r="AE782" i="1" a="1"/>
  <c r="AE782" i="1" s="1"/>
  <c r="AH782" i="1"/>
  <c r="U782" i="1" a="1"/>
  <c r="U782" i="1" s="1"/>
  <c r="K782" i="1" a="1"/>
  <c r="K782" i="1" s="1"/>
  <c r="N782" i="1"/>
  <c r="O782" i="1"/>
  <c r="P782" i="1"/>
  <c r="Q782" i="1"/>
  <c r="R782" i="1"/>
  <c r="S782" i="1"/>
  <c r="T782" i="1"/>
  <c r="A782" i="1" a="1"/>
  <c r="A782" i="1" s="1"/>
  <c r="G782" i="1"/>
  <c r="I782" i="1"/>
  <c r="J782" i="1"/>
  <c r="AE781" i="1" a="1"/>
  <c r="AE781" i="1" s="1"/>
  <c r="U781" i="1" a="1"/>
  <c r="U781" i="1" s="1"/>
  <c r="K781" i="1" a="1"/>
  <c r="K781" i="1" s="1"/>
  <c r="P781" i="1"/>
  <c r="Q781" i="1"/>
  <c r="A781" i="1" a="1"/>
  <c r="A781" i="1" s="1"/>
  <c r="D781" i="1"/>
  <c r="F781" i="1"/>
  <c r="G781" i="1"/>
  <c r="H781" i="1"/>
  <c r="I781" i="1"/>
  <c r="J781" i="1"/>
  <c r="AE780" i="1" a="1"/>
  <c r="AE780" i="1" s="1"/>
  <c r="U780" i="1" a="1"/>
  <c r="U780" i="1" s="1"/>
  <c r="Z780" i="1"/>
  <c r="AA780" i="1"/>
  <c r="AB780" i="1"/>
  <c r="AC780" i="1"/>
  <c r="AD780" i="1"/>
  <c r="K780" i="1" a="1"/>
  <c r="K780" i="1" s="1"/>
  <c r="N780" i="1"/>
  <c r="O780" i="1"/>
  <c r="T780" i="1"/>
  <c r="A780" i="1" a="1"/>
  <c r="A780" i="1" s="1"/>
  <c r="D780" i="1"/>
  <c r="E780" i="1"/>
  <c r="F780" i="1"/>
  <c r="G780" i="1"/>
  <c r="H780" i="1"/>
  <c r="I780" i="1"/>
  <c r="AE779" i="1" a="1"/>
  <c r="AE779" i="1" s="1"/>
  <c r="U779" i="1" a="1"/>
  <c r="U779" i="1" s="1"/>
  <c r="X779" i="1"/>
  <c r="Y779" i="1"/>
  <c r="Z779" i="1"/>
  <c r="AA779" i="1"/>
  <c r="AB779" i="1"/>
  <c r="AC779" i="1"/>
  <c r="AD779" i="1"/>
  <c r="K779" i="1" a="1"/>
  <c r="K779" i="1" s="1"/>
  <c r="Q779" i="1"/>
  <c r="S779" i="1"/>
  <c r="T779" i="1"/>
  <c r="A779" i="1" a="1"/>
  <c r="A779" i="1" s="1"/>
  <c r="AE778" i="1" a="1"/>
  <c r="AE778" i="1" s="1"/>
  <c r="AH778" i="1"/>
  <c r="U778" i="1" a="1"/>
  <c r="U778" i="1" s="1"/>
  <c r="Y778" i="1"/>
  <c r="Z778" i="1"/>
  <c r="AA778" i="1"/>
  <c r="AB778" i="1"/>
  <c r="K778" i="1" a="1"/>
  <c r="K778" i="1" s="1"/>
  <c r="Q778" i="1"/>
  <c r="R778" i="1"/>
  <c r="T778" i="1"/>
  <c r="A778" i="1" a="1"/>
  <c r="A778" i="1" s="1"/>
  <c r="D778" i="1"/>
  <c r="E778" i="1"/>
  <c r="H778" i="1"/>
  <c r="AE777" i="1" a="1"/>
  <c r="AE777" i="1" s="1"/>
  <c r="U777" i="1" a="1"/>
  <c r="U777" i="1" s="1"/>
  <c r="Y777" i="1"/>
  <c r="Z777" i="1"/>
  <c r="AA777" i="1"/>
  <c r="AB777" i="1"/>
  <c r="AC777" i="1"/>
  <c r="AD777" i="1"/>
  <c r="K777" i="1" a="1"/>
  <c r="K777" i="1" s="1"/>
  <c r="N777" i="1"/>
  <c r="A777" i="1" a="1"/>
  <c r="A777" i="1" s="1"/>
  <c r="J777" i="1"/>
  <c r="AE776" i="1" a="1"/>
  <c r="AE776" i="1" s="1"/>
  <c r="AG776" i="1"/>
  <c r="U776" i="1" a="1"/>
  <c r="U776" i="1" s="1"/>
  <c r="X776" i="1"/>
  <c r="Y776" i="1"/>
  <c r="Z776" i="1"/>
  <c r="AA776" i="1"/>
  <c r="AB776" i="1"/>
  <c r="AC776" i="1"/>
  <c r="AD776" i="1"/>
  <c r="K776" i="1" a="1"/>
  <c r="K776" i="1" s="1"/>
  <c r="P776" i="1"/>
  <c r="Q776" i="1"/>
  <c r="A776" i="1" a="1"/>
  <c r="A776" i="1" s="1"/>
  <c r="F776" i="1"/>
  <c r="H776" i="1"/>
  <c r="I776" i="1"/>
  <c r="J776" i="1"/>
  <c r="AE775" i="1" a="1"/>
  <c r="AE775" i="1" s="1"/>
  <c r="AF775" i="1"/>
  <c r="U775" i="1" a="1"/>
  <c r="U775" i="1" s="1"/>
  <c r="Y775" i="1"/>
  <c r="Z775" i="1"/>
  <c r="AA775" i="1"/>
  <c r="AB775" i="1"/>
  <c r="AC775" i="1"/>
  <c r="AD775" i="1"/>
  <c r="K775" i="1" a="1"/>
  <c r="K775" i="1" s="1"/>
  <c r="O775" i="1"/>
  <c r="A775" i="1" a="1"/>
  <c r="A775" i="1" s="1"/>
  <c r="C775" i="1"/>
  <c r="D775" i="1"/>
  <c r="E775" i="1"/>
  <c r="F775" i="1"/>
  <c r="G775" i="1"/>
  <c r="H775" i="1"/>
  <c r="J775" i="1"/>
  <c r="AE774" i="1" a="1"/>
  <c r="AE774" i="1" s="1"/>
  <c r="AG774" i="1"/>
  <c r="AH774" i="1"/>
  <c r="U774" i="1" a="1"/>
  <c r="U774" i="1" s="1"/>
  <c r="X774" i="1"/>
  <c r="Y774" i="1"/>
  <c r="Z774" i="1"/>
  <c r="AA774" i="1"/>
  <c r="K774" i="1" a="1"/>
  <c r="K774" i="1" s="1"/>
  <c r="N774" i="1"/>
  <c r="P774" i="1"/>
  <c r="Q774" i="1"/>
  <c r="R774" i="1"/>
  <c r="S774" i="1"/>
  <c r="T774" i="1"/>
  <c r="A774" i="1" a="1"/>
  <c r="A774" i="1" s="1"/>
  <c r="F774" i="1"/>
  <c r="I774" i="1"/>
  <c r="J774" i="1"/>
  <c r="AE773" i="1" a="1"/>
  <c r="AE773" i="1" s="1"/>
  <c r="U773" i="1" a="1"/>
  <c r="U773" i="1" s="1"/>
  <c r="X773" i="1"/>
  <c r="Y773" i="1"/>
  <c r="K773" i="1" a="1"/>
  <c r="K773" i="1" s="1"/>
  <c r="N773" i="1"/>
  <c r="O773" i="1"/>
  <c r="P773" i="1"/>
  <c r="Q773" i="1"/>
  <c r="R773" i="1"/>
  <c r="S773" i="1"/>
  <c r="A773" i="1" a="1"/>
  <c r="A773" i="1" s="1"/>
  <c r="G773" i="1"/>
  <c r="H773" i="1"/>
  <c r="I773" i="1"/>
  <c r="J773" i="1"/>
  <c r="AE772" i="1" a="1"/>
  <c r="AE772" i="1" s="1"/>
  <c r="U772" i="1" a="1"/>
  <c r="U772" i="1" s="1"/>
  <c r="W772" i="1"/>
  <c r="K772" i="1" a="1"/>
  <c r="K772" i="1" s="1"/>
  <c r="N772" i="1"/>
  <c r="O772" i="1"/>
  <c r="P772" i="1"/>
  <c r="A772" i="1" a="1"/>
  <c r="A772" i="1" s="1"/>
  <c r="G772" i="1"/>
  <c r="H772" i="1"/>
  <c r="I772" i="1"/>
  <c r="J772" i="1"/>
  <c r="AE771" i="1" a="1"/>
  <c r="AE771" i="1" s="1"/>
  <c r="U771" i="1" a="1"/>
  <c r="U771" i="1" s="1"/>
  <c r="V771" i="1"/>
  <c r="K771" i="1" a="1"/>
  <c r="K771" i="1" s="1"/>
  <c r="A771" i="1" a="1"/>
  <c r="A771" i="1" s="1"/>
  <c r="D771" i="1"/>
  <c r="E771" i="1"/>
  <c r="F771" i="1"/>
  <c r="G771" i="1"/>
  <c r="H771" i="1"/>
  <c r="I771" i="1"/>
  <c r="J771" i="1"/>
  <c r="AE770" i="1" a="1"/>
  <c r="AE770" i="1" s="1"/>
  <c r="U770" i="1" a="1"/>
  <c r="U770" i="1" s="1"/>
  <c r="Y770" i="1"/>
  <c r="AA770" i="1"/>
  <c r="AB770" i="1"/>
  <c r="AC770" i="1"/>
  <c r="AD770" i="1"/>
  <c r="K770" i="1" a="1"/>
  <c r="K770" i="1" s="1"/>
  <c r="A770" i="1" a="1"/>
  <c r="A770" i="1" s="1"/>
  <c r="G770" i="1"/>
  <c r="I770" i="1"/>
  <c r="J770" i="1"/>
  <c r="AE769" i="1" a="1"/>
  <c r="AE769" i="1" s="1"/>
  <c r="AG769" i="1"/>
  <c r="U769" i="1" a="1"/>
  <c r="U769" i="1" s="1"/>
  <c r="AA769" i="1"/>
  <c r="AC769" i="1"/>
  <c r="K769" i="1" a="1"/>
  <c r="K769" i="1" s="1"/>
  <c r="P769" i="1"/>
  <c r="Q769" i="1"/>
  <c r="R769" i="1"/>
  <c r="S769" i="1"/>
  <c r="T769" i="1"/>
  <c r="A769" i="1" a="1"/>
  <c r="A769" i="1" s="1"/>
  <c r="AE768" i="1" a="1"/>
  <c r="AE768" i="1" s="1"/>
  <c r="AH768" i="1"/>
  <c r="U768" i="1" a="1"/>
  <c r="U768" i="1" s="1"/>
  <c r="Z768" i="1"/>
  <c r="AA768" i="1"/>
  <c r="K768" i="1" a="1"/>
  <c r="K768" i="1" s="1"/>
  <c r="R768" i="1"/>
  <c r="T768" i="1"/>
  <c r="A768" i="1" a="1"/>
  <c r="A768" i="1" s="1"/>
  <c r="H768" i="1"/>
  <c r="J768" i="1"/>
  <c r="AE767" i="1" a="1"/>
  <c r="AE767" i="1" s="1"/>
  <c r="AH767" i="1"/>
  <c r="U767" i="1" a="1"/>
  <c r="U767" i="1" s="1"/>
  <c r="X767" i="1"/>
  <c r="Y767" i="1"/>
  <c r="Z767" i="1"/>
  <c r="AA767" i="1"/>
  <c r="AB767" i="1"/>
  <c r="AC767" i="1"/>
  <c r="AD767" i="1"/>
  <c r="K767" i="1" a="1"/>
  <c r="K767" i="1" s="1"/>
  <c r="Q767" i="1"/>
  <c r="A767" i="1" a="1"/>
  <c r="A767" i="1" s="1"/>
  <c r="H767" i="1"/>
  <c r="J767" i="1"/>
  <c r="AE766" i="1" a="1"/>
  <c r="AE766" i="1" s="1"/>
  <c r="AH766" i="1"/>
  <c r="U766" i="1" a="1"/>
  <c r="U766" i="1" s="1"/>
  <c r="Y766" i="1"/>
  <c r="K766" i="1" a="1"/>
  <c r="K766" i="1" s="1"/>
  <c r="N766" i="1"/>
  <c r="O766" i="1"/>
  <c r="P766" i="1"/>
  <c r="Q766" i="1"/>
  <c r="R766" i="1"/>
  <c r="S766" i="1"/>
  <c r="T766" i="1"/>
  <c r="A766" i="1" a="1"/>
  <c r="A766" i="1" s="1"/>
  <c r="J766" i="1"/>
  <c r="AE765" i="1" a="1"/>
  <c r="AE765" i="1" s="1"/>
  <c r="AG765" i="1"/>
  <c r="AH765" i="1"/>
  <c r="U765" i="1" a="1"/>
  <c r="U765" i="1" s="1"/>
  <c r="K765" i="1" a="1"/>
  <c r="K765" i="1" s="1"/>
  <c r="O765" i="1"/>
  <c r="Q765" i="1"/>
  <c r="R765" i="1"/>
  <c r="S765" i="1"/>
  <c r="T765" i="1"/>
  <c r="A765" i="1" a="1"/>
  <c r="A765" i="1" s="1"/>
  <c r="J765" i="1"/>
  <c r="AE764" i="1" a="1"/>
  <c r="AE764" i="1" s="1"/>
  <c r="AG764" i="1"/>
  <c r="AH764" i="1"/>
  <c r="U764" i="1" a="1"/>
  <c r="U764" i="1" s="1"/>
  <c r="K764" i="1" a="1"/>
  <c r="K764" i="1" s="1"/>
  <c r="O764" i="1"/>
  <c r="P764" i="1"/>
  <c r="Q764" i="1"/>
  <c r="R764" i="1"/>
  <c r="S764" i="1"/>
  <c r="T764" i="1"/>
  <c r="A764" i="1" a="1"/>
  <c r="A764" i="1" s="1"/>
  <c r="AE763" i="1" a="1"/>
  <c r="AE763" i="1" s="1"/>
  <c r="U763" i="1" a="1"/>
  <c r="U763" i="1" s="1"/>
  <c r="AB763" i="1"/>
  <c r="K763" i="1" a="1"/>
  <c r="K763" i="1" s="1"/>
  <c r="O763" i="1"/>
  <c r="R763" i="1"/>
  <c r="S763" i="1"/>
  <c r="T763" i="1"/>
  <c r="A763" i="1" a="1"/>
  <c r="A763" i="1" s="1"/>
  <c r="E763" i="1"/>
  <c r="G763" i="1"/>
  <c r="H763" i="1"/>
  <c r="AE762" i="1" a="1"/>
  <c r="AE762" i="1" s="1"/>
  <c r="U762" i="1" a="1"/>
  <c r="U762" i="1" s="1"/>
  <c r="Y762" i="1"/>
  <c r="AA762" i="1"/>
  <c r="K762" i="1" a="1"/>
  <c r="K762" i="1" s="1"/>
  <c r="O762" i="1"/>
  <c r="P762" i="1"/>
  <c r="Q762" i="1"/>
  <c r="R762" i="1"/>
  <c r="S762" i="1"/>
  <c r="T762" i="1"/>
  <c r="A762" i="1" a="1"/>
  <c r="A762" i="1" s="1"/>
  <c r="F762" i="1"/>
  <c r="H762" i="1"/>
  <c r="I762" i="1"/>
  <c r="AE761" i="1" a="1"/>
  <c r="AE761" i="1" s="1"/>
  <c r="AG761" i="1"/>
  <c r="AH761" i="1"/>
  <c r="U761" i="1" a="1"/>
  <c r="U761" i="1" s="1"/>
  <c r="K761" i="1" a="1"/>
  <c r="K761" i="1" s="1"/>
  <c r="P761" i="1"/>
  <c r="A761" i="1" a="1"/>
  <c r="A761" i="1" s="1"/>
  <c r="AE760" i="1" a="1"/>
  <c r="AE760" i="1" s="1"/>
  <c r="AH760" i="1"/>
  <c r="U760" i="1" a="1"/>
  <c r="U760" i="1" s="1"/>
  <c r="W760" i="1"/>
  <c r="X760" i="1"/>
  <c r="Z760" i="1"/>
  <c r="AA760" i="1"/>
  <c r="K760" i="1" a="1"/>
  <c r="K760" i="1" s="1"/>
  <c r="R760" i="1"/>
  <c r="T760" i="1"/>
  <c r="A760" i="1" a="1"/>
  <c r="A760" i="1" s="1"/>
  <c r="G760" i="1"/>
  <c r="AE759" i="1" a="1"/>
  <c r="AE759" i="1" s="1"/>
  <c r="U759" i="1" a="1"/>
  <c r="U759" i="1" s="1"/>
  <c r="AC759" i="1"/>
  <c r="AD759" i="1"/>
  <c r="K759" i="1" a="1"/>
  <c r="K759" i="1" s="1"/>
  <c r="Q759" i="1"/>
  <c r="R759" i="1"/>
  <c r="A759" i="1" a="1"/>
  <c r="A759" i="1" s="1"/>
  <c r="H759" i="1"/>
  <c r="J759" i="1"/>
  <c r="AE758" i="1" a="1"/>
  <c r="AE758" i="1" s="1"/>
  <c r="AF758" i="1"/>
  <c r="U758" i="1" a="1"/>
  <c r="U758" i="1" s="1"/>
  <c r="X758" i="1"/>
  <c r="AA758" i="1"/>
  <c r="AB758" i="1"/>
  <c r="AC758" i="1"/>
  <c r="AD758" i="1"/>
  <c r="K758" i="1" a="1"/>
  <c r="K758" i="1" s="1"/>
  <c r="Q758" i="1"/>
  <c r="R758" i="1"/>
  <c r="A758" i="1" a="1"/>
  <c r="A758" i="1" s="1"/>
  <c r="E758" i="1"/>
  <c r="G758" i="1"/>
  <c r="H758" i="1"/>
  <c r="I758" i="1"/>
  <c r="J758" i="1"/>
  <c r="AE757" i="1" a="1"/>
  <c r="AE757" i="1" s="1"/>
  <c r="U757" i="1" a="1"/>
  <c r="U757" i="1" s="1"/>
  <c r="Y757" i="1"/>
  <c r="Z757" i="1"/>
  <c r="AA757" i="1"/>
  <c r="AB757" i="1"/>
  <c r="AC757" i="1"/>
  <c r="AD757" i="1"/>
  <c r="K757" i="1" a="1"/>
  <c r="K757" i="1" s="1"/>
  <c r="A757" i="1" a="1"/>
  <c r="A757" i="1" s="1"/>
  <c r="AE756" i="1" a="1"/>
  <c r="AE756" i="1" s="1"/>
  <c r="U756" i="1" a="1"/>
  <c r="U756" i="1" s="1"/>
  <c r="K756" i="1" a="1"/>
  <c r="K756" i="1" s="1"/>
  <c r="O756" i="1"/>
  <c r="P756" i="1"/>
  <c r="Q756" i="1"/>
  <c r="S756" i="1"/>
  <c r="T756" i="1"/>
  <c r="A756" i="1" a="1"/>
  <c r="A756" i="1" s="1"/>
  <c r="AE755" i="1" a="1"/>
  <c r="AE755" i="1" s="1"/>
  <c r="U755" i="1" a="1"/>
  <c r="U755" i="1" s="1"/>
  <c r="Y755" i="1"/>
  <c r="Z755" i="1"/>
  <c r="AB755" i="1"/>
  <c r="K755" i="1" a="1"/>
  <c r="K755" i="1" s="1"/>
  <c r="Q755" i="1"/>
  <c r="R755" i="1"/>
  <c r="S755" i="1"/>
  <c r="T755" i="1"/>
  <c r="A755" i="1" a="1"/>
  <c r="A755" i="1" s="1"/>
  <c r="G755" i="1"/>
  <c r="H755" i="1"/>
  <c r="AE754" i="1" a="1"/>
  <c r="AE754" i="1" s="1"/>
  <c r="U754" i="1" a="1"/>
  <c r="U754" i="1" s="1"/>
  <c r="K754" i="1" a="1"/>
  <c r="K754" i="1" s="1"/>
  <c r="R754" i="1"/>
  <c r="S754" i="1"/>
  <c r="T754" i="1"/>
  <c r="A754" i="1" a="1"/>
  <c r="A754" i="1" s="1"/>
  <c r="E754" i="1"/>
  <c r="F754" i="1"/>
  <c r="AE753" i="1" a="1"/>
  <c r="AE753" i="1" s="1"/>
  <c r="U753" i="1" a="1"/>
  <c r="U753" i="1" s="1"/>
  <c r="Y753" i="1"/>
  <c r="Z753" i="1"/>
  <c r="AB753" i="1"/>
  <c r="K753" i="1" a="1"/>
  <c r="K753" i="1" s="1"/>
  <c r="Q753" i="1"/>
  <c r="R753" i="1"/>
  <c r="S753" i="1"/>
  <c r="T753" i="1"/>
  <c r="A753" i="1" a="1"/>
  <c r="A753" i="1" s="1"/>
  <c r="F753" i="1"/>
  <c r="G753" i="1"/>
  <c r="AE752" i="1" a="1"/>
  <c r="AE752" i="1" s="1"/>
  <c r="AH752" i="1"/>
  <c r="U752" i="1" a="1"/>
  <c r="U752" i="1" s="1"/>
  <c r="X752" i="1"/>
  <c r="Y752" i="1"/>
  <c r="Z752" i="1"/>
  <c r="AA752" i="1"/>
  <c r="AB752" i="1"/>
  <c r="AC752" i="1"/>
  <c r="K752" i="1" a="1"/>
  <c r="K752" i="1" s="1"/>
  <c r="T752" i="1"/>
  <c r="A752" i="1" a="1"/>
  <c r="A752" i="1" s="1"/>
  <c r="AE751" i="1" a="1"/>
  <c r="AE751" i="1" s="1"/>
  <c r="AH751" i="1"/>
  <c r="U751" i="1" a="1"/>
  <c r="U751" i="1" s="1"/>
  <c r="AA751" i="1"/>
  <c r="AC751" i="1"/>
  <c r="AD751" i="1"/>
  <c r="K751" i="1" a="1"/>
  <c r="K751" i="1" s="1"/>
  <c r="A751" i="1" a="1"/>
  <c r="A751" i="1" s="1"/>
  <c r="H751" i="1"/>
  <c r="I751" i="1"/>
  <c r="J751" i="1"/>
  <c r="AE750" i="1" a="1"/>
  <c r="AE750" i="1" s="1"/>
  <c r="U750" i="1" a="1"/>
  <c r="U750" i="1" s="1"/>
  <c r="Y750" i="1"/>
  <c r="Z750" i="1"/>
  <c r="K750" i="1" a="1"/>
  <c r="K750" i="1" s="1"/>
  <c r="A750" i="1" a="1"/>
  <c r="A750" i="1" s="1"/>
  <c r="H750" i="1"/>
  <c r="AE749" i="1" a="1"/>
  <c r="AE749" i="1" s="1"/>
  <c r="U749" i="1" a="1"/>
  <c r="U749" i="1" s="1"/>
  <c r="AA749" i="1"/>
  <c r="AB749" i="1"/>
  <c r="AC749" i="1"/>
  <c r="AD749" i="1"/>
  <c r="K749" i="1" a="1"/>
  <c r="K749" i="1" s="1"/>
  <c r="P749" i="1"/>
  <c r="Q749" i="1"/>
  <c r="A749" i="1" a="1"/>
  <c r="A749" i="1" s="1"/>
  <c r="D749" i="1"/>
  <c r="H749" i="1"/>
  <c r="I749" i="1"/>
  <c r="J749" i="1"/>
  <c r="AE748" i="1" a="1"/>
  <c r="AE748" i="1" s="1"/>
  <c r="AG748" i="1"/>
  <c r="U748" i="1" a="1"/>
  <c r="U748" i="1" s="1"/>
  <c r="X748" i="1"/>
  <c r="Z748" i="1"/>
  <c r="AA748" i="1"/>
  <c r="AB748" i="1"/>
  <c r="AC748" i="1"/>
  <c r="AD748" i="1"/>
  <c r="K748" i="1" a="1"/>
  <c r="K748" i="1" s="1"/>
  <c r="O748" i="1"/>
  <c r="P748" i="1"/>
  <c r="A748" i="1" a="1"/>
  <c r="A748" i="1" s="1"/>
  <c r="AE747" i="1" a="1"/>
  <c r="AE747" i="1" s="1"/>
  <c r="AH747" i="1"/>
  <c r="U747" i="1" a="1"/>
  <c r="U747" i="1" s="1"/>
  <c r="Y747" i="1"/>
  <c r="Z747" i="1"/>
  <c r="AA747" i="1"/>
  <c r="AB747" i="1"/>
  <c r="AC747" i="1"/>
  <c r="AD747" i="1"/>
  <c r="K747" i="1" a="1"/>
  <c r="K747" i="1" s="1"/>
  <c r="N747" i="1"/>
  <c r="O747" i="1"/>
  <c r="T747" i="1"/>
  <c r="A747" i="1" a="1"/>
  <c r="A747" i="1" s="1"/>
  <c r="G747" i="1"/>
  <c r="H747" i="1"/>
  <c r="I747" i="1"/>
  <c r="J747" i="1"/>
  <c r="AE746" i="1" a="1"/>
  <c r="AE746" i="1" s="1"/>
  <c r="U746" i="1" a="1"/>
  <c r="U746" i="1" s="1"/>
  <c r="X746" i="1"/>
  <c r="AA746" i="1"/>
  <c r="AB746" i="1"/>
  <c r="AC746" i="1"/>
  <c r="AD746" i="1"/>
  <c r="K746" i="1" a="1"/>
  <c r="K746" i="1" s="1"/>
  <c r="R746" i="1"/>
  <c r="S746" i="1"/>
  <c r="A746" i="1" a="1"/>
  <c r="A746" i="1" s="1"/>
  <c r="D746" i="1"/>
  <c r="E746" i="1"/>
  <c r="F746" i="1"/>
  <c r="G746" i="1"/>
  <c r="H746" i="1"/>
  <c r="I746" i="1"/>
  <c r="J746" i="1"/>
  <c r="AE745" i="1" a="1"/>
  <c r="AE745" i="1" s="1"/>
  <c r="AG745" i="1"/>
  <c r="U745" i="1" a="1"/>
  <c r="U745" i="1" s="1"/>
  <c r="Y745" i="1"/>
  <c r="AB745" i="1"/>
  <c r="AC745" i="1"/>
  <c r="AD745" i="1"/>
  <c r="K745" i="1" a="1"/>
  <c r="K745" i="1" s="1"/>
  <c r="Q745" i="1"/>
  <c r="R745" i="1"/>
  <c r="S745" i="1"/>
  <c r="T745" i="1"/>
  <c r="A745" i="1" a="1"/>
  <c r="A745" i="1" s="1"/>
  <c r="G745" i="1"/>
  <c r="I745" i="1"/>
  <c r="J745" i="1"/>
  <c r="AE744" i="1" a="1"/>
  <c r="AE744" i="1" s="1"/>
  <c r="U744" i="1" a="1"/>
  <c r="U744" i="1" s="1"/>
  <c r="X744" i="1"/>
  <c r="K744" i="1" a="1"/>
  <c r="K744" i="1" s="1"/>
  <c r="Q744" i="1"/>
  <c r="R744" i="1"/>
  <c r="S744" i="1"/>
  <c r="T744" i="1"/>
  <c r="A744" i="1" a="1"/>
  <c r="A744" i="1" s="1"/>
  <c r="E744" i="1"/>
  <c r="J744" i="1"/>
  <c r="AE743" i="1" a="1"/>
  <c r="AE743" i="1" s="1"/>
  <c r="AH743" i="1"/>
  <c r="U743" i="1" a="1"/>
  <c r="U743" i="1" s="1"/>
  <c r="K743" i="1" a="1"/>
  <c r="K743" i="1" s="1"/>
  <c r="N743" i="1"/>
  <c r="P743" i="1"/>
  <c r="Q743" i="1"/>
  <c r="R743" i="1"/>
  <c r="S743" i="1"/>
  <c r="A743" i="1" a="1"/>
  <c r="A743" i="1" s="1"/>
  <c r="H743" i="1"/>
  <c r="J743" i="1"/>
  <c r="AE742" i="1" a="1"/>
  <c r="AE742" i="1" s="1"/>
  <c r="AG742" i="1"/>
  <c r="AH742" i="1"/>
  <c r="U742" i="1" a="1"/>
  <c r="U742" i="1" s="1"/>
  <c r="K742" i="1" a="1"/>
  <c r="K742" i="1" s="1"/>
  <c r="O742" i="1"/>
  <c r="P742" i="1"/>
  <c r="Q742" i="1"/>
  <c r="R742" i="1"/>
  <c r="S742" i="1"/>
  <c r="T742" i="1"/>
  <c r="A742" i="1" a="1"/>
  <c r="A742" i="1" s="1"/>
  <c r="AE741" i="1" a="1"/>
  <c r="AE741" i="1" s="1"/>
  <c r="U741" i="1" a="1"/>
  <c r="U741" i="1" s="1"/>
  <c r="Y741" i="1"/>
  <c r="Z741" i="1"/>
  <c r="AB741" i="1"/>
  <c r="K741" i="1" a="1"/>
  <c r="K741" i="1" s="1"/>
  <c r="R741" i="1"/>
  <c r="S741" i="1"/>
  <c r="T741" i="1"/>
  <c r="A741" i="1" a="1"/>
  <c r="A741" i="1" s="1"/>
  <c r="I741" i="1"/>
  <c r="J741" i="1"/>
  <c r="AE740" i="1" a="1"/>
  <c r="AE740" i="1" s="1"/>
  <c r="U740" i="1" a="1"/>
  <c r="U740" i="1" s="1"/>
  <c r="Y740" i="1"/>
  <c r="AA740" i="1"/>
  <c r="AB740" i="1"/>
  <c r="AC740" i="1"/>
  <c r="AD740" i="1"/>
  <c r="K740" i="1" a="1"/>
  <c r="K740" i="1" s="1"/>
  <c r="A740" i="1" a="1"/>
  <c r="A740" i="1" s="1"/>
  <c r="G740" i="1"/>
  <c r="H740" i="1"/>
  <c r="I740" i="1"/>
  <c r="J740" i="1"/>
  <c r="AE739" i="1" a="1"/>
  <c r="AE739" i="1" s="1"/>
  <c r="U739" i="1" a="1"/>
  <c r="U739" i="1" s="1"/>
  <c r="X739" i="1"/>
  <c r="AC739" i="1"/>
  <c r="K739" i="1" a="1"/>
  <c r="K739" i="1" s="1"/>
  <c r="Q739" i="1"/>
  <c r="R739" i="1"/>
  <c r="T739" i="1"/>
  <c r="A739" i="1" a="1"/>
  <c r="A739" i="1" s="1"/>
  <c r="G739" i="1"/>
  <c r="J739" i="1"/>
  <c r="AE738" i="1" a="1"/>
  <c r="AE738" i="1" s="1"/>
  <c r="AG738" i="1"/>
  <c r="U738" i="1" a="1"/>
  <c r="U738" i="1" s="1"/>
  <c r="Y738" i="1"/>
  <c r="Z738" i="1"/>
  <c r="K738" i="1" a="1"/>
  <c r="K738" i="1" s="1"/>
  <c r="A738" i="1" a="1"/>
  <c r="A738" i="1" s="1"/>
  <c r="E738" i="1"/>
  <c r="H738" i="1"/>
  <c r="I738" i="1"/>
  <c r="J738" i="1"/>
  <c r="AE737" i="1" a="1"/>
  <c r="AE737" i="1" s="1"/>
  <c r="U737" i="1" a="1"/>
  <c r="U737" i="1" s="1"/>
  <c r="Y737" i="1"/>
  <c r="Z737" i="1"/>
  <c r="K737" i="1" a="1"/>
  <c r="K737" i="1" s="1"/>
  <c r="A737" i="1" a="1"/>
  <c r="A737" i="1" s="1"/>
  <c r="AE736" i="1" a="1"/>
  <c r="AE736" i="1" s="1"/>
  <c r="AH736" i="1"/>
  <c r="U736" i="1" a="1"/>
  <c r="U736" i="1" s="1"/>
  <c r="AC736" i="1"/>
  <c r="K736" i="1" a="1"/>
  <c r="K736" i="1" s="1"/>
  <c r="N736" i="1"/>
  <c r="A736" i="1" a="1"/>
  <c r="A736" i="1" s="1"/>
  <c r="E736" i="1"/>
  <c r="AE735" i="1" a="1"/>
  <c r="AE735" i="1" s="1"/>
  <c r="U735" i="1" a="1"/>
  <c r="U735" i="1" s="1"/>
  <c r="X735" i="1"/>
  <c r="Y735" i="1"/>
  <c r="Z735" i="1"/>
  <c r="AA735" i="1"/>
  <c r="AB735" i="1"/>
  <c r="AC735" i="1"/>
  <c r="AD735" i="1"/>
  <c r="K735" i="1" a="1"/>
  <c r="K735" i="1" s="1"/>
  <c r="R735" i="1"/>
  <c r="T735" i="1"/>
  <c r="A735" i="1" a="1"/>
  <c r="A735" i="1" s="1"/>
  <c r="D735" i="1"/>
  <c r="AE734" i="1" a="1"/>
  <c r="AE734" i="1" s="1"/>
  <c r="U734" i="1" a="1"/>
  <c r="U734" i="1" s="1"/>
  <c r="X734" i="1"/>
  <c r="Y734" i="1"/>
  <c r="Z734" i="1"/>
  <c r="AA734" i="1"/>
  <c r="AB734" i="1"/>
  <c r="AC734" i="1"/>
  <c r="AD734" i="1"/>
  <c r="K734" i="1" a="1"/>
  <c r="K734" i="1" s="1"/>
  <c r="T734" i="1"/>
  <c r="A734" i="1" a="1"/>
  <c r="A734" i="1" s="1"/>
  <c r="G734" i="1"/>
  <c r="H734" i="1"/>
  <c r="I734" i="1"/>
  <c r="J734" i="1"/>
  <c r="AE733" i="1" a="1"/>
  <c r="AE733" i="1" s="1"/>
  <c r="U733" i="1" a="1"/>
  <c r="U733" i="1" s="1"/>
  <c r="Z733" i="1"/>
  <c r="AA733" i="1"/>
  <c r="AB733" i="1"/>
  <c r="AC733" i="1"/>
  <c r="AD733" i="1"/>
  <c r="K733" i="1" a="1"/>
  <c r="K733" i="1" s="1"/>
  <c r="P733" i="1"/>
  <c r="A733" i="1" a="1"/>
  <c r="A733" i="1" s="1"/>
  <c r="AE732" i="1" a="1"/>
  <c r="AE732" i="1" s="1"/>
  <c r="U732" i="1" a="1"/>
  <c r="U732" i="1" s="1"/>
  <c r="K732" i="1" a="1"/>
  <c r="K732" i="1" s="1"/>
  <c r="O732" i="1"/>
  <c r="P732" i="1"/>
  <c r="Q732" i="1"/>
  <c r="R732" i="1"/>
  <c r="S732" i="1"/>
  <c r="T732" i="1"/>
  <c r="A732" i="1" a="1"/>
  <c r="A732" i="1" s="1"/>
  <c r="AE731" i="1" a="1"/>
  <c r="AE731" i="1" s="1"/>
  <c r="U731" i="1" a="1"/>
  <c r="U731" i="1" s="1"/>
  <c r="K731" i="1" a="1"/>
  <c r="K731" i="1" s="1"/>
  <c r="Q731" i="1"/>
  <c r="R731" i="1"/>
  <c r="S731" i="1"/>
  <c r="T731" i="1"/>
  <c r="A731" i="1" a="1"/>
  <c r="A731" i="1" s="1"/>
  <c r="E731" i="1"/>
  <c r="F731" i="1"/>
  <c r="AE730" i="1" a="1"/>
  <c r="AE730" i="1" s="1"/>
  <c r="U730" i="1" a="1"/>
  <c r="U730" i="1" s="1"/>
  <c r="W730" i="1"/>
  <c r="X730" i="1"/>
  <c r="Y730" i="1"/>
  <c r="Z730" i="1"/>
  <c r="K730" i="1" a="1"/>
  <c r="K730" i="1" s="1"/>
  <c r="P730" i="1"/>
  <c r="Q730" i="1"/>
  <c r="R730" i="1"/>
  <c r="S730" i="1"/>
  <c r="T730" i="1"/>
  <c r="A730" i="1" a="1"/>
  <c r="A730" i="1" s="1"/>
  <c r="D730" i="1"/>
  <c r="AE729" i="1" a="1"/>
  <c r="AE729" i="1" s="1"/>
  <c r="AH729" i="1"/>
  <c r="U729" i="1" a="1"/>
  <c r="U729" i="1" s="1"/>
  <c r="K729" i="1" a="1"/>
  <c r="K729" i="1" s="1"/>
  <c r="N729" i="1"/>
  <c r="O729" i="1"/>
  <c r="P729" i="1"/>
  <c r="Q729" i="1"/>
  <c r="R729" i="1"/>
  <c r="S729" i="1"/>
  <c r="T729" i="1"/>
  <c r="A729" i="1" a="1"/>
  <c r="A729" i="1" s="1"/>
  <c r="J729" i="1"/>
  <c r="AE728" i="1" a="1"/>
  <c r="AE728" i="1" s="1"/>
  <c r="AF728" i="1"/>
  <c r="AG728" i="1"/>
  <c r="AH728" i="1"/>
  <c r="U728" i="1" a="1"/>
  <c r="U728" i="1" s="1"/>
  <c r="K728" i="1" a="1"/>
  <c r="K728" i="1" s="1"/>
  <c r="T728" i="1"/>
  <c r="A728" i="1" a="1"/>
  <c r="A728" i="1" s="1"/>
  <c r="D728" i="1"/>
  <c r="E728" i="1"/>
  <c r="F728" i="1"/>
  <c r="G728" i="1"/>
  <c r="H728" i="1"/>
  <c r="I728" i="1"/>
  <c r="J728" i="1"/>
  <c r="AE727" i="1" a="1"/>
  <c r="AE727" i="1" s="1"/>
  <c r="U727" i="1" a="1"/>
  <c r="U727" i="1" s="1"/>
  <c r="W727" i="1"/>
  <c r="X727" i="1"/>
  <c r="Y727" i="1"/>
  <c r="Z727" i="1"/>
  <c r="AA727" i="1"/>
  <c r="AB727" i="1"/>
  <c r="AC727" i="1"/>
  <c r="K727" i="1" a="1"/>
  <c r="K727" i="1" s="1"/>
  <c r="Q727" i="1"/>
  <c r="R727" i="1"/>
  <c r="S727" i="1"/>
  <c r="T727" i="1"/>
  <c r="A727" i="1" a="1"/>
  <c r="A727" i="1" s="1"/>
  <c r="E727" i="1"/>
  <c r="F727" i="1"/>
  <c r="G727" i="1"/>
  <c r="AE726" i="1" a="1"/>
  <c r="AE726" i="1" s="1"/>
  <c r="AH726" i="1"/>
  <c r="U726" i="1" a="1"/>
  <c r="U726" i="1" s="1"/>
  <c r="X726" i="1"/>
  <c r="Y726" i="1"/>
  <c r="Z726" i="1"/>
  <c r="AA726" i="1"/>
  <c r="AB726" i="1"/>
  <c r="K726" i="1" a="1"/>
  <c r="K726" i="1" s="1"/>
  <c r="R726" i="1"/>
  <c r="S726" i="1"/>
  <c r="T726" i="1"/>
  <c r="A726" i="1" a="1"/>
  <c r="A726" i="1" s="1"/>
  <c r="H726" i="1"/>
  <c r="I726" i="1"/>
  <c r="AE725" i="1" a="1"/>
  <c r="AE725" i="1" s="1"/>
  <c r="AH725" i="1"/>
  <c r="U725" i="1" a="1"/>
  <c r="U725" i="1" s="1"/>
  <c r="K725" i="1" a="1"/>
  <c r="K725" i="1" s="1"/>
  <c r="Q725" i="1"/>
  <c r="R725" i="1"/>
  <c r="S725" i="1"/>
  <c r="T725" i="1"/>
  <c r="A725" i="1" a="1"/>
  <c r="A725" i="1" s="1"/>
  <c r="G725" i="1"/>
  <c r="H725" i="1"/>
  <c r="AE724" i="1" a="1"/>
  <c r="AE724" i="1" s="1"/>
  <c r="U724" i="1" a="1"/>
  <c r="U724" i="1" s="1"/>
  <c r="Z724" i="1"/>
  <c r="AC724" i="1"/>
  <c r="AD724" i="1"/>
  <c r="K724" i="1" a="1"/>
  <c r="K724" i="1" s="1"/>
  <c r="A724" i="1" a="1"/>
  <c r="A724" i="1" s="1"/>
  <c r="D724" i="1"/>
  <c r="E724" i="1"/>
  <c r="F724" i="1"/>
  <c r="G724" i="1"/>
  <c r="H724" i="1"/>
  <c r="I724" i="1"/>
  <c r="J724" i="1"/>
  <c r="AE723" i="1" a="1"/>
  <c r="AE723" i="1" s="1"/>
  <c r="AG723" i="1"/>
  <c r="U723" i="1" a="1"/>
  <c r="U723" i="1" s="1"/>
  <c r="Y723" i="1"/>
  <c r="Z723" i="1"/>
  <c r="AA723" i="1"/>
  <c r="AB723" i="1"/>
  <c r="AC723" i="1"/>
  <c r="AD723" i="1"/>
  <c r="K723" i="1" a="1"/>
  <c r="K723" i="1" s="1"/>
  <c r="A723" i="1" a="1"/>
  <c r="A723" i="1" s="1"/>
  <c r="H723" i="1"/>
  <c r="I723" i="1"/>
  <c r="J723" i="1"/>
  <c r="AE722" i="1" a="1"/>
  <c r="AE722" i="1" s="1"/>
  <c r="U722" i="1" a="1"/>
  <c r="U722" i="1" s="1"/>
  <c r="X722" i="1"/>
  <c r="K722" i="1" a="1"/>
  <c r="K722" i="1" s="1"/>
  <c r="Q722" i="1"/>
  <c r="R722" i="1"/>
  <c r="S722" i="1"/>
  <c r="T722" i="1"/>
  <c r="A722" i="1" a="1"/>
  <c r="A722" i="1" s="1"/>
  <c r="J722" i="1"/>
  <c r="AE721" i="1" a="1"/>
  <c r="AE721" i="1" s="1"/>
  <c r="AH721" i="1"/>
  <c r="U721" i="1" a="1"/>
  <c r="U721" i="1" s="1"/>
  <c r="Z721" i="1"/>
  <c r="AA721" i="1"/>
  <c r="AB721" i="1"/>
  <c r="AC721" i="1"/>
  <c r="AD721" i="1"/>
  <c r="K721" i="1" a="1"/>
  <c r="K721" i="1" s="1"/>
  <c r="S721" i="1"/>
  <c r="A721" i="1" a="1"/>
  <c r="A721" i="1" s="1"/>
  <c r="H721" i="1"/>
  <c r="J721" i="1"/>
  <c r="AE720" i="1" a="1"/>
  <c r="AE720" i="1" s="1"/>
  <c r="U720" i="1" a="1"/>
  <c r="U720" i="1" s="1"/>
  <c r="Y720" i="1"/>
  <c r="K720" i="1" a="1"/>
  <c r="K720" i="1" s="1"/>
  <c r="N720" i="1"/>
  <c r="O720" i="1"/>
  <c r="P720" i="1"/>
  <c r="Q720" i="1"/>
  <c r="R720" i="1"/>
  <c r="S720" i="1"/>
  <c r="T720" i="1"/>
  <c r="A720" i="1" a="1"/>
  <c r="A720" i="1" s="1"/>
  <c r="I720" i="1"/>
  <c r="AE719" i="1" a="1"/>
  <c r="AE719" i="1" s="1"/>
  <c r="AH719" i="1"/>
  <c r="U719" i="1" a="1"/>
  <c r="U719" i="1" s="1"/>
  <c r="X719" i="1"/>
  <c r="Y719" i="1"/>
  <c r="K719" i="1" a="1"/>
  <c r="K719" i="1" s="1"/>
  <c r="N719" i="1"/>
  <c r="O719" i="1"/>
  <c r="P719" i="1"/>
  <c r="Q719" i="1"/>
  <c r="R719" i="1"/>
  <c r="S719" i="1"/>
  <c r="T719" i="1"/>
  <c r="A719" i="1" a="1"/>
  <c r="A719" i="1" s="1"/>
  <c r="AE718" i="1" a="1"/>
  <c r="AE718" i="1" s="1"/>
  <c r="AH718" i="1"/>
  <c r="U718" i="1" a="1"/>
  <c r="U718" i="1" s="1"/>
  <c r="Y718" i="1"/>
  <c r="Z718" i="1"/>
  <c r="AA718" i="1"/>
  <c r="AB718" i="1"/>
  <c r="AC718" i="1"/>
  <c r="K718" i="1" a="1"/>
  <c r="K718" i="1" s="1"/>
  <c r="P718" i="1"/>
  <c r="Q718" i="1"/>
  <c r="R718" i="1"/>
  <c r="S718" i="1"/>
  <c r="T718" i="1"/>
  <c r="A718" i="1" a="1"/>
  <c r="A718" i="1" s="1"/>
  <c r="E718" i="1"/>
  <c r="F718" i="1"/>
  <c r="AE717" i="1" a="1"/>
  <c r="AE717" i="1" s="1"/>
  <c r="U717" i="1" a="1"/>
  <c r="U717" i="1" s="1"/>
  <c r="Y717" i="1"/>
  <c r="Z717" i="1"/>
  <c r="K717" i="1" a="1"/>
  <c r="K717" i="1" s="1"/>
  <c r="N717" i="1"/>
  <c r="O717" i="1"/>
  <c r="P717" i="1"/>
  <c r="Q717" i="1"/>
  <c r="R717" i="1"/>
  <c r="S717" i="1"/>
  <c r="T717" i="1"/>
  <c r="A717" i="1" a="1"/>
  <c r="A717" i="1" s="1"/>
  <c r="AE716" i="1" a="1"/>
  <c r="AE716" i="1" s="1"/>
  <c r="U716" i="1" a="1"/>
  <c r="U716" i="1" s="1"/>
  <c r="AA716" i="1"/>
  <c r="AB716" i="1"/>
  <c r="K716" i="1" a="1"/>
  <c r="K716" i="1" s="1"/>
  <c r="S716" i="1"/>
  <c r="T716" i="1"/>
  <c r="A716" i="1" a="1"/>
  <c r="A716" i="1" s="1"/>
  <c r="H716" i="1"/>
  <c r="I716" i="1"/>
  <c r="AE715" i="1" a="1"/>
  <c r="AE715" i="1" s="1"/>
  <c r="U715" i="1" a="1"/>
  <c r="U715" i="1" s="1"/>
  <c r="K715" i="1" a="1"/>
  <c r="K715" i="1" s="1"/>
  <c r="P715" i="1"/>
  <c r="Q715" i="1"/>
  <c r="A715" i="1" a="1"/>
  <c r="A715" i="1" s="1"/>
  <c r="E715" i="1"/>
  <c r="F715" i="1"/>
  <c r="G715" i="1"/>
  <c r="H715" i="1"/>
  <c r="I715" i="1"/>
  <c r="J715" i="1"/>
  <c r="AE714" i="1" a="1"/>
  <c r="AE714" i="1" s="1"/>
  <c r="AH714" i="1"/>
  <c r="U714" i="1" a="1"/>
  <c r="U714" i="1" s="1"/>
  <c r="K714" i="1" a="1"/>
  <c r="K714" i="1" s="1"/>
  <c r="P714" i="1"/>
  <c r="A714" i="1" a="1"/>
  <c r="A714" i="1" s="1"/>
  <c r="H714" i="1"/>
  <c r="I714" i="1"/>
  <c r="J714" i="1"/>
  <c r="AE713" i="1" a="1"/>
  <c r="AE713" i="1" s="1"/>
  <c r="U713" i="1" a="1"/>
  <c r="U713" i="1" s="1"/>
  <c r="W713" i="1"/>
  <c r="K713" i="1" a="1"/>
  <c r="K713" i="1" s="1"/>
  <c r="A713" i="1" a="1"/>
  <c r="A713" i="1" s="1"/>
  <c r="D713" i="1"/>
  <c r="F713" i="1"/>
  <c r="G713" i="1"/>
  <c r="H713" i="1"/>
  <c r="I713" i="1"/>
  <c r="J713" i="1"/>
  <c r="AE712" i="1" a="1"/>
  <c r="AE712" i="1" s="1"/>
  <c r="U712" i="1" a="1"/>
  <c r="U712" i="1" s="1"/>
  <c r="K712" i="1" a="1"/>
  <c r="K712" i="1" s="1"/>
  <c r="R712" i="1"/>
  <c r="S712" i="1"/>
  <c r="T712" i="1"/>
  <c r="A712" i="1" a="1"/>
  <c r="A712" i="1" s="1"/>
  <c r="AE711" i="1" a="1"/>
  <c r="AE711" i="1" s="1"/>
  <c r="U711" i="1" a="1"/>
  <c r="U711" i="1" s="1"/>
  <c r="X711" i="1"/>
  <c r="AA711" i="1"/>
  <c r="AB711" i="1"/>
  <c r="K711" i="1" a="1"/>
  <c r="K711" i="1" s="1"/>
  <c r="P711" i="1"/>
  <c r="Q711" i="1"/>
  <c r="S711" i="1"/>
  <c r="T711" i="1"/>
  <c r="A711" i="1" a="1"/>
  <c r="A711" i="1" s="1"/>
  <c r="F711" i="1"/>
  <c r="G711" i="1"/>
  <c r="AE710" i="1" a="1"/>
  <c r="AE710" i="1" s="1"/>
  <c r="U710" i="1" a="1"/>
  <c r="U710" i="1" s="1"/>
  <c r="Y710" i="1"/>
  <c r="Z710" i="1"/>
  <c r="AA710" i="1"/>
  <c r="AB710" i="1"/>
  <c r="AC710" i="1"/>
  <c r="AD710" i="1"/>
  <c r="K710" i="1" a="1"/>
  <c r="K710" i="1" s="1"/>
  <c r="A710" i="1" a="1"/>
  <c r="A710" i="1" s="1"/>
  <c r="D710" i="1"/>
  <c r="E710" i="1"/>
  <c r="F710" i="1"/>
  <c r="G710" i="1"/>
  <c r="AE709" i="1" a="1"/>
  <c r="AE709" i="1" s="1"/>
  <c r="AG709" i="1"/>
  <c r="U709" i="1" a="1"/>
  <c r="U709" i="1" s="1"/>
  <c r="K709" i="1" a="1"/>
  <c r="K709" i="1" s="1"/>
  <c r="R709" i="1"/>
  <c r="A709" i="1" a="1"/>
  <c r="A709" i="1" s="1"/>
  <c r="G709" i="1"/>
  <c r="AE708" i="1" a="1"/>
  <c r="AE708" i="1" s="1"/>
  <c r="AG708" i="1"/>
  <c r="U708" i="1" a="1"/>
  <c r="U708" i="1" s="1"/>
  <c r="W708" i="1"/>
  <c r="X708" i="1"/>
  <c r="Y708" i="1"/>
  <c r="Z708" i="1"/>
  <c r="K708" i="1" a="1"/>
  <c r="K708" i="1" s="1"/>
  <c r="Q708" i="1"/>
  <c r="R708" i="1"/>
  <c r="S708" i="1"/>
  <c r="T708" i="1"/>
  <c r="A708" i="1" a="1"/>
  <c r="A708" i="1" s="1"/>
  <c r="G708" i="1"/>
  <c r="H708" i="1"/>
  <c r="AE707" i="1" a="1"/>
  <c r="AE707" i="1" s="1"/>
  <c r="U707" i="1" a="1"/>
  <c r="U707" i="1" s="1"/>
  <c r="AB707" i="1"/>
  <c r="AD707" i="1"/>
  <c r="K707" i="1" a="1"/>
  <c r="K707" i="1" s="1"/>
  <c r="Q707" i="1"/>
  <c r="A707" i="1" a="1"/>
  <c r="A707" i="1" s="1"/>
  <c r="AE706" i="1" a="1"/>
  <c r="AE706" i="1" s="1"/>
  <c r="U706" i="1" a="1"/>
  <c r="U706" i="1" s="1"/>
  <c r="W706" i="1"/>
  <c r="X706" i="1"/>
  <c r="AC706" i="1"/>
  <c r="K706" i="1" a="1"/>
  <c r="K706" i="1" s="1"/>
  <c r="Q706" i="1"/>
  <c r="R706" i="1"/>
  <c r="S706" i="1"/>
  <c r="T706" i="1"/>
  <c r="A706" i="1" a="1"/>
  <c r="A706" i="1" s="1"/>
  <c r="F706" i="1"/>
  <c r="G706" i="1"/>
  <c r="I706" i="1"/>
  <c r="J706" i="1"/>
  <c r="AE705" i="1" a="1"/>
  <c r="AE705" i="1" s="1"/>
  <c r="U705" i="1" a="1"/>
  <c r="U705" i="1" s="1"/>
  <c r="X705" i="1"/>
  <c r="K705" i="1" a="1"/>
  <c r="K705" i="1" s="1"/>
  <c r="P705" i="1"/>
  <c r="Q705" i="1"/>
  <c r="R705" i="1"/>
  <c r="S705" i="1"/>
  <c r="A705" i="1" a="1"/>
  <c r="A705" i="1" s="1"/>
  <c r="I705" i="1"/>
  <c r="J705" i="1"/>
  <c r="AE704" i="1" a="1"/>
  <c r="AE704" i="1" s="1"/>
  <c r="AH704" i="1"/>
  <c r="U704" i="1" a="1"/>
  <c r="U704" i="1" s="1"/>
  <c r="Y704" i="1"/>
  <c r="AB704" i="1"/>
  <c r="AC704" i="1"/>
  <c r="K704" i="1" a="1"/>
  <c r="K704" i="1" s="1"/>
  <c r="S704" i="1"/>
  <c r="A704" i="1" a="1"/>
  <c r="A704" i="1" s="1"/>
  <c r="D704" i="1"/>
  <c r="E704" i="1"/>
  <c r="F704" i="1"/>
  <c r="G704" i="1"/>
  <c r="AE703" i="1" a="1"/>
  <c r="AE703" i="1" s="1"/>
  <c r="U703" i="1" a="1"/>
  <c r="U703" i="1" s="1"/>
  <c r="X703" i="1"/>
  <c r="Y703" i="1"/>
  <c r="Z703" i="1"/>
  <c r="AA703" i="1"/>
  <c r="AB703" i="1"/>
  <c r="AC703" i="1"/>
  <c r="AD703" i="1"/>
  <c r="K703" i="1" a="1"/>
  <c r="K703" i="1" s="1"/>
  <c r="O703" i="1"/>
  <c r="Q703" i="1"/>
  <c r="R703" i="1"/>
  <c r="T703" i="1"/>
  <c r="A703" i="1" a="1"/>
  <c r="A703" i="1" s="1"/>
  <c r="F703" i="1"/>
  <c r="AE702" i="1" a="1"/>
  <c r="AE702" i="1" s="1"/>
  <c r="U702" i="1" a="1"/>
  <c r="U702" i="1" s="1"/>
  <c r="AB702" i="1"/>
  <c r="AC702" i="1"/>
  <c r="K702" i="1" a="1"/>
  <c r="K702" i="1" s="1"/>
  <c r="P702" i="1"/>
  <c r="S702" i="1"/>
  <c r="T702" i="1"/>
  <c r="A702" i="1" a="1"/>
  <c r="A702" i="1" s="1"/>
  <c r="F702" i="1"/>
  <c r="AE701" i="1" a="1"/>
  <c r="AE701" i="1" s="1"/>
  <c r="U701" i="1" a="1"/>
  <c r="U701" i="1" s="1"/>
  <c r="AB701" i="1"/>
  <c r="AC701" i="1"/>
  <c r="K701" i="1" a="1"/>
  <c r="K701" i="1" s="1"/>
  <c r="Q701" i="1"/>
  <c r="T701" i="1"/>
  <c r="A701" i="1" a="1"/>
  <c r="A701" i="1" s="1"/>
  <c r="E701" i="1"/>
  <c r="AE700" i="1" a="1"/>
  <c r="AE700" i="1" s="1"/>
  <c r="U700" i="1" a="1"/>
  <c r="U700" i="1" s="1"/>
  <c r="AA700" i="1"/>
  <c r="AB700" i="1"/>
  <c r="K700" i="1" a="1"/>
  <c r="K700" i="1" s="1"/>
  <c r="O700" i="1"/>
  <c r="P700" i="1"/>
  <c r="R700" i="1"/>
  <c r="S700" i="1"/>
  <c r="T700" i="1"/>
  <c r="A700" i="1" a="1"/>
  <c r="A700" i="1" s="1"/>
  <c r="D700" i="1"/>
  <c r="AE699" i="1" a="1"/>
  <c r="AE699" i="1" s="1"/>
  <c r="U699" i="1" a="1"/>
  <c r="U699" i="1" s="1"/>
  <c r="Y699" i="1"/>
  <c r="Z699" i="1"/>
  <c r="K699" i="1" a="1"/>
  <c r="K699" i="1" s="1"/>
  <c r="A699" i="1" a="1"/>
  <c r="A699" i="1" s="1"/>
  <c r="F699" i="1"/>
  <c r="AE698" i="1" a="1"/>
  <c r="AE698" i="1" s="1"/>
  <c r="AH698" i="1"/>
  <c r="U698" i="1" a="1"/>
  <c r="U698" i="1" s="1"/>
  <c r="AB698" i="1"/>
  <c r="AC698" i="1"/>
  <c r="K698" i="1" a="1"/>
  <c r="K698" i="1" s="1"/>
  <c r="Q698" i="1"/>
  <c r="T698" i="1"/>
  <c r="A698" i="1" a="1"/>
  <c r="A698" i="1" s="1"/>
  <c r="I698" i="1"/>
  <c r="AE697" i="1" a="1"/>
  <c r="AE697" i="1" s="1"/>
  <c r="U697" i="1" a="1"/>
  <c r="U697" i="1" s="1"/>
  <c r="X697" i="1"/>
  <c r="Y697" i="1"/>
  <c r="Z697" i="1"/>
  <c r="AA697" i="1"/>
  <c r="AB697" i="1"/>
  <c r="AC697" i="1"/>
  <c r="AD697" i="1"/>
  <c r="K697" i="1" a="1"/>
  <c r="K697" i="1" s="1"/>
  <c r="A697" i="1" a="1"/>
  <c r="A697" i="1" s="1"/>
  <c r="J697" i="1"/>
  <c r="AE696" i="1" a="1"/>
  <c r="AE696" i="1" s="1"/>
  <c r="U696" i="1" a="1"/>
  <c r="U696" i="1" s="1"/>
  <c r="Z696" i="1"/>
  <c r="AA696" i="1"/>
  <c r="AB696" i="1"/>
  <c r="AC696" i="1"/>
  <c r="AD696" i="1"/>
  <c r="K696" i="1" a="1"/>
  <c r="K696" i="1" s="1"/>
  <c r="Q696" i="1"/>
  <c r="A696" i="1" a="1"/>
  <c r="A696" i="1" s="1"/>
  <c r="H696" i="1"/>
  <c r="J696" i="1"/>
  <c r="AE695" i="1" a="1"/>
  <c r="AE695" i="1" s="1"/>
  <c r="U695" i="1" a="1"/>
  <c r="U695" i="1" s="1"/>
  <c r="Z695" i="1"/>
  <c r="K695" i="1" a="1"/>
  <c r="K695" i="1" s="1"/>
  <c r="O695" i="1"/>
  <c r="P695" i="1"/>
  <c r="Q695" i="1"/>
  <c r="R695" i="1"/>
  <c r="S695" i="1"/>
  <c r="T695" i="1"/>
  <c r="A695" i="1" a="1"/>
  <c r="A695" i="1" s="1"/>
  <c r="G695" i="1"/>
  <c r="AE694" i="1" a="1"/>
  <c r="AE694" i="1" s="1"/>
  <c r="AG694" i="1"/>
  <c r="U694" i="1" a="1"/>
  <c r="U694" i="1" s="1"/>
  <c r="AB694" i="1"/>
  <c r="AC694" i="1"/>
  <c r="AD694" i="1"/>
  <c r="K694" i="1" a="1"/>
  <c r="K694" i="1" s="1"/>
  <c r="A694" i="1" a="1"/>
  <c r="A694" i="1" s="1"/>
  <c r="H694" i="1"/>
  <c r="I694" i="1"/>
  <c r="J694" i="1"/>
  <c r="AE693" i="1" a="1"/>
  <c r="AE693" i="1" s="1"/>
  <c r="AH693" i="1"/>
  <c r="U693" i="1" a="1"/>
  <c r="U693" i="1" s="1"/>
  <c r="K693" i="1" a="1"/>
  <c r="K693" i="1" s="1"/>
  <c r="N693" i="1"/>
  <c r="O693" i="1"/>
  <c r="A693" i="1" a="1"/>
  <c r="A693" i="1" s="1"/>
  <c r="E693" i="1"/>
  <c r="F693" i="1"/>
  <c r="G693" i="1"/>
  <c r="H693" i="1"/>
  <c r="I693" i="1"/>
  <c r="J693" i="1"/>
  <c r="AE692" i="1" a="1"/>
  <c r="AE692" i="1" s="1"/>
  <c r="U692" i="1" a="1"/>
  <c r="U692" i="1" s="1"/>
  <c r="W692" i="1"/>
  <c r="X692" i="1"/>
  <c r="Z692" i="1"/>
  <c r="AA692" i="1"/>
  <c r="AB692" i="1"/>
  <c r="AC692" i="1"/>
  <c r="AD692" i="1"/>
  <c r="K692" i="1" a="1"/>
  <c r="K692" i="1" s="1"/>
  <c r="P692" i="1"/>
  <c r="Q692" i="1"/>
  <c r="R692" i="1"/>
  <c r="S692" i="1"/>
  <c r="T692" i="1"/>
  <c r="A692" i="1" a="1"/>
  <c r="A692" i="1" s="1"/>
  <c r="G692" i="1"/>
  <c r="H692" i="1"/>
  <c r="AE691" i="1" a="1"/>
  <c r="AE691" i="1" s="1"/>
  <c r="U691" i="1" a="1"/>
  <c r="U691" i="1" s="1"/>
  <c r="Z691" i="1"/>
  <c r="AB691" i="1"/>
  <c r="AC691" i="1"/>
  <c r="AD691" i="1"/>
  <c r="K691" i="1" a="1"/>
  <c r="K691" i="1" s="1"/>
  <c r="Q691" i="1"/>
  <c r="A691" i="1" a="1"/>
  <c r="A691" i="1" s="1"/>
  <c r="F691" i="1"/>
  <c r="G691" i="1"/>
  <c r="H691" i="1"/>
  <c r="I691" i="1"/>
  <c r="J691" i="1"/>
  <c r="AE690" i="1" a="1"/>
  <c r="AE690" i="1" s="1"/>
  <c r="U690" i="1" a="1"/>
  <c r="U690" i="1" s="1"/>
  <c r="K690" i="1" a="1"/>
  <c r="K690" i="1" s="1"/>
  <c r="O690" i="1"/>
  <c r="P690" i="1"/>
  <c r="A690" i="1" a="1"/>
  <c r="A690" i="1" s="1"/>
  <c r="D690" i="1"/>
  <c r="E690" i="1"/>
  <c r="F690" i="1"/>
  <c r="G690" i="1"/>
  <c r="H690" i="1"/>
  <c r="I690" i="1"/>
  <c r="J690" i="1"/>
  <c r="AE689" i="1" a="1"/>
  <c r="AE689" i="1" s="1"/>
  <c r="U689" i="1" a="1"/>
  <c r="U689" i="1" s="1"/>
  <c r="Z689" i="1"/>
  <c r="AC689" i="1"/>
  <c r="AD689" i="1"/>
  <c r="K689" i="1" a="1"/>
  <c r="K689" i="1" s="1"/>
  <c r="N689" i="1"/>
  <c r="A689" i="1" a="1"/>
  <c r="A689" i="1" s="1"/>
  <c r="H689" i="1"/>
  <c r="I689" i="1"/>
  <c r="AE688" i="1" a="1"/>
  <c r="AE688" i="1" s="1"/>
  <c r="U688" i="1" a="1"/>
  <c r="U688" i="1" s="1"/>
  <c r="X688" i="1"/>
  <c r="AA688" i="1"/>
  <c r="AB688" i="1"/>
  <c r="AC688" i="1"/>
  <c r="AD688" i="1"/>
  <c r="K688" i="1" a="1"/>
  <c r="K688" i="1" s="1"/>
  <c r="P688" i="1"/>
  <c r="Q688" i="1"/>
  <c r="R688" i="1"/>
  <c r="S688" i="1"/>
  <c r="T688" i="1"/>
  <c r="A688" i="1" a="1"/>
  <c r="A688" i="1" s="1"/>
  <c r="F688" i="1"/>
  <c r="G688" i="1"/>
  <c r="AE687" i="1" a="1"/>
  <c r="AE687" i="1" s="1"/>
  <c r="AG687" i="1"/>
  <c r="U687" i="1" a="1"/>
  <c r="U687" i="1" s="1"/>
  <c r="W687" i="1"/>
  <c r="X687" i="1"/>
  <c r="Y687" i="1"/>
  <c r="Z687" i="1"/>
  <c r="AD687" i="1"/>
  <c r="K687" i="1" a="1"/>
  <c r="K687" i="1" s="1"/>
  <c r="P687" i="1"/>
  <c r="Q687" i="1"/>
  <c r="R687" i="1"/>
  <c r="S687" i="1"/>
  <c r="T687" i="1"/>
  <c r="A687" i="1" a="1"/>
  <c r="A687" i="1" s="1"/>
  <c r="D687" i="1"/>
  <c r="AE686" i="1" a="1"/>
  <c r="AE686" i="1" s="1"/>
  <c r="U686" i="1" a="1"/>
  <c r="U686" i="1" s="1"/>
  <c r="AB686" i="1"/>
  <c r="K686" i="1" a="1"/>
  <c r="K686" i="1" s="1"/>
  <c r="Q686" i="1"/>
  <c r="R686" i="1"/>
  <c r="S686" i="1"/>
  <c r="T686" i="1"/>
  <c r="A686" i="1" a="1"/>
  <c r="A686" i="1" s="1"/>
  <c r="G686" i="1"/>
  <c r="J686" i="1"/>
  <c r="AE685" i="1" a="1"/>
  <c r="AE685" i="1" s="1"/>
  <c r="U685" i="1" a="1"/>
  <c r="U685" i="1" s="1"/>
  <c r="X685" i="1"/>
  <c r="Z685" i="1"/>
  <c r="AA685" i="1"/>
  <c r="AC685" i="1"/>
  <c r="AD685" i="1"/>
  <c r="K685" i="1" a="1"/>
  <c r="K685" i="1" s="1"/>
  <c r="M685" i="1"/>
  <c r="N685" i="1"/>
  <c r="A685" i="1" a="1"/>
  <c r="A685" i="1" s="1"/>
  <c r="J685" i="1"/>
  <c r="AE684" i="1" a="1"/>
  <c r="AE684" i="1" s="1"/>
  <c r="U684" i="1" a="1"/>
  <c r="U684" i="1" s="1"/>
  <c r="Z684" i="1"/>
  <c r="AC684" i="1"/>
  <c r="AD684" i="1"/>
  <c r="K684" i="1" a="1"/>
  <c r="K684" i="1" s="1"/>
  <c r="Q684" i="1"/>
  <c r="A684" i="1" a="1"/>
  <c r="A684" i="1" s="1"/>
  <c r="I684" i="1"/>
  <c r="J684" i="1"/>
  <c r="AE683" i="1" a="1"/>
  <c r="AE683" i="1" s="1"/>
  <c r="U683" i="1" a="1"/>
  <c r="U683" i="1" s="1"/>
  <c r="W683" i="1"/>
  <c r="X683" i="1"/>
  <c r="K683" i="1" a="1"/>
  <c r="K683" i="1" s="1"/>
  <c r="N683" i="1"/>
  <c r="O683" i="1"/>
  <c r="P683" i="1"/>
  <c r="Q683" i="1"/>
  <c r="A683" i="1" a="1"/>
  <c r="A683" i="1" s="1"/>
  <c r="I683" i="1"/>
  <c r="J683" i="1"/>
  <c r="AE682" i="1" a="1"/>
  <c r="AE682" i="1" s="1"/>
  <c r="U682" i="1" a="1"/>
  <c r="U682" i="1" s="1"/>
  <c r="X682" i="1"/>
  <c r="K682" i="1" a="1"/>
  <c r="K682" i="1" s="1"/>
  <c r="Q682" i="1"/>
  <c r="R682" i="1"/>
  <c r="S682" i="1"/>
  <c r="T682" i="1"/>
  <c r="A682" i="1" a="1"/>
  <c r="A682" i="1" s="1"/>
  <c r="G682" i="1"/>
  <c r="H682" i="1"/>
  <c r="J682" i="1"/>
  <c r="AE681" i="1" a="1"/>
  <c r="AE681" i="1" s="1"/>
  <c r="AG681" i="1"/>
  <c r="U681" i="1" a="1"/>
  <c r="U681" i="1" s="1"/>
  <c r="W681" i="1"/>
  <c r="X681" i="1"/>
  <c r="K681" i="1" a="1"/>
  <c r="K681" i="1" s="1"/>
  <c r="P681" i="1"/>
  <c r="Q681" i="1"/>
  <c r="R681" i="1"/>
  <c r="S681" i="1"/>
  <c r="A681" i="1" a="1"/>
  <c r="A681" i="1" s="1"/>
  <c r="H681" i="1"/>
  <c r="I681" i="1"/>
  <c r="AE680" i="1" a="1"/>
  <c r="AE680" i="1" s="1"/>
  <c r="U680" i="1" a="1"/>
  <c r="U680" i="1" s="1"/>
  <c r="Z680" i="1"/>
  <c r="AA680" i="1"/>
  <c r="K680" i="1" a="1"/>
  <c r="K680" i="1" s="1"/>
  <c r="P680" i="1"/>
  <c r="R680" i="1"/>
  <c r="S680" i="1"/>
  <c r="T680" i="1"/>
  <c r="A680" i="1" a="1"/>
  <c r="A680" i="1" s="1"/>
  <c r="AE679" i="1" a="1"/>
  <c r="AE679" i="1" s="1"/>
  <c r="AG679" i="1"/>
  <c r="AH679" i="1"/>
  <c r="U679" i="1" a="1"/>
  <c r="U679" i="1" s="1"/>
  <c r="Z679" i="1"/>
  <c r="AA679" i="1"/>
  <c r="K679" i="1" a="1"/>
  <c r="K679" i="1" s="1"/>
  <c r="O679" i="1"/>
  <c r="Q679" i="1"/>
  <c r="R679" i="1"/>
  <c r="S679" i="1"/>
  <c r="T679" i="1"/>
  <c r="A679" i="1" a="1"/>
  <c r="A679" i="1" s="1"/>
  <c r="AE678" i="1" a="1"/>
  <c r="AE678" i="1" s="1"/>
  <c r="AH678" i="1"/>
  <c r="U678" i="1" a="1"/>
  <c r="U678" i="1" s="1"/>
  <c r="X678" i="1"/>
  <c r="Y678" i="1"/>
  <c r="Z678" i="1"/>
  <c r="K678" i="1" a="1"/>
  <c r="K678" i="1" s="1"/>
  <c r="Q678" i="1"/>
  <c r="R678" i="1"/>
  <c r="S678" i="1"/>
  <c r="T678" i="1"/>
  <c r="A678" i="1" a="1"/>
  <c r="A678" i="1" s="1"/>
  <c r="AE677" i="1" a="1"/>
  <c r="AE677" i="1" s="1"/>
  <c r="U677" i="1" a="1"/>
  <c r="U677" i="1" s="1"/>
  <c r="Z677" i="1"/>
  <c r="AC677" i="1"/>
  <c r="AD677" i="1"/>
  <c r="K677" i="1" a="1"/>
  <c r="K677" i="1" s="1"/>
  <c r="N677" i="1"/>
  <c r="P677" i="1"/>
  <c r="Q677" i="1"/>
  <c r="S677" i="1"/>
  <c r="T677" i="1"/>
  <c r="A677" i="1" a="1"/>
  <c r="A677" i="1" s="1"/>
  <c r="AE676" i="1" a="1"/>
  <c r="AE676" i="1" s="1"/>
  <c r="U676" i="1" a="1"/>
  <c r="U676" i="1" s="1"/>
  <c r="Z676" i="1"/>
  <c r="AC676" i="1"/>
  <c r="AD676" i="1"/>
  <c r="K676" i="1" a="1"/>
  <c r="K676" i="1" s="1"/>
  <c r="P676" i="1"/>
  <c r="Q676" i="1"/>
  <c r="A676" i="1" a="1"/>
  <c r="A676" i="1" s="1"/>
  <c r="E676" i="1"/>
  <c r="H676" i="1"/>
  <c r="I676" i="1"/>
  <c r="J676" i="1"/>
  <c r="AE675" i="1" a="1"/>
  <c r="AE675" i="1" s="1"/>
  <c r="U675" i="1" a="1"/>
  <c r="U675" i="1" s="1"/>
  <c r="X675" i="1"/>
  <c r="AA675" i="1"/>
  <c r="AB675" i="1"/>
  <c r="AC675" i="1"/>
  <c r="AD675" i="1"/>
  <c r="K675" i="1" a="1"/>
  <c r="K675" i="1" s="1"/>
  <c r="N675" i="1"/>
  <c r="O675" i="1"/>
  <c r="A675" i="1" a="1"/>
  <c r="A675" i="1" s="1"/>
  <c r="D675" i="1"/>
  <c r="E675" i="1"/>
  <c r="F675" i="1"/>
  <c r="G675" i="1"/>
  <c r="H675" i="1"/>
  <c r="J675" i="1"/>
  <c r="AE674" i="1" a="1"/>
  <c r="AE674" i="1" s="1"/>
  <c r="U674" i="1" a="1"/>
  <c r="U674" i="1" s="1"/>
  <c r="AC674" i="1"/>
  <c r="AD674" i="1"/>
  <c r="K674" i="1" a="1"/>
  <c r="K674" i="1" s="1"/>
  <c r="R674" i="1"/>
  <c r="S674" i="1"/>
  <c r="A674" i="1" a="1"/>
  <c r="A674" i="1" s="1"/>
  <c r="F674" i="1"/>
  <c r="I674" i="1"/>
  <c r="J674" i="1"/>
  <c r="AE673" i="1" a="1"/>
  <c r="AE673" i="1" s="1"/>
  <c r="U673" i="1" a="1"/>
  <c r="U673" i="1" s="1"/>
  <c r="Y673" i="1"/>
  <c r="AB673" i="1"/>
  <c r="AC673" i="1"/>
  <c r="AD673" i="1"/>
  <c r="K673" i="1" a="1"/>
  <c r="K673" i="1" s="1"/>
  <c r="Q673" i="1"/>
  <c r="R673" i="1"/>
  <c r="A673" i="1" a="1"/>
  <c r="A673" i="1" s="1"/>
  <c r="H673" i="1"/>
  <c r="AE672" i="1" a="1"/>
  <c r="AE672" i="1" s="1"/>
  <c r="U672" i="1" a="1"/>
  <c r="U672" i="1" s="1"/>
  <c r="K672" i="1" a="1"/>
  <c r="K672" i="1" s="1"/>
  <c r="O672" i="1"/>
  <c r="P672" i="1"/>
  <c r="Q672" i="1"/>
  <c r="R672" i="1"/>
  <c r="S672" i="1"/>
  <c r="T672" i="1"/>
  <c r="A672" i="1" a="1"/>
  <c r="A672" i="1" s="1"/>
  <c r="AE671" i="1" a="1"/>
  <c r="AE671" i="1" s="1"/>
  <c r="U671" i="1" a="1"/>
  <c r="U671" i="1" s="1"/>
  <c r="K671" i="1" a="1"/>
  <c r="K671" i="1" s="1"/>
  <c r="N671" i="1"/>
  <c r="Q671" i="1"/>
  <c r="R671" i="1"/>
  <c r="A671" i="1" a="1"/>
  <c r="A671" i="1" s="1"/>
  <c r="F671" i="1"/>
  <c r="I671" i="1"/>
  <c r="J671" i="1"/>
  <c r="AE670" i="1" a="1"/>
  <c r="AE670" i="1" s="1"/>
  <c r="U670" i="1" a="1"/>
  <c r="U670" i="1" s="1"/>
  <c r="AA670" i="1"/>
  <c r="AB670" i="1"/>
  <c r="AC670" i="1"/>
  <c r="AD670" i="1"/>
  <c r="K670" i="1" a="1"/>
  <c r="K670" i="1" s="1"/>
  <c r="S670" i="1"/>
  <c r="T670" i="1"/>
  <c r="A670" i="1" a="1"/>
  <c r="A670" i="1" s="1"/>
  <c r="G670" i="1"/>
  <c r="H670" i="1"/>
  <c r="I670" i="1"/>
  <c r="J670" i="1"/>
  <c r="AE669" i="1" a="1"/>
  <c r="AE669" i="1" s="1"/>
  <c r="AG669" i="1"/>
  <c r="AH669" i="1"/>
  <c r="U669" i="1" a="1"/>
  <c r="U669" i="1" s="1"/>
  <c r="X669" i="1"/>
  <c r="Y669" i="1"/>
  <c r="K669" i="1" a="1"/>
  <c r="K669" i="1" s="1"/>
  <c r="Q669" i="1"/>
  <c r="R669" i="1"/>
  <c r="S669" i="1"/>
  <c r="T669" i="1"/>
  <c r="A669" i="1" a="1"/>
  <c r="A669" i="1" s="1"/>
  <c r="E669" i="1"/>
  <c r="F669" i="1"/>
  <c r="AE668" i="1" a="1"/>
  <c r="AE668" i="1" s="1"/>
  <c r="U668" i="1" a="1"/>
  <c r="U668" i="1" s="1"/>
  <c r="K668" i="1" a="1"/>
  <c r="K668" i="1" s="1"/>
  <c r="Q668" i="1"/>
  <c r="R668" i="1"/>
  <c r="S668" i="1"/>
  <c r="T668" i="1"/>
  <c r="A668" i="1" a="1"/>
  <c r="A668" i="1" s="1"/>
  <c r="E668" i="1"/>
  <c r="F668" i="1"/>
  <c r="AE667" i="1" a="1"/>
  <c r="AE667" i="1" s="1"/>
  <c r="U667" i="1" a="1"/>
  <c r="U667" i="1" s="1"/>
  <c r="K667" i="1" a="1"/>
  <c r="K667" i="1" s="1"/>
  <c r="R667" i="1"/>
  <c r="S667" i="1"/>
  <c r="T667" i="1"/>
  <c r="A667" i="1" a="1"/>
  <c r="A667" i="1" s="1"/>
  <c r="E667" i="1"/>
  <c r="F667" i="1"/>
  <c r="G667" i="1"/>
  <c r="AE666" i="1" a="1"/>
  <c r="AE666" i="1" s="1"/>
  <c r="AH666" i="1"/>
  <c r="U666" i="1" a="1"/>
  <c r="U666" i="1" s="1"/>
  <c r="X666" i="1"/>
  <c r="Y666" i="1"/>
  <c r="Z666" i="1"/>
  <c r="AA666" i="1"/>
  <c r="AB666" i="1"/>
  <c r="K666" i="1" a="1"/>
  <c r="K666" i="1" s="1"/>
  <c r="S666" i="1"/>
  <c r="T666" i="1"/>
  <c r="A666" i="1" a="1"/>
  <c r="A666" i="1" s="1"/>
  <c r="F666" i="1"/>
  <c r="H666" i="1"/>
  <c r="I666" i="1"/>
  <c r="J666" i="1"/>
  <c r="AE665" i="1" a="1"/>
  <c r="AE665" i="1" s="1"/>
  <c r="U665" i="1" a="1"/>
  <c r="U665" i="1" s="1"/>
  <c r="Y665" i="1"/>
  <c r="Z665" i="1"/>
  <c r="AA665" i="1"/>
  <c r="AB665" i="1"/>
  <c r="AC665" i="1"/>
  <c r="AD665" i="1"/>
  <c r="K665" i="1" a="1"/>
  <c r="K665" i="1" s="1"/>
  <c r="A665" i="1" a="1"/>
  <c r="A665" i="1" s="1"/>
  <c r="H665" i="1"/>
  <c r="I665" i="1"/>
  <c r="J665" i="1"/>
  <c r="AE664" i="1" a="1"/>
  <c r="AE664" i="1" s="1"/>
  <c r="AH664" i="1"/>
  <c r="U664" i="1" a="1"/>
  <c r="U664" i="1" s="1"/>
  <c r="X664" i="1"/>
  <c r="K664" i="1" a="1"/>
  <c r="K664" i="1" s="1"/>
  <c r="A664" i="1" a="1"/>
  <c r="A664" i="1" s="1"/>
  <c r="AE663" i="1" a="1"/>
  <c r="AE663" i="1" s="1"/>
  <c r="AH663" i="1"/>
  <c r="U663" i="1" a="1"/>
  <c r="U663" i="1" s="1"/>
  <c r="Y663" i="1"/>
  <c r="Z663" i="1"/>
  <c r="AA663" i="1"/>
  <c r="AB663" i="1"/>
  <c r="AC663" i="1"/>
  <c r="K663" i="1" a="1"/>
  <c r="K663" i="1" s="1"/>
  <c r="O663" i="1"/>
  <c r="Q663" i="1"/>
  <c r="R663" i="1"/>
  <c r="S663" i="1"/>
  <c r="T663" i="1"/>
  <c r="A663" i="1" a="1"/>
  <c r="A663" i="1" s="1"/>
  <c r="J663" i="1"/>
  <c r="AE662" i="1" a="1"/>
  <c r="AE662" i="1" s="1"/>
  <c r="AH662" i="1"/>
  <c r="U662" i="1" a="1"/>
  <c r="U662" i="1" s="1"/>
  <c r="X662" i="1"/>
  <c r="Z662" i="1"/>
  <c r="AA662" i="1"/>
  <c r="AB662" i="1"/>
  <c r="AC662" i="1"/>
  <c r="AD662" i="1"/>
  <c r="K662" i="1" a="1"/>
  <c r="K662" i="1" s="1"/>
  <c r="O662" i="1"/>
  <c r="A662" i="1" a="1"/>
  <c r="A662" i="1" s="1"/>
  <c r="E662" i="1"/>
  <c r="F662" i="1"/>
  <c r="G662" i="1"/>
  <c r="H662" i="1"/>
  <c r="I662" i="1"/>
  <c r="AE661" i="1" a="1"/>
  <c r="AE661" i="1" s="1"/>
  <c r="AH661" i="1"/>
  <c r="U661" i="1" a="1"/>
  <c r="U661" i="1" s="1"/>
  <c r="Z661" i="1"/>
  <c r="AA661" i="1"/>
  <c r="AB661" i="1"/>
  <c r="AC661" i="1"/>
  <c r="AD661" i="1"/>
  <c r="K661" i="1" a="1"/>
  <c r="K661" i="1" s="1"/>
  <c r="Q661" i="1"/>
  <c r="A661" i="1" a="1"/>
  <c r="A661" i="1" s="1"/>
  <c r="G661" i="1"/>
  <c r="H661" i="1"/>
  <c r="I661" i="1"/>
  <c r="J661" i="1"/>
  <c r="AE660" i="1" a="1"/>
  <c r="AE660" i="1" s="1"/>
  <c r="U660" i="1" a="1"/>
  <c r="U660" i="1" s="1"/>
  <c r="K660" i="1" a="1"/>
  <c r="K660" i="1" s="1"/>
  <c r="Q660" i="1"/>
  <c r="R660" i="1"/>
  <c r="S660" i="1"/>
  <c r="A660" i="1" a="1"/>
  <c r="A660" i="1" s="1"/>
  <c r="F660" i="1"/>
  <c r="G660" i="1"/>
  <c r="H660" i="1"/>
  <c r="I660" i="1"/>
  <c r="J660" i="1"/>
  <c r="AE659" i="1" a="1"/>
  <c r="AE659" i="1" s="1"/>
  <c r="AH659" i="1"/>
  <c r="U659" i="1" a="1"/>
  <c r="U659" i="1" s="1"/>
  <c r="Y659" i="1"/>
  <c r="AC659" i="1"/>
  <c r="AD659" i="1"/>
  <c r="K659" i="1" a="1"/>
  <c r="K659" i="1" s="1"/>
  <c r="Q659" i="1"/>
  <c r="R659" i="1"/>
  <c r="S659" i="1"/>
  <c r="A659" i="1" a="1"/>
  <c r="A659" i="1" s="1"/>
  <c r="J659" i="1"/>
  <c r="AE658" i="1" a="1"/>
  <c r="AE658" i="1" s="1"/>
  <c r="AH658" i="1"/>
  <c r="U658" i="1" a="1"/>
  <c r="U658" i="1" s="1"/>
  <c r="X658" i="1"/>
  <c r="Z658" i="1"/>
  <c r="K658" i="1" a="1"/>
  <c r="K658" i="1" s="1"/>
  <c r="R658" i="1"/>
  <c r="S658" i="1"/>
  <c r="T658" i="1"/>
  <c r="A658" i="1" a="1"/>
  <c r="A658" i="1" s="1"/>
  <c r="E658" i="1"/>
  <c r="F658" i="1"/>
  <c r="AE657" i="1" a="1"/>
  <c r="AE657" i="1" s="1"/>
  <c r="U657" i="1" a="1"/>
  <c r="U657" i="1" s="1"/>
  <c r="K657" i="1" a="1"/>
  <c r="K657" i="1" s="1"/>
  <c r="O657" i="1"/>
  <c r="A657" i="1" a="1"/>
  <c r="A657" i="1" s="1"/>
  <c r="F657" i="1"/>
  <c r="G657" i="1"/>
  <c r="H657" i="1"/>
  <c r="I657" i="1"/>
  <c r="J657" i="1"/>
  <c r="AE656" i="1" a="1"/>
  <c r="AE656" i="1" s="1"/>
  <c r="U656" i="1" a="1"/>
  <c r="U656" i="1" s="1"/>
  <c r="K656" i="1" a="1"/>
  <c r="K656" i="1" s="1"/>
  <c r="T656" i="1"/>
  <c r="A656" i="1" a="1"/>
  <c r="A656" i="1" s="1"/>
  <c r="AE655" i="1" a="1"/>
  <c r="AE655" i="1" s="1"/>
  <c r="AH655" i="1"/>
  <c r="U655" i="1" a="1"/>
  <c r="U655" i="1" s="1"/>
  <c r="AC655" i="1"/>
  <c r="AD655" i="1"/>
  <c r="K655" i="1" a="1"/>
  <c r="K655" i="1" s="1"/>
  <c r="R655" i="1"/>
  <c r="S655" i="1"/>
  <c r="A655" i="1" a="1"/>
  <c r="A655" i="1" s="1"/>
  <c r="G655" i="1"/>
  <c r="I655" i="1"/>
  <c r="J655" i="1"/>
  <c r="AE654" i="1" a="1"/>
  <c r="AE654" i="1" s="1"/>
  <c r="AH654" i="1"/>
  <c r="U654" i="1" a="1"/>
  <c r="U654" i="1" s="1"/>
  <c r="K654" i="1" a="1"/>
  <c r="K654" i="1" s="1"/>
  <c r="R654" i="1"/>
  <c r="S654" i="1"/>
  <c r="T654" i="1"/>
  <c r="A654" i="1" a="1"/>
  <c r="A654" i="1" s="1"/>
  <c r="H654" i="1"/>
  <c r="I654" i="1"/>
  <c r="AE653" i="1" a="1"/>
  <c r="AE653" i="1" s="1"/>
  <c r="U653" i="1" a="1"/>
  <c r="U653" i="1" s="1"/>
  <c r="Y653" i="1"/>
  <c r="AC653" i="1"/>
  <c r="K653" i="1" a="1"/>
  <c r="K653" i="1" s="1"/>
  <c r="P653" i="1"/>
  <c r="R653" i="1"/>
  <c r="T653" i="1"/>
  <c r="A653" i="1" a="1"/>
  <c r="A653" i="1" s="1"/>
  <c r="AE652" i="1" a="1"/>
  <c r="AE652" i="1" s="1"/>
  <c r="U652" i="1" a="1"/>
  <c r="U652" i="1" s="1"/>
  <c r="W652" i="1"/>
  <c r="X652" i="1"/>
  <c r="K652" i="1" a="1"/>
  <c r="K652" i="1" s="1"/>
  <c r="T652" i="1"/>
  <c r="A652" i="1" a="1"/>
  <c r="A652" i="1" s="1"/>
  <c r="AE651" i="1" a="1"/>
  <c r="AE651" i="1" s="1"/>
  <c r="AH651" i="1"/>
  <c r="U651" i="1" a="1"/>
  <c r="U651" i="1" s="1"/>
  <c r="AB651" i="1"/>
  <c r="AC651" i="1"/>
  <c r="K651" i="1" a="1"/>
  <c r="K651" i="1" s="1"/>
  <c r="R651" i="1"/>
  <c r="T651" i="1"/>
  <c r="A651" i="1" a="1"/>
  <c r="A651" i="1" s="1"/>
  <c r="I651" i="1"/>
  <c r="AE650" i="1" a="1"/>
  <c r="AE650" i="1" s="1"/>
  <c r="U650" i="1" a="1"/>
  <c r="U650" i="1" s="1"/>
  <c r="Y650" i="1"/>
  <c r="AA650" i="1"/>
  <c r="AB650" i="1"/>
  <c r="AC650" i="1"/>
  <c r="AD650" i="1"/>
  <c r="K650" i="1" a="1"/>
  <c r="K650" i="1" s="1"/>
  <c r="O650" i="1"/>
  <c r="P650" i="1"/>
  <c r="A650" i="1" a="1"/>
  <c r="A650" i="1" s="1"/>
  <c r="E650" i="1"/>
  <c r="I650" i="1"/>
  <c r="AE649" i="1" a="1"/>
  <c r="AE649" i="1" s="1"/>
  <c r="U649" i="1" a="1"/>
  <c r="U649" i="1" s="1"/>
  <c r="AA649" i="1"/>
  <c r="AB649" i="1"/>
  <c r="AC649" i="1"/>
  <c r="AD649" i="1"/>
  <c r="K649" i="1" a="1"/>
  <c r="K649" i="1" s="1"/>
  <c r="R649" i="1"/>
  <c r="S649" i="1"/>
  <c r="A649" i="1" a="1"/>
  <c r="A649" i="1" s="1"/>
  <c r="I649" i="1"/>
  <c r="AE648" i="1" a="1"/>
  <c r="AE648" i="1" s="1"/>
  <c r="U648" i="1" a="1"/>
  <c r="U648" i="1" s="1"/>
  <c r="Y648" i="1"/>
  <c r="K648" i="1" a="1"/>
  <c r="K648" i="1" s="1"/>
  <c r="N648" i="1"/>
  <c r="O648" i="1"/>
  <c r="P648" i="1"/>
  <c r="Q648" i="1"/>
  <c r="R648" i="1"/>
  <c r="S648" i="1"/>
  <c r="T648" i="1"/>
  <c r="A648" i="1" a="1"/>
  <c r="A648" i="1" s="1"/>
  <c r="G648" i="1"/>
  <c r="J648" i="1"/>
  <c r="AE647" i="1" a="1"/>
  <c r="AE647" i="1"/>
  <c r="AF647" i="1"/>
  <c r="AG647" i="1"/>
  <c r="AH647" i="1"/>
  <c r="U647" i="1" a="1"/>
  <c r="U647" i="1" s="1"/>
  <c r="K647" i="1" a="1"/>
  <c r="K647" i="1" s="1"/>
  <c r="R647" i="1"/>
  <c r="S647" i="1"/>
  <c r="T647" i="1"/>
  <c r="A647" i="1" a="1"/>
  <c r="A647" i="1" s="1"/>
  <c r="E647" i="1"/>
  <c r="H647" i="1"/>
  <c r="J647" i="1"/>
  <c r="AE646" i="1" a="1"/>
  <c r="AE646" i="1" s="1"/>
  <c r="U646" i="1" a="1"/>
  <c r="U646" i="1" s="1"/>
  <c r="X646" i="1"/>
  <c r="K646" i="1" a="1"/>
  <c r="K646" i="1" s="1"/>
  <c r="A646" i="1" a="1"/>
  <c r="A646" i="1" s="1"/>
  <c r="H646" i="1"/>
  <c r="AE645" i="1" a="1"/>
  <c r="AE645" i="1" s="1"/>
  <c r="AH645" i="1"/>
  <c r="U645" i="1" a="1"/>
  <c r="U645" i="1" s="1"/>
  <c r="W645" i="1"/>
  <c r="X645" i="1"/>
  <c r="Y645" i="1"/>
  <c r="Z645" i="1"/>
  <c r="AA645" i="1"/>
  <c r="K645" i="1" a="1"/>
  <c r="K645" i="1" s="1"/>
  <c r="R645" i="1"/>
  <c r="S645" i="1"/>
  <c r="T645" i="1"/>
  <c r="A645" i="1" a="1"/>
  <c r="A645" i="1" s="1"/>
  <c r="H645" i="1"/>
  <c r="I645" i="1"/>
  <c r="J645" i="1"/>
  <c r="AE644" i="1" a="1"/>
  <c r="AE644" i="1" s="1"/>
  <c r="AG644" i="1"/>
  <c r="U644" i="1" a="1"/>
  <c r="U644" i="1" s="1"/>
  <c r="W644" i="1"/>
  <c r="X644" i="1"/>
  <c r="Y644" i="1"/>
  <c r="Z644" i="1"/>
  <c r="AA644" i="1"/>
  <c r="AB644" i="1"/>
  <c r="AC644" i="1"/>
  <c r="AD644" i="1"/>
  <c r="K644" i="1" a="1"/>
  <c r="K644" i="1" s="1"/>
  <c r="P644" i="1"/>
  <c r="S644" i="1"/>
  <c r="T644" i="1"/>
  <c r="A644" i="1" a="1"/>
  <c r="A644" i="1" s="1"/>
  <c r="E644" i="1"/>
  <c r="F644" i="1"/>
  <c r="G644" i="1"/>
  <c r="H644" i="1"/>
  <c r="AE643" i="1" a="1"/>
  <c r="AE643" i="1" s="1"/>
  <c r="AH643" i="1"/>
  <c r="U643" i="1" a="1"/>
  <c r="U643" i="1" s="1"/>
  <c r="X643" i="1"/>
  <c r="Y643" i="1"/>
  <c r="Z643" i="1"/>
  <c r="AA643" i="1"/>
  <c r="AB643" i="1"/>
  <c r="K643" i="1" a="1"/>
  <c r="K643" i="1" s="1"/>
  <c r="N643" i="1"/>
  <c r="Q643" i="1"/>
  <c r="R643" i="1"/>
  <c r="S643" i="1"/>
  <c r="T643" i="1"/>
  <c r="A643" i="1" a="1"/>
  <c r="A643" i="1" s="1"/>
  <c r="F643" i="1"/>
  <c r="G643" i="1"/>
  <c r="AE642" i="1" a="1"/>
  <c r="AE642" i="1" s="1"/>
  <c r="AH642" i="1"/>
  <c r="U642" i="1" a="1"/>
  <c r="U642" i="1" s="1"/>
  <c r="Y642" i="1"/>
  <c r="Z642" i="1"/>
  <c r="AA642" i="1"/>
  <c r="AB642" i="1"/>
  <c r="AC642" i="1"/>
  <c r="K642" i="1" a="1"/>
  <c r="K642" i="1" s="1"/>
  <c r="S642" i="1"/>
  <c r="T642" i="1"/>
  <c r="A642" i="1" a="1"/>
  <c r="A642" i="1" s="1"/>
  <c r="E642" i="1"/>
  <c r="F642" i="1"/>
  <c r="G642" i="1"/>
  <c r="AE641" i="1" a="1"/>
  <c r="AE641" i="1" s="1"/>
  <c r="AG641" i="1"/>
  <c r="AH641" i="1"/>
  <c r="U641" i="1" a="1"/>
  <c r="U641" i="1" s="1"/>
  <c r="Z641" i="1"/>
  <c r="K641" i="1" a="1"/>
  <c r="K641" i="1" s="1"/>
  <c r="O641" i="1"/>
  <c r="P641" i="1"/>
  <c r="Q641" i="1"/>
  <c r="R641" i="1"/>
  <c r="S641" i="1"/>
  <c r="T641" i="1"/>
  <c r="A641" i="1" a="1"/>
  <c r="A641" i="1" s="1"/>
  <c r="AE640" i="1" a="1"/>
  <c r="AE640" i="1" s="1"/>
  <c r="U640" i="1" a="1"/>
  <c r="U640" i="1" s="1"/>
  <c r="K640" i="1" a="1"/>
  <c r="K640" i="1" s="1"/>
  <c r="P640" i="1"/>
  <c r="Q640" i="1"/>
  <c r="R640" i="1"/>
  <c r="S640" i="1"/>
  <c r="T640" i="1"/>
  <c r="A640" i="1" a="1"/>
  <c r="A640" i="1" s="1"/>
  <c r="F640" i="1"/>
  <c r="AE639" i="1" a="1"/>
  <c r="AE639" i="1" s="1"/>
  <c r="U639" i="1" a="1"/>
  <c r="U639" i="1" s="1"/>
  <c r="W639" i="1"/>
  <c r="X639" i="1"/>
  <c r="Y639" i="1"/>
  <c r="Z639" i="1"/>
  <c r="AA639" i="1"/>
  <c r="K639" i="1" a="1"/>
  <c r="K639" i="1" s="1"/>
  <c r="Q639" i="1"/>
  <c r="R639" i="1"/>
  <c r="S639" i="1"/>
  <c r="T639" i="1"/>
  <c r="A639" i="1" a="1"/>
  <c r="A639" i="1" s="1"/>
  <c r="J639" i="1"/>
  <c r="AE638" i="1" a="1"/>
  <c r="AE638" i="1" s="1"/>
  <c r="U638" i="1" a="1"/>
  <c r="U638" i="1" s="1"/>
  <c r="Z638" i="1"/>
  <c r="AA638" i="1"/>
  <c r="AB638" i="1"/>
  <c r="AC638" i="1"/>
  <c r="AD638" i="1"/>
  <c r="K638" i="1" a="1"/>
  <c r="K638" i="1" s="1"/>
  <c r="O638" i="1"/>
  <c r="A638" i="1" a="1"/>
  <c r="A638" i="1" s="1"/>
  <c r="D638" i="1"/>
  <c r="E638" i="1"/>
  <c r="F638" i="1"/>
  <c r="G638" i="1"/>
  <c r="H638" i="1"/>
  <c r="I638" i="1"/>
  <c r="J638" i="1"/>
  <c r="AE637" i="1" a="1"/>
  <c r="AE637" i="1" s="1"/>
  <c r="AH637" i="1"/>
  <c r="U637" i="1" a="1"/>
  <c r="U637" i="1" s="1"/>
  <c r="X637" i="1"/>
  <c r="Y637" i="1"/>
  <c r="Z637" i="1"/>
  <c r="AA637" i="1"/>
  <c r="AB637" i="1"/>
  <c r="AC637" i="1"/>
  <c r="AD637" i="1"/>
  <c r="K637" i="1" a="1"/>
  <c r="K637" i="1" s="1"/>
  <c r="P637" i="1"/>
  <c r="R637" i="1"/>
  <c r="S637" i="1"/>
  <c r="T637" i="1"/>
  <c r="A637" i="1" a="1"/>
  <c r="A637" i="1" s="1"/>
  <c r="F637" i="1"/>
  <c r="G637" i="1"/>
  <c r="H637" i="1"/>
  <c r="AE636" i="1" a="1"/>
  <c r="AE636" i="1" s="1"/>
  <c r="AH636" i="1"/>
  <c r="U636" i="1" a="1"/>
  <c r="U636" i="1" s="1"/>
  <c r="V636" i="1"/>
  <c r="W636" i="1"/>
  <c r="X636" i="1"/>
  <c r="Y636" i="1"/>
  <c r="Z636" i="1"/>
  <c r="K636" i="1" a="1"/>
  <c r="K636" i="1" s="1"/>
  <c r="O636" i="1"/>
  <c r="P636" i="1"/>
  <c r="Q636" i="1"/>
  <c r="R636" i="1"/>
  <c r="S636" i="1"/>
  <c r="T636" i="1"/>
  <c r="A636" i="1" a="1"/>
  <c r="A636" i="1" s="1"/>
  <c r="G636" i="1"/>
  <c r="AE635" i="1" a="1"/>
  <c r="AE635" i="1" s="1"/>
  <c r="AG635" i="1"/>
  <c r="AH635" i="1"/>
  <c r="U635" i="1" a="1"/>
  <c r="U635" i="1" s="1"/>
  <c r="Z635" i="1"/>
  <c r="K635" i="1" a="1"/>
  <c r="K635" i="1" s="1"/>
  <c r="P635" i="1"/>
  <c r="Q635" i="1"/>
  <c r="R635" i="1"/>
  <c r="S635" i="1"/>
  <c r="T635" i="1"/>
  <c r="A635" i="1" a="1"/>
  <c r="A635" i="1" s="1"/>
  <c r="G635" i="1"/>
  <c r="AE634" i="1" a="1"/>
  <c r="AE634" i="1" s="1"/>
  <c r="AG634" i="1"/>
  <c r="AH634" i="1"/>
  <c r="U634" i="1" a="1"/>
  <c r="U634" i="1" s="1"/>
  <c r="K634" i="1" a="1"/>
  <c r="K634" i="1" s="1"/>
  <c r="Q634" i="1"/>
  <c r="R634" i="1"/>
  <c r="S634" i="1"/>
  <c r="T634" i="1"/>
  <c r="A634" i="1" a="1"/>
  <c r="A634" i="1" s="1"/>
  <c r="E634" i="1"/>
  <c r="F634" i="1"/>
  <c r="AE633" i="1" a="1"/>
  <c r="AE633" i="1" s="1"/>
  <c r="U633" i="1" a="1"/>
  <c r="U633" i="1" s="1"/>
  <c r="K633" i="1" a="1"/>
  <c r="K633" i="1" s="1"/>
  <c r="P633" i="1"/>
  <c r="Q633" i="1"/>
  <c r="R633" i="1"/>
  <c r="S633" i="1"/>
  <c r="T633" i="1"/>
  <c r="A633" i="1" a="1"/>
  <c r="A633" i="1" s="1"/>
  <c r="D633" i="1"/>
  <c r="AE632" i="1" a="1"/>
  <c r="AE632" i="1" s="1"/>
  <c r="U632" i="1" a="1"/>
  <c r="U632" i="1" s="1"/>
  <c r="Y632" i="1"/>
  <c r="K632" i="1" a="1"/>
  <c r="K632" i="1" s="1"/>
  <c r="N632" i="1"/>
  <c r="O632" i="1"/>
  <c r="P632" i="1"/>
  <c r="Q632" i="1"/>
  <c r="R632" i="1"/>
  <c r="S632" i="1"/>
  <c r="T632" i="1"/>
  <c r="A632" i="1" a="1"/>
  <c r="A632" i="1" s="1"/>
  <c r="F632" i="1"/>
  <c r="I632" i="1"/>
  <c r="J632" i="1"/>
  <c r="AE631" i="1" a="1"/>
  <c r="AE631" i="1" s="1"/>
  <c r="U631" i="1" a="1"/>
  <c r="U631" i="1" s="1"/>
  <c r="K631" i="1" a="1"/>
  <c r="K631" i="1" s="1"/>
  <c r="Q631" i="1"/>
  <c r="S631" i="1"/>
  <c r="T631" i="1"/>
  <c r="A631" i="1" a="1"/>
  <c r="A631" i="1" s="1"/>
  <c r="AE630" i="1" a="1"/>
  <c r="AE630" i="1" s="1"/>
  <c r="U630" i="1" a="1"/>
  <c r="U630" i="1" s="1"/>
  <c r="Y630" i="1"/>
  <c r="K630" i="1" a="1"/>
  <c r="K630" i="1" s="1"/>
  <c r="R630" i="1"/>
  <c r="S630" i="1"/>
  <c r="T630" i="1"/>
  <c r="A630" i="1" a="1"/>
  <c r="A630" i="1" s="1"/>
  <c r="D630" i="1"/>
  <c r="E630" i="1"/>
  <c r="F630" i="1"/>
  <c r="AE629" i="1" a="1"/>
  <c r="AE629" i="1" s="1"/>
  <c r="U629" i="1" a="1"/>
  <c r="U629" i="1" s="1"/>
  <c r="K629" i="1" a="1"/>
  <c r="K629" i="1" s="1"/>
  <c r="O629" i="1"/>
  <c r="P629" i="1"/>
  <c r="Q629" i="1"/>
  <c r="R629" i="1"/>
  <c r="S629" i="1"/>
  <c r="T629" i="1"/>
  <c r="A629" i="1" a="1"/>
  <c r="A629" i="1" s="1"/>
  <c r="AE628" i="1" a="1"/>
  <c r="AE628" i="1" s="1"/>
  <c r="U628" i="1" a="1"/>
  <c r="U628" i="1" s="1"/>
  <c r="W628" i="1"/>
  <c r="X628" i="1"/>
  <c r="Y628" i="1"/>
  <c r="Z628" i="1"/>
  <c r="AA628" i="1"/>
  <c r="K628" i="1" a="1"/>
  <c r="K628" i="1" s="1"/>
  <c r="Q628" i="1"/>
  <c r="R628" i="1"/>
  <c r="S628" i="1"/>
  <c r="T628" i="1"/>
  <c r="A628" i="1" a="1"/>
  <c r="A628" i="1" s="1"/>
  <c r="G628" i="1"/>
  <c r="H628" i="1"/>
  <c r="AE627" i="1" a="1"/>
  <c r="AE627" i="1" s="1"/>
  <c r="U627" i="1" a="1"/>
  <c r="U627" i="1" s="1"/>
  <c r="K627" i="1" a="1"/>
  <c r="K627" i="1" s="1"/>
  <c r="P627" i="1"/>
  <c r="R627" i="1"/>
  <c r="S627" i="1"/>
  <c r="T627" i="1"/>
  <c r="A627" i="1" a="1"/>
  <c r="A627" i="1" s="1"/>
  <c r="AE626" i="1" a="1"/>
  <c r="AE626" i="1" s="1"/>
  <c r="AG626" i="1"/>
  <c r="U626" i="1" a="1"/>
  <c r="U626" i="1" s="1"/>
  <c r="X626" i="1"/>
  <c r="Y626" i="1"/>
  <c r="Z626" i="1"/>
  <c r="AA626" i="1"/>
  <c r="AB626" i="1"/>
  <c r="AC626" i="1"/>
  <c r="AD626" i="1"/>
  <c r="K626" i="1" a="1"/>
  <c r="K626" i="1" s="1"/>
  <c r="Q626" i="1"/>
  <c r="T626" i="1"/>
  <c r="A626" i="1" a="1"/>
  <c r="A626" i="1" s="1"/>
  <c r="G626" i="1"/>
  <c r="J626" i="1"/>
  <c r="AE625" i="1" a="1"/>
  <c r="AE625" i="1" s="1"/>
  <c r="U625" i="1" a="1"/>
  <c r="U625" i="1" s="1"/>
  <c r="W625" i="1"/>
  <c r="X625" i="1"/>
  <c r="Y625" i="1"/>
  <c r="Z625" i="1"/>
  <c r="AA625" i="1"/>
  <c r="AB625" i="1"/>
  <c r="AC625" i="1"/>
  <c r="K625" i="1" a="1"/>
  <c r="K625" i="1" s="1"/>
  <c r="S625" i="1"/>
  <c r="T625" i="1"/>
  <c r="A625" i="1" a="1"/>
  <c r="A625" i="1" s="1"/>
  <c r="AE624" i="1" a="1"/>
  <c r="AE624" i="1" s="1"/>
  <c r="AG624" i="1"/>
  <c r="AH624" i="1"/>
  <c r="U624" i="1" a="1"/>
  <c r="U624" i="1" s="1"/>
  <c r="K624" i="1" a="1"/>
  <c r="K624" i="1" s="1"/>
  <c r="O624" i="1"/>
  <c r="P624" i="1"/>
  <c r="Q624" i="1"/>
  <c r="R624" i="1"/>
  <c r="S624" i="1"/>
  <c r="T624" i="1"/>
  <c r="A624" i="1" a="1"/>
  <c r="A624" i="1" s="1"/>
  <c r="AE623" i="1" a="1"/>
  <c r="AE623" i="1" s="1"/>
  <c r="U623" i="1" a="1"/>
  <c r="U623" i="1" s="1"/>
  <c r="X623" i="1"/>
  <c r="Z623" i="1"/>
  <c r="AC623" i="1"/>
  <c r="AD623" i="1"/>
  <c r="K623" i="1" a="1"/>
  <c r="K623" i="1" s="1"/>
  <c r="A623" i="1" a="1"/>
  <c r="A623" i="1" s="1"/>
  <c r="H623" i="1"/>
  <c r="I623" i="1"/>
  <c r="J623" i="1"/>
  <c r="AE622" i="1" a="1"/>
  <c r="AE622" i="1" s="1"/>
  <c r="U622" i="1" a="1"/>
  <c r="U622" i="1" s="1"/>
  <c r="K622" i="1" a="1"/>
  <c r="K622" i="1" s="1"/>
  <c r="M622" i="1"/>
  <c r="N622" i="1"/>
  <c r="Q622" i="1"/>
  <c r="R622" i="1"/>
  <c r="A622" i="1" a="1"/>
  <c r="A622" i="1" s="1"/>
  <c r="H622" i="1"/>
  <c r="I622" i="1"/>
  <c r="J622" i="1"/>
  <c r="AE621" i="1" a="1"/>
  <c r="AE621" i="1" s="1"/>
  <c r="U621" i="1" a="1"/>
  <c r="U621" i="1" s="1"/>
  <c r="W621" i="1"/>
  <c r="AD621" i="1"/>
  <c r="K621" i="1" a="1"/>
  <c r="K621" i="1" s="1"/>
  <c r="O621" i="1"/>
  <c r="R621" i="1"/>
  <c r="S621" i="1"/>
  <c r="A621" i="1" a="1"/>
  <c r="A621" i="1" s="1"/>
  <c r="G621" i="1"/>
  <c r="H621" i="1"/>
  <c r="I621" i="1"/>
  <c r="J621" i="1"/>
  <c r="AE620" i="1" a="1"/>
  <c r="AE620" i="1" s="1"/>
  <c r="AG620" i="1"/>
  <c r="AH620" i="1"/>
  <c r="U620" i="1" a="1"/>
  <c r="U620" i="1" s="1"/>
  <c r="W620" i="1"/>
  <c r="AB620" i="1"/>
  <c r="AC620" i="1"/>
  <c r="AD620" i="1"/>
  <c r="K620" i="1" a="1"/>
  <c r="K620" i="1" s="1"/>
  <c r="N620" i="1"/>
  <c r="O620" i="1"/>
  <c r="P620" i="1"/>
  <c r="A620" i="1" a="1"/>
  <c r="A620" i="1" s="1"/>
  <c r="H620" i="1"/>
  <c r="AE619" i="1" a="1"/>
  <c r="AE619" i="1" s="1"/>
  <c r="U619" i="1" a="1"/>
  <c r="U619" i="1" s="1"/>
  <c r="K619" i="1" a="1"/>
  <c r="K619" i="1" s="1"/>
  <c r="P619" i="1"/>
  <c r="S619" i="1"/>
  <c r="T619" i="1"/>
  <c r="A619" i="1" a="1"/>
  <c r="A619" i="1" s="1"/>
  <c r="D619" i="1"/>
  <c r="G619" i="1"/>
  <c r="H619" i="1"/>
  <c r="I619" i="1"/>
  <c r="J619" i="1"/>
  <c r="AE618" i="1" a="1"/>
  <c r="AE618" i="1" s="1"/>
  <c r="AH618" i="1"/>
  <c r="U618" i="1" a="1"/>
  <c r="U618" i="1" s="1"/>
  <c r="K618" i="1" a="1"/>
  <c r="K618" i="1" s="1"/>
  <c r="P618" i="1"/>
  <c r="S618" i="1"/>
  <c r="T618" i="1"/>
  <c r="A618" i="1" a="1"/>
  <c r="A618" i="1" s="1"/>
  <c r="AE617" i="1" a="1"/>
  <c r="AE617" i="1" s="1"/>
  <c r="AH617" i="1"/>
  <c r="U617" i="1" a="1"/>
  <c r="U617" i="1" s="1"/>
  <c r="X617" i="1"/>
  <c r="Y617" i="1"/>
  <c r="K617" i="1" a="1"/>
  <c r="K617" i="1" s="1"/>
  <c r="N617" i="1"/>
  <c r="O617" i="1"/>
  <c r="P617" i="1"/>
  <c r="Q617" i="1"/>
  <c r="R617" i="1"/>
  <c r="S617" i="1"/>
  <c r="T617" i="1"/>
  <c r="A617" i="1" a="1"/>
  <c r="A617" i="1" s="1"/>
  <c r="G617" i="1"/>
  <c r="I617" i="1"/>
  <c r="J617" i="1"/>
  <c r="AE616" i="1" a="1"/>
  <c r="AE616" i="1" s="1"/>
  <c r="AG616" i="1"/>
  <c r="AH616" i="1"/>
  <c r="U616" i="1" a="1"/>
  <c r="U616" i="1" s="1"/>
  <c r="AB616" i="1"/>
  <c r="AC616" i="1"/>
  <c r="AD616" i="1"/>
  <c r="K616" i="1" a="1"/>
  <c r="K616" i="1" s="1"/>
  <c r="P616" i="1"/>
  <c r="Q616" i="1"/>
  <c r="A616" i="1" a="1"/>
  <c r="A616" i="1" s="1"/>
  <c r="H616" i="1"/>
  <c r="J616" i="1"/>
  <c r="AE615" i="1" a="1"/>
  <c r="AE615" i="1" s="1"/>
  <c r="U615" i="1" a="1"/>
  <c r="U615" i="1" s="1"/>
  <c r="X615" i="1"/>
  <c r="K615" i="1" a="1"/>
  <c r="K615" i="1" s="1"/>
  <c r="O615" i="1"/>
  <c r="P615" i="1"/>
  <c r="Q615" i="1"/>
  <c r="S615" i="1"/>
  <c r="T615" i="1"/>
  <c r="A615" i="1" a="1"/>
  <c r="A615" i="1" s="1"/>
  <c r="G615" i="1"/>
  <c r="H615" i="1"/>
  <c r="J615" i="1"/>
  <c r="AE614" i="1" a="1"/>
  <c r="AE614" i="1" s="1"/>
  <c r="U614" i="1" a="1"/>
  <c r="U614" i="1" s="1"/>
  <c r="X614" i="1"/>
  <c r="Y614" i="1"/>
  <c r="K614" i="1" a="1"/>
  <c r="K614" i="1" s="1"/>
  <c r="N614" i="1"/>
  <c r="O614" i="1"/>
  <c r="P614" i="1"/>
  <c r="Q614" i="1"/>
  <c r="R614" i="1"/>
  <c r="S614" i="1"/>
  <c r="T614" i="1"/>
  <c r="A614" i="1" a="1"/>
  <c r="A614" i="1" s="1"/>
  <c r="F614" i="1"/>
  <c r="G614" i="1"/>
  <c r="I614" i="1"/>
  <c r="J614" i="1"/>
  <c r="AE613" i="1" a="1"/>
  <c r="AE613" i="1" s="1"/>
  <c r="AF613" i="1"/>
  <c r="AH613" i="1"/>
  <c r="U613" i="1" a="1"/>
  <c r="U613" i="1" s="1"/>
  <c r="AB613" i="1"/>
  <c r="AC613" i="1"/>
  <c r="AD613" i="1"/>
  <c r="K613" i="1" a="1"/>
  <c r="K613" i="1" s="1"/>
  <c r="Q613" i="1"/>
  <c r="R613" i="1"/>
  <c r="A613" i="1" a="1"/>
  <c r="A613" i="1" s="1"/>
  <c r="E613" i="1"/>
  <c r="F613" i="1"/>
  <c r="H613" i="1"/>
  <c r="I613" i="1"/>
  <c r="J613" i="1"/>
  <c r="AE612" i="1" a="1"/>
  <c r="AE612" i="1" s="1"/>
  <c r="AF612" i="1"/>
  <c r="U612" i="1" a="1"/>
  <c r="U612" i="1" s="1"/>
  <c r="AA612" i="1"/>
  <c r="AB612" i="1"/>
  <c r="AC612" i="1"/>
  <c r="AD612" i="1"/>
  <c r="K612" i="1" a="1"/>
  <c r="K612" i="1" s="1"/>
  <c r="Q612" i="1"/>
  <c r="R612" i="1"/>
  <c r="A612" i="1" a="1"/>
  <c r="A612" i="1" s="1"/>
  <c r="F612" i="1"/>
  <c r="G612" i="1"/>
  <c r="I612" i="1"/>
  <c r="J612" i="1"/>
  <c r="AE611" i="1" a="1"/>
  <c r="AE611" i="1" s="1"/>
  <c r="AH611" i="1"/>
  <c r="U611" i="1" a="1"/>
  <c r="U611" i="1" s="1"/>
  <c r="K611" i="1" a="1"/>
  <c r="K611" i="1" s="1"/>
  <c r="N611" i="1"/>
  <c r="O611" i="1"/>
  <c r="P611" i="1"/>
  <c r="Q611" i="1"/>
  <c r="R611" i="1"/>
  <c r="S611" i="1"/>
  <c r="T611" i="1"/>
  <c r="A611" i="1" a="1"/>
  <c r="A611" i="1" s="1"/>
  <c r="J611" i="1"/>
  <c r="AE610" i="1" a="1"/>
  <c r="AE610" i="1" s="1"/>
  <c r="AH610" i="1"/>
  <c r="U610" i="1" a="1"/>
  <c r="U610" i="1" s="1"/>
  <c r="Z610" i="1"/>
  <c r="AA610" i="1"/>
  <c r="AB610" i="1"/>
  <c r="K610" i="1" a="1"/>
  <c r="K610" i="1" s="1"/>
  <c r="S610" i="1"/>
  <c r="T610" i="1"/>
  <c r="A610" i="1" a="1"/>
  <c r="A610" i="1" s="1"/>
  <c r="AE609" i="1" a="1"/>
  <c r="AE609" i="1" s="1"/>
  <c r="U609" i="1" a="1"/>
  <c r="U609" i="1" s="1"/>
  <c r="AB609" i="1"/>
  <c r="AC609" i="1"/>
  <c r="AD609" i="1"/>
  <c r="K609" i="1" a="1"/>
  <c r="K609" i="1" s="1"/>
  <c r="R609" i="1"/>
  <c r="S609" i="1"/>
  <c r="T609" i="1"/>
  <c r="A609" i="1" a="1"/>
  <c r="A609" i="1" s="1"/>
  <c r="C609" i="1"/>
  <c r="AE608" i="1" a="1"/>
  <c r="AE608" i="1" s="1"/>
  <c r="AH608" i="1"/>
  <c r="U608" i="1" a="1"/>
  <c r="U608" i="1" s="1"/>
  <c r="Z608" i="1"/>
  <c r="AA608" i="1"/>
  <c r="K608" i="1" a="1"/>
  <c r="K608" i="1" s="1"/>
  <c r="N608" i="1"/>
  <c r="P608" i="1"/>
  <c r="Q608" i="1"/>
  <c r="R608" i="1"/>
  <c r="S608" i="1"/>
  <c r="T608" i="1"/>
  <c r="A608" i="1" a="1"/>
  <c r="A608" i="1" s="1"/>
  <c r="AE607" i="1" a="1"/>
  <c r="AE607" i="1" s="1"/>
  <c r="U607" i="1" a="1"/>
  <c r="U607" i="1" s="1"/>
  <c r="Y607" i="1"/>
  <c r="Z607" i="1"/>
  <c r="AA607" i="1"/>
  <c r="AC607" i="1"/>
  <c r="AD607" i="1"/>
  <c r="K607" i="1" a="1"/>
  <c r="K607" i="1" s="1"/>
  <c r="Q607" i="1"/>
  <c r="R607" i="1"/>
  <c r="T607" i="1"/>
  <c r="A607" i="1" a="1"/>
  <c r="A607" i="1" s="1"/>
  <c r="F607" i="1"/>
  <c r="G607" i="1"/>
  <c r="AE606" i="1" a="1"/>
  <c r="AE606" i="1" s="1"/>
  <c r="U606" i="1" a="1"/>
  <c r="U606" i="1" s="1"/>
  <c r="Z606" i="1"/>
  <c r="AA606" i="1"/>
  <c r="AB606" i="1"/>
  <c r="AC606" i="1"/>
  <c r="AD606" i="1"/>
  <c r="K606" i="1" a="1"/>
  <c r="K606" i="1" s="1"/>
  <c r="P606" i="1"/>
  <c r="A606" i="1" a="1"/>
  <c r="A606" i="1" s="1"/>
  <c r="G606" i="1"/>
  <c r="H606" i="1"/>
  <c r="I606" i="1"/>
  <c r="J606" i="1"/>
  <c r="AE605" i="1" a="1"/>
  <c r="AE605" i="1" s="1"/>
  <c r="U605" i="1" a="1"/>
  <c r="U605" i="1" s="1"/>
  <c r="AB605" i="1"/>
  <c r="AC605" i="1"/>
  <c r="AD605" i="1"/>
  <c r="K605" i="1" a="1"/>
  <c r="K605" i="1" s="1"/>
  <c r="Q605" i="1"/>
  <c r="R605" i="1"/>
  <c r="A605" i="1" a="1"/>
  <c r="A605" i="1" s="1"/>
  <c r="F605" i="1"/>
  <c r="H605" i="1"/>
  <c r="J605" i="1"/>
  <c r="AE604" i="1" a="1"/>
  <c r="AE604" i="1" s="1"/>
  <c r="AH604" i="1"/>
  <c r="U604" i="1" a="1"/>
  <c r="U604" i="1" s="1"/>
  <c r="K604" i="1" a="1"/>
  <c r="K604" i="1" s="1"/>
  <c r="O604" i="1"/>
  <c r="P604" i="1"/>
  <c r="R604" i="1"/>
  <c r="S604" i="1"/>
  <c r="A604" i="1" a="1"/>
  <c r="A604" i="1" s="1"/>
  <c r="H604" i="1"/>
  <c r="I604" i="1"/>
  <c r="AE603" i="1" a="1"/>
  <c r="AE603" i="1" s="1"/>
  <c r="AG603" i="1"/>
  <c r="AH603" i="1"/>
  <c r="U603" i="1" a="1"/>
  <c r="U603" i="1" s="1"/>
  <c r="X603" i="1"/>
  <c r="K603" i="1" a="1"/>
  <c r="K603" i="1" s="1"/>
  <c r="T603" i="1"/>
  <c r="A603" i="1" a="1"/>
  <c r="A603" i="1" s="1"/>
  <c r="AE602" i="1" a="1"/>
  <c r="AE602" i="1" s="1"/>
  <c r="U602" i="1" a="1"/>
  <c r="U602" i="1" s="1"/>
  <c r="Z602" i="1"/>
  <c r="AA602" i="1"/>
  <c r="AC602" i="1"/>
  <c r="AD602" i="1"/>
  <c r="K602" i="1" a="1"/>
  <c r="K602" i="1" s="1"/>
  <c r="A602" i="1" a="1"/>
  <c r="A602" i="1" s="1"/>
  <c r="G602" i="1"/>
  <c r="H602" i="1"/>
  <c r="I602" i="1"/>
  <c r="J602" i="1"/>
  <c r="AE601" i="1" a="1"/>
  <c r="AE601" i="1" s="1"/>
  <c r="U601" i="1" a="1"/>
  <c r="U601" i="1" s="1"/>
  <c r="W601" i="1"/>
  <c r="K601" i="1" a="1"/>
  <c r="K601" i="1" s="1"/>
  <c r="A601" i="1" a="1"/>
  <c r="A601" i="1" s="1"/>
  <c r="E601" i="1"/>
  <c r="F601" i="1"/>
  <c r="G601" i="1"/>
  <c r="H601" i="1"/>
  <c r="I601" i="1"/>
  <c r="J601" i="1"/>
  <c r="AE600" i="1" a="1"/>
  <c r="AE600" i="1" s="1"/>
  <c r="AH600" i="1"/>
  <c r="U600" i="1" a="1"/>
  <c r="U600" i="1" s="1"/>
  <c r="Z600" i="1"/>
  <c r="AA600" i="1"/>
  <c r="AB600" i="1"/>
  <c r="AC600" i="1"/>
  <c r="AD600" i="1"/>
  <c r="K600" i="1" a="1"/>
  <c r="K600" i="1" s="1"/>
  <c r="P600" i="1"/>
  <c r="S600" i="1"/>
  <c r="A600" i="1" a="1"/>
  <c r="A600" i="1" s="1"/>
  <c r="F600" i="1"/>
  <c r="H600" i="1"/>
  <c r="I600" i="1"/>
  <c r="AE599" i="1" a="1"/>
  <c r="AE599" i="1" s="1"/>
  <c r="AG599" i="1"/>
  <c r="U599" i="1" a="1"/>
  <c r="U599" i="1" s="1"/>
  <c r="AD599" i="1"/>
  <c r="K599" i="1" a="1"/>
  <c r="K599" i="1" s="1"/>
  <c r="O599" i="1"/>
  <c r="A599" i="1" a="1"/>
  <c r="A599" i="1" s="1"/>
  <c r="F599" i="1"/>
  <c r="I599" i="1"/>
  <c r="J599" i="1"/>
  <c r="AE598" i="1" a="1"/>
  <c r="AE598" i="1" s="1"/>
  <c r="AG598" i="1"/>
  <c r="AH598" i="1"/>
  <c r="U598" i="1" a="1"/>
  <c r="U598" i="1" s="1"/>
  <c r="W598" i="1"/>
  <c r="Y598" i="1"/>
  <c r="K598" i="1" a="1"/>
  <c r="K598" i="1" s="1"/>
  <c r="P598" i="1"/>
  <c r="Q598" i="1"/>
  <c r="R598" i="1"/>
  <c r="S598" i="1"/>
  <c r="A598" i="1" a="1"/>
  <c r="A598" i="1" s="1"/>
  <c r="I598" i="1"/>
  <c r="AE597" i="1" a="1"/>
  <c r="AE597" i="1" s="1"/>
  <c r="AG597" i="1"/>
  <c r="U597" i="1" a="1"/>
  <c r="U597" i="1" s="1"/>
  <c r="Y597" i="1"/>
  <c r="K597" i="1" a="1"/>
  <c r="K597" i="1" s="1"/>
  <c r="N597" i="1"/>
  <c r="O597" i="1"/>
  <c r="P597" i="1"/>
  <c r="Q597" i="1"/>
  <c r="S597" i="1"/>
  <c r="A597" i="1" a="1"/>
  <c r="A597" i="1" s="1"/>
  <c r="D597" i="1"/>
  <c r="F597" i="1"/>
  <c r="G597" i="1"/>
  <c r="H597" i="1"/>
  <c r="I597" i="1"/>
  <c r="J597" i="1"/>
  <c r="AE596" i="1" a="1"/>
  <c r="AE596" i="1" s="1"/>
  <c r="U596" i="1" a="1"/>
  <c r="U596" i="1" s="1"/>
  <c r="Y596" i="1"/>
  <c r="K596" i="1" a="1"/>
  <c r="K596" i="1" s="1"/>
  <c r="N596" i="1"/>
  <c r="O596" i="1"/>
  <c r="P596" i="1"/>
  <c r="Q596" i="1"/>
  <c r="S596" i="1"/>
  <c r="A596" i="1" a="1"/>
  <c r="A596" i="1" s="1"/>
  <c r="E596" i="1"/>
  <c r="G596" i="1"/>
  <c r="H596" i="1"/>
  <c r="I596" i="1"/>
  <c r="J596" i="1"/>
  <c r="AE595" i="1" a="1"/>
  <c r="AE595" i="1" s="1"/>
  <c r="AH595" i="1"/>
  <c r="U595" i="1" a="1"/>
  <c r="U595" i="1" s="1"/>
  <c r="K595" i="1" a="1"/>
  <c r="K595" i="1" s="1"/>
  <c r="A595" i="1" a="1"/>
  <c r="A595" i="1" s="1"/>
  <c r="H595" i="1"/>
  <c r="I595" i="1"/>
  <c r="J595" i="1"/>
  <c r="AE594" i="1" a="1"/>
  <c r="AE594" i="1" s="1"/>
  <c r="AG594" i="1"/>
  <c r="U594" i="1" a="1"/>
  <c r="U594" i="1" s="1"/>
  <c r="Y594" i="1"/>
  <c r="K594" i="1" a="1"/>
  <c r="K594" i="1" s="1"/>
  <c r="N594" i="1"/>
  <c r="O594" i="1"/>
  <c r="P594" i="1"/>
  <c r="Q594" i="1"/>
  <c r="S594" i="1"/>
  <c r="A594" i="1" a="1"/>
  <c r="A594" i="1" s="1"/>
  <c r="H594" i="1"/>
  <c r="I594" i="1"/>
  <c r="J594" i="1"/>
  <c r="AE593" i="1" a="1"/>
  <c r="AE593" i="1" s="1"/>
  <c r="AH593" i="1"/>
  <c r="U593" i="1" a="1"/>
  <c r="U593" i="1" s="1"/>
  <c r="W593" i="1"/>
  <c r="X593" i="1"/>
  <c r="AD593" i="1"/>
  <c r="K593" i="1" a="1"/>
  <c r="K593" i="1" s="1"/>
  <c r="O593" i="1"/>
  <c r="A593" i="1" a="1"/>
  <c r="A593" i="1" s="1"/>
  <c r="F593" i="1"/>
  <c r="G593" i="1"/>
  <c r="H593" i="1"/>
  <c r="I593" i="1"/>
  <c r="J593" i="1"/>
  <c r="AE592" i="1" a="1"/>
  <c r="AE592" i="1" s="1"/>
  <c r="AH592" i="1"/>
  <c r="U592" i="1" a="1"/>
  <c r="U592" i="1" s="1"/>
  <c r="K592" i="1" a="1"/>
  <c r="K592" i="1" s="1"/>
  <c r="O592" i="1"/>
  <c r="A592" i="1" a="1"/>
  <c r="A592" i="1" s="1"/>
  <c r="I592" i="1"/>
  <c r="J592" i="1"/>
  <c r="AE591" i="1" a="1"/>
  <c r="AE591" i="1" s="1"/>
  <c r="AH591" i="1"/>
  <c r="U591" i="1" a="1"/>
  <c r="U591" i="1" s="1"/>
  <c r="Y591" i="1"/>
  <c r="Z591" i="1"/>
  <c r="K591" i="1" a="1"/>
  <c r="K591" i="1" s="1"/>
  <c r="N591" i="1"/>
  <c r="O591" i="1"/>
  <c r="P591" i="1"/>
  <c r="Q591" i="1"/>
  <c r="R591" i="1"/>
  <c r="T591" i="1"/>
  <c r="A591" i="1" a="1"/>
  <c r="A591" i="1" s="1"/>
  <c r="E591" i="1"/>
  <c r="F591" i="1"/>
  <c r="G591" i="1"/>
  <c r="H591" i="1"/>
  <c r="I591" i="1"/>
  <c r="J591" i="1"/>
  <c r="AE590" i="1" a="1"/>
  <c r="AE590" i="1" s="1"/>
  <c r="AH590" i="1"/>
  <c r="U590" i="1" a="1"/>
  <c r="U590" i="1" s="1"/>
  <c r="W590" i="1"/>
  <c r="X590" i="1"/>
  <c r="AD590" i="1"/>
  <c r="K590" i="1" a="1"/>
  <c r="K590" i="1" s="1"/>
  <c r="A590" i="1" a="1"/>
  <c r="A590" i="1" s="1"/>
  <c r="AE589" i="1" a="1"/>
  <c r="AE589" i="1" s="1"/>
  <c r="U589" i="1" a="1"/>
  <c r="U589" i="1" s="1"/>
  <c r="Y589" i="1"/>
  <c r="AA589" i="1"/>
  <c r="AB589" i="1"/>
  <c r="K589" i="1" a="1"/>
  <c r="K589" i="1" s="1"/>
  <c r="R589" i="1"/>
  <c r="S589" i="1"/>
  <c r="T589" i="1"/>
  <c r="A589" i="1" a="1"/>
  <c r="A589" i="1" s="1"/>
  <c r="F589" i="1"/>
  <c r="AE588" i="1" a="1"/>
  <c r="AE588" i="1" s="1"/>
  <c r="AG588" i="1"/>
  <c r="AH588" i="1"/>
  <c r="U588" i="1" a="1"/>
  <c r="U588" i="1" s="1"/>
  <c r="Y588" i="1"/>
  <c r="Z588" i="1"/>
  <c r="AA588" i="1"/>
  <c r="AB588" i="1"/>
  <c r="AC588" i="1"/>
  <c r="K588" i="1" a="1"/>
  <c r="K588" i="1" s="1"/>
  <c r="N588" i="1"/>
  <c r="P588" i="1"/>
  <c r="Q588" i="1"/>
  <c r="R588" i="1"/>
  <c r="S588" i="1"/>
  <c r="T588" i="1"/>
  <c r="A588" i="1" a="1"/>
  <c r="A588" i="1" s="1"/>
  <c r="AE587" i="1" a="1"/>
  <c r="AE587" i="1" s="1"/>
  <c r="U587" i="1" a="1"/>
  <c r="U587" i="1" s="1"/>
  <c r="K587" i="1" a="1"/>
  <c r="K587" i="1" s="1"/>
  <c r="R587" i="1"/>
  <c r="S587" i="1"/>
  <c r="T587" i="1"/>
  <c r="A587" i="1" a="1"/>
  <c r="A587" i="1" s="1"/>
  <c r="G587" i="1"/>
  <c r="AE586" i="1" a="1"/>
  <c r="AE586" i="1" s="1"/>
  <c r="AF586" i="1"/>
  <c r="AG586" i="1"/>
  <c r="AH586" i="1"/>
  <c r="U586" i="1" a="1"/>
  <c r="U586" i="1" s="1"/>
  <c r="K586" i="1" a="1"/>
  <c r="K586" i="1" s="1"/>
  <c r="P586" i="1"/>
  <c r="Q586" i="1"/>
  <c r="R586" i="1"/>
  <c r="S586" i="1"/>
  <c r="T586" i="1"/>
  <c r="A586" i="1" a="1"/>
  <c r="A586" i="1" s="1"/>
  <c r="H586" i="1"/>
  <c r="I586" i="1"/>
  <c r="AE585" i="1" a="1"/>
  <c r="AE585" i="1" s="1"/>
  <c r="U585" i="1" a="1"/>
  <c r="U585" i="1" s="1"/>
  <c r="X585" i="1"/>
  <c r="Y585" i="1"/>
  <c r="Z585" i="1"/>
  <c r="AA585" i="1"/>
  <c r="AB585" i="1"/>
  <c r="AD585" i="1"/>
  <c r="K585" i="1" a="1"/>
  <c r="K585" i="1" s="1"/>
  <c r="N585" i="1"/>
  <c r="O585" i="1"/>
  <c r="Q585" i="1"/>
  <c r="R585" i="1"/>
  <c r="S585" i="1"/>
  <c r="T585" i="1"/>
  <c r="A585" i="1" a="1"/>
  <c r="A585" i="1" s="1"/>
  <c r="G585" i="1"/>
  <c r="H585" i="1"/>
  <c r="AE584" i="1" a="1"/>
  <c r="AE584" i="1" s="1"/>
  <c r="U584" i="1" a="1"/>
  <c r="U584" i="1" s="1"/>
  <c r="W584" i="1"/>
  <c r="X584" i="1"/>
  <c r="Y584" i="1"/>
  <c r="Z584" i="1"/>
  <c r="AA584" i="1"/>
  <c r="AC584" i="1"/>
  <c r="K584" i="1" a="1"/>
  <c r="K584" i="1" s="1"/>
  <c r="Q584" i="1"/>
  <c r="R584" i="1"/>
  <c r="S584" i="1"/>
  <c r="T584" i="1"/>
  <c r="A584" i="1" a="1"/>
  <c r="A584" i="1" s="1"/>
  <c r="H584" i="1"/>
  <c r="I584" i="1"/>
  <c r="AE583" i="1" a="1"/>
  <c r="AE583" i="1" s="1"/>
  <c r="U583" i="1" a="1"/>
  <c r="U583" i="1" s="1"/>
  <c r="W583" i="1"/>
  <c r="X583" i="1"/>
  <c r="Y583" i="1"/>
  <c r="Z583" i="1"/>
  <c r="AA583" i="1"/>
  <c r="AB583" i="1"/>
  <c r="AD583" i="1"/>
  <c r="K583" i="1" a="1"/>
  <c r="K583" i="1" s="1"/>
  <c r="N583" i="1"/>
  <c r="O583" i="1"/>
  <c r="Q583" i="1"/>
  <c r="R583" i="1"/>
  <c r="S583" i="1"/>
  <c r="T583" i="1"/>
  <c r="A583" i="1" a="1"/>
  <c r="A583" i="1" s="1"/>
  <c r="H583" i="1"/>
  <c r="I583" i="1"/>
  <c r="AE582" i="1" a="1"/>
  <c r="AE582" i="1" s="1"/>
  <c r="U582" i="1" a="1"/>
  <c r="U582" i="1" s="1"/>
  <c r="W582" i="1"/>
  <c r="X582" i="1"/>
  <c r="Y582" i="1"/>
  <c r="Z582" i="1"/>
  <c r="AA582" i="1"/>
  <c r="AB582" i="1"/>
  <c r="AD582" i="1"/>
  <c r="K582" i="1" a="1"/>
  <c r="K582" i="1" s="1"/>
  <c r="O582" i="1"/>
  <c r="Q582" i="1"/>
  <c r="R582" i="1"/>
  <c r="S582" i="1"/>
  <c r="T582" i="1"/>
  <c r="A582" i="1" a="1"/>
  <c r="A582" i="1" s="1"/>
  <c r="D582" i="1"/>
  <c r="F582" i="1"/>
  <c r="G582" i="1"/>
  <c r="AE581" i="1" a="1"/>
  <c r="AE581" i="1" s="1"/>
  <c r="AH581" i="1"/>
  <c r="U581" i="1" a="1"/>
  <c r="U581" i="1" s="1"/>
  <c r="K581" i="1" a="1"/>
  <c r="K581" i="1" s="1"/>
  <c r="O581" i="1"/>
  <c r="P581" i="1"/>
  <c r="Q581" i="1"/>
  <c r="R581" i="1"/>
  <c r="S581" i="1"/>
  <c r="T581" i="1"/>
  <c r="A581" i="1" a="1"/>
  <c r="A581" i="1" s="1"/>
  <c r="H581" i="1"/>
  <c r="AE580" i="1" a="1"/>
  <c r="AE580" i="1" s="1"/>
  <c r="AF580" i="1"/>
  <c r="AH580" i="1"/>
  <c r="U580" i="1" a="1"/>
  <c r="U580" i="1" s="1"/>
  <c r="X580" i="1"/>
  <c r="Y580" i="1"/>
  <c r="Z580" i="1"/>
  <c r="AA580" i="1"/>
  <c r="AC580" i="1"/>
  <c r="K580" i="1" a="1"/>
  <c r="K580" i="1" s="1"/>
  <c r="R580" i="1"/>
  <c r="S580" i="1"/>
  <c r="T580" i="1"/>
  <c r="A580" i="1" a="1"/>
  <c r="A580" i="1" s="1"/>
  <c r="D580" i="1"/>
  <c r="F580" i="1"/>
  <c r="G580" i="1"/>
  <c r="AE579" i="1" a="1"/>
  <c r="AE579" i="1" s="1"/>
  <c r="U579" i="1" a="1"/>
  <c r="U579" i="1" s="1"/>
  <c r="X579" i="1"/>
  <c r="Y579" i="1"/>
  <c r="Z579" i="1"/>
  <c r="AA579" i="1"/>
  <c r="AC579" i="1"/>
  <c r="K579" i="1" a="1"/>
  <c r="K579" i="1" s="1"/>
  <c r="T579" i="1"/>
  <c r="A579" i="1" a="1"/>
  <c r="A579" i="1" s="1"/>
  <c r="G579" i="1"/>
  <c r="I579" i="1"/>
  <c r="J579" i="1"/>
  <c r="AE578" i="1" a="1"/>
  <c r="AE578" i="1" s="1"/>
  <c r="AH578" i="1"/>
  <c r="U578" i="1" a="1"/>
  <c r="U578" i="1" s="1"/>
  <c r="Y578" i="1"/>
  <c r="AA578" i="1"/>
  <c r="AB578" i="1"/>
  <c r="AC578" i="1"/>
  <c r="AD578" i="1"/>
  <c r="K578" i="1" a="1"/>
  <c r="K578" i="1" s="1"/>
  <c r="A578" i="1" a="1"/>
  <c r="A578" i="1" s="1"/>
  <c r="H578" i="1"/>
  <c r="J578" i="1"/>
  <c r="AE577" i="1" a="1"/>
  <c r="AE577" i="1" s="1"/>
  <c r="U577" i="1" a="1"/>
  <c r="U577" i="1" s="1"/>
  <c r="AA577" i="1"/>
  <c r="AC577" i="1"/>
  <c r="AD577" i="1"/>
  <c r="K577" i="1" a="1"/>
  <c r="K577" i="1" s="1"/>
  <c r="A577" i="1" a="1"/>
  <c r="A577" i="1" s="1"/>
  <c r="E577" i="1"/>
  <c r="F577" i="1"/>
  <c r="G577" i="1"/>
  <c r="H577" i="1"/>
  <c r="I577" i="1"/>
  <c r="J577" i="1"/>
  <c r="AE576" i="1" a="1"/>
  <c r="AE576" i="1" s="1"/>
  <c r="AH576" i="1"/>
  <c r="U576" i="1" a="1"/>
  <c r="U576" i="1" s="1"/>
  <c r="X576" i="1"/>
  <c r="Y576" i="1"/>
  <c r="Z576" i="1"/>
  <c r="AA576" i="1"/>
  <c r="AB576" i="1"/>
  <c r="AC576" i="1"/>
  <c r="AD576" i="1"/>
  <c r="K576" i="1" a="1"/>
  <c r="K576" i="1" s="1"/>
  <c r="N576" i="1"/>
  <c r="A576" i="1" a="1"/>
  <c r="A576" i="1" s="1"/>
  <c r="E576" i="1"/>
  <c r="G576" i="1"/>
  <c r="H576" i="1"/>
  <c r="J576" i="1"/>
  <c r="AE575" i="1" a="1"/>
  <c r="AE575" i="1" s="1"/>
  <c r="U575" i="1" a="1"/>
  <c r="U575" i="1" s="1"/>
  <c r="Y575" i="1"/>
  <c r="Z575" i="1"/>
  <c r="AA575" i="1"/>
  <c r="AB575" i="1"/>
  <c r="AC575" i="1"/>
  <c r="K575" i="1" a="1"/>
  <c r="K575" i="1" s="1"/>
  <c r="T575" i="1"/>
  <c r="A575" i="1" a="1"/>
  <c r="A575" i="1" s="1"/>
  <c r="I575" i="1"/>
  <c r="J575" i="1"/>
  <c r="AE574" i="1" a="1"/>
  <c r="AE574" i="1" s="1"/>
  <c r="AH574" i="1"/>
  <c r="U574" i="1" a="1"/>
  <c r="U574" i="1" s="1"/>
  <c r="K574" i="1" a="1"/>
  <c r="K574" i="1" s="1"/>
  <c r="A574" i="1" a="1"/>
  <c r="A574" i="1" s="1"/>
  <c r="I574" i="1"/>
  <c r="J574" i="1"/>
  <c r="AE573" i="1" a="1"/>
  <c r="AE573" i="1" s="1"/>
  <c r="AH573" i="1"/>
  <c r="U573" i="1" a="1"/>
  <c r="U573" i="1" s="1"/>
  <c r="Z573" i="1"/>
  <c r="AA573" i="1"/>
  <c r="K573" i="1" a="1"/>
  <c r="K573" i="1" s="1"/>
  <c r="O573" i="1"/>
  <c r="P573" i="1"/>
  <c r="Q573" i="1"/>
  <c r="R573" i="1"/>
  <c r="S573" i="1"/>
  <c r="A573" i="1" a="1"/>
  <c r="A573" i="1" s="1"/>
  <c r="I573" i="1"/>
  <c r="AE572" i="1" a="1"/>
  <c r="AE572" i="1" s="1"/>
  <c r="U572" i="1" a="1"/>
  <c r="U572" i="1" s="1"/>
  <c r="X572" i="1"/>
  <c r="Y572" i="1"/>
  <c r="K572" i="1" a="1"/>
  <c r="K572" i="1" s="1"/>
  <c r="R572" i="1"/>
  <c r="S572" i="1"/>
  <c r="T572" i="1"/>
  <c r="A572" i="1" a="1"/>
  <c r="A572" i="1" s="1"/>
  <c r="AE571" i="1" a="1"/>
  <c r="AE571" i="1" s="1"/>
  <c r="AH571" i="1"/>
  <c r="U571" i="1" a="1"/>
  <c r="U571" i="1" s="1"/>
  <c r="Z571" i="1"/>
  <c r="AB571" i="1"/>
  <c r="AC571" i="1"/>
  <c r="K571" i="1" a="1"/>
  <c r="K571" i="1" s="1"/>
  <c r="O571" i="1"/>
  <c r="P571" i="1"/>
  <c r="Q571" i="1"/>
  <c r="R571" i="1"/>
  <c r="S571" i="1"/>
  <c r="T571" i="1"/>
  <c r="A571" i="1" a="1"/>
  <c r="A571" i="1" s="1"/>
  <c r="G571" i="1"/>
  <c r="AE570" i="1" a="1"/>
  <c r="AE570" i="1" s="1"/>
  <c r="U570" i="1" a="1"/>
  <c r="U570" i="1" s="1"/>
  <c r="AA570" i="1"/>
  <c r="AB570" i="1"/>
  <c r="AC570" i="1"/>
  <c r="AD570" i="1"/>
  <c r="K570" i="1" a="1"/>
  <c r="K570" i="1" s="1"/>
  <c r="A570" i="1" a="1"/>
  <c r="A570" i="1" s="1"/>
  <c r="F570" i="1"/>
  <c r="G570" i="1"/>
  <c r="AE569" i="1" a="1"/>
  <c r="AE569" i="1" s="1"/>
  <c r="AG569" i="1"/>
  <c r="AH569" i="1"/>
  <c r="U569" i="1" a="1"/>
  <c r="U569" i="1" s="1"/>
  <c r="K569" i="1" a="1"/>
  <c r="K569" i="1" s="1"/>
  <c r="P569" i="1"/>
  <c r="Q569" i="1"/>
  <c r="S569" i="1"/>
  <c r="T569" i="1"/>
  <c r="A569" i="1" a="1"/>
  <c r="A569" i="1" s="1"/>
  <c r="D569" i="1"/>
  <c r="E569" i="1"/>
  <c r="F569" i="1"/>
  <c r="G569" i="1"/>
  <c r="H569" i="1"/>
  <c r="AE568" i="1" a="1"/>
  <c r="AE568" i="1" s="1"/>
  <c r="U568" i="1" a="1"/>
  <c r="U568" i="1" s="1"/>
  <c r="W568" i="1"/>
  <c r="X568" i="1"/>
  <c r="Y568" i="1"/>
  <c r="Z568" i="1"/>
  <c r="AA568" i="1"/>
  <c r="AC568" i="1"/>
  <c r="K568" i="1" a="1"/>
  <c r="K568" i="1" s="1"/>
  <c r="S568" i="1"/>
  <c r="T568" i="1"/>
  <c r="A568" i="1" a="1"/>
  <c r="A568" i="1" s="1"/>
  <c r="D568" i="1"/>
  <c r="E568" i="1"/>
  <c r="F568" i="1"/>
  <c r="G568" i="1"/>
  <c r="H568" i="1"/>
  <c r="AE567" i="1" a="1"/>
  <c r="AE567" i="1" s="1"/>
  <c r="AG567" i="1"/>
  <c r="U567" i="1" a="1"/>
  <c r="U567" i="1" s="1"/>
  <c r="W567" i="1"/>
  <c r="X567" i="1"/>
  <c r="Y567" i="1"/>
  <c r="Z567" i="1"/>
  <c r="AB567" i="1"/>
  <c r="K567" i="1" a="1"/>
  <c r="K567" i="1" s="1"/>
  <c r="O567" i="1"/>
  <c r="P567" i="1"/>
  <c r="Q567" i="1"/>
  <c r="R567" i="1"/>
  <c r="S567" i="1"/>
  <c r="T567" i="1"/>
  <c r="A567" i="1" a="1"/>
  <c r="A567" i="1" s="1"/>
  <c r="F567" i="1"/>
  <c r="AE566" i="1" a="1"/>
  <c r="AE566" i="1" s="1"/>
  <c r="AH566" i="1"/>
  <c r="U566" i="1" a="1"/>
  <c r="U566" i="1" s="1"/>
  <c r="W566" i="1"/>
  <c r="K566" i="1" a="1"/>
  <c r="K566" i="1" s="1"/>
  <c r="P566" i="1"/>
  <c r="Q566" i="1"/>
  <c r="R566" i="1"/>
  <c r="S566" i="1"/>
  <c r="T566" i="1"/>
  <c r="A566" i="1" a="1"/>
  <c r="A566" i="1" s="1"/>
  <c r="E566" i="1"/>
  <c r="F566" i="1"/>
  <c r="AE565" i="1" a="1"/>
  <c r="AE565" i="1" s="1"/>
  <c r="AH565" i="1"/>
  <c r="U565" i="1" a="1"/>
  <c r="U565" i="1" s="1"/>
  <c r="K565" i="1" a="1"/>
  <c r="K565" i="1" s="1"/>
  <c r="O565" i="1"/>
  <c r="P565" i="1"/>
  <c r="Q565" i="1"/>
  <c r="R565" i="1"/>
  <c r="S565" i="1"/>
  <c r="T565" i="1"/>
  <c r="A565" i="1" a="1"/>
  <c r="A565" i="1" s="1"/>
  <c r="G565" i="1"/>
  <c r="AE564" i="1" a="1"/>
  <c r="AE564" i="1" s="1"/>
  <c r="AH564" i="1"/>
  <c r="U564" i="1" a="1"/>
  <c r="U564" i="1" s="1"/>
  <c r="K564" i="1" a="1"/>
  <c r="K564" i="1" s="1"/>
  <c r="T564" i="1"/>
  <c r="A564" i="1" a="1"/>
  <c r="A564" i="1" s="1"/>
  <c r="H564" i="1"/>
  <c r="J564" i="1"/>
  <c r="AE563" i="1" a="1"/>
  <c r="AE563" i="1" s="1"/>
  <c r="U563" i="1" a="1"/>
  <c r="U563" i="1" s="1"/>
  <c r="W563" i="1"/>
  <c r="X563" i="1"/>
  <c r="Y563" i="1"/>
  <c r="Z563" i="1"/>
  <c r="AA563" i="1"/>
  <c r="AB563" i="1"/>
  <c r="AC563" i="1"/>
  <c r="AD563" i="1"/>
  <c r="K563" i="1" a="1"/>
  <c r="K563" i="1" s="1"/>
  <c r="P563" i="1"/>
  <c r="R563" i="1"/>
  <c r="S563" i="1"/>
  <c r="A563" i="1" a="1"/>
  <c r="A563" i="1" s="1"/>
  <c r="H563" i="1"/>
  <c r="J563" i="1"/>
  <c r="AE562" i="1" a="1"/>
  <c r="AE562" i="1" s="1"/>
  <c r="U562" i="1" a="1"/>
  <c r="U562" i="1" s="1"/>
  <c r="W562" i="1"/>
  <c r="K562" i="1" a="1"/>
  <c r="K562" i="1" s="1"/>
  <c r="A562" i="1" a="1"/>
  <c r="A562" i="1" s="1"/>
  <c r="H562" i="1"/>
  <c r="I562" i="1"/>
  <c r="J562" i="1"/>
  <c r="AE561" i="1" a="1"/>
  <c r="AE561" i="1" s="1"/>
  <c r="AG561" i="1"/>
  <c r="U561" i="1" a="1"/>
  <c r="U561" i="1" s="1"/>
  <c r="W561" i="1"/>
  <c r="K561" i="1" a="1"/>
  <c r="K561" i="1" s="1"/>
  <c r="A561" i="1" a="1"/>
  <c r="A561" i="1" s="1"/>
  <c r="G561" i="1"/>
  <c r="H561" i="1"/>
  <c r="I561" i="1"/>
  <c r="J561" i="1"/>
  <c r="AE560" i="1" a="1"/>
  <c r="AE560" i="1" s="1"/>
  <c r="U560" i="1" a="1"/>
  <c r="U560" i="1" s="1"/>
  <c r="X560" i="1"/>
  <c r="K560" i="1" a="1"/>
  <c r="K560" i="1" s="1"/>
  <c r="A560" i="1" a="1"/>
  <c r="A560" i="1" s="1"/>
  <c r="AE559" i="1" a="1"/>
  <c r="AE559" i="1" s="1"/>
  <c r="AG559" i="1"/>
  <c r="U559" i="1" a="1"/>
  <c r="U559" i="1" s="1"/>
  <c r="AB559" i="1"/>
  <c r="AD559" i="1"/>
  <c r="K559" i="1" a="1"/>
  <c r="K559" i="1" s="1"/>
  <c r="A559" i="1" a="1"/>
  <c r="A559" i="1" s="1"/>
  <c r="AE558" i="1" a="1"/>
  <c r="AE558" i="1" s="1"/>
  <c r="U558" i="1" a="1"/>
  <c r="U558" i="1" s="1"/>
  <c r="AA558" i="1"/>
  <c r="AB558" i="1"/>
  <c r="AC558" i="1"/>
  <c r="AD558" i="1"/>
  <c r="K558" i="1" a="1"/>
  <c r="K558" i="1" s="1"/>
  <c r="Q558" i="1"/>
  <c r="R558" i="1"/>
  <c r="A558" i="1" a="1"/>
  <c r="A558" i="1" s="1"/>
  <c r="E558" i="1"/>
  <c r="G558" i="1"/>
  <c r="H558" i="1"/>
  <c r="I558" i="1"/>
  <c r="J558" i="1"/>
  <c r="AE557" i="1" a="1"/>
  <c r="AE557" i="1" s="1"/>
  <c r="U557" i="1" a="1"/>
  <c r="U557" i="1" s="1"/>
  <c r="AC557" i="1"/>
  <c r="K557" i="1" a="1"/>
  <c r="K557" i="1" s="1"/>
  <c r="N557" i="1"/>
  <c r="P557" i="1"/>
  <c r="Q557" i="1"/>
  <c r="A557" i="1" a="1"/>
  <c r="A557" i="1" s="1"/>
  <c r="F557" i="1"/>
  <c r="G557" i="1"/>
  <c r="H557" i="1"/>
  <c r="I557" i="1"/>
  <c r="J557" i="1"/>
  <c r="AE556" i="1" a="1"/>
  <c r="AE556" i="1" s="1"/>
  <c r="AF556" i="1"/>
  <c r="AH556" i="1"/>
  <c r="U556" i="1" a="1"/>
  <c r="U556" i="1" s="1"/>
  <c r="X556" i="1"/>
  <c r="Y556" i="1"/>
  <c r="Z556" i="1"/>
  <c r="AA556" i="1"/>
  <c r="AB556" i="1"/>
  <c r="AC556" i="1"/>
  <c r="AD556" i="1"/>
  <c r="K556" i="1" a="1"/>
  <c r="K556" i="1" s="1"/>
  <c r="A556" i="1" a="1"/>
  <c r="A556" i="1" s="1"/>
  <c r="AE555" i="1" a="1"/>
  <c r="AE555" i="1" s="1"/>
  <c r="AH555" i="1"/>
  <c r="U555" i="1" a="1"/>
  <c r="U555" i="1" s="1"/>
  <c r="Y555" i="1"/>
  <c r="AA555" i="1"/>
  <c r="AB555" i="1"/>
  <c r="K555" i="1" a="1"/>
  <c r="K555" i="1" s="1"/>
  <c r="Q555" i="1"/>
  <c r="S555" i="1"/>
  <c r="T555" i="1"/>
  <c r="A555" i="1" a="1"/>
  <c r="A555" i="1" s="1"/>
  <c r="AE554" i="1" a="1"/>
  <c r="AE554" i="1" s="1"/>
  <c r="AH554" i="1"/>
  <c r="U554" i="1" a="1"/>
  <c r="U554" i="1" s="1"/>
  <c r="AB554" i="1"/>
  <c r="AC554" i="1"/>
  <c r="K554" i="1" a="1"/>
  <c r="K554" i="1" s="1"/>
  <c r="O554" i="1"/>
  <c r="P554" i="1"/>
  <c r="R554" i="1"/>
  <c r="S554" i="1"/>
  <c r="T554" i="1"/>
  <c r="A554" i="1" a="1"/>
  <c r="A554" i="1" s="1"/>
  <c r="AE553" i="1" a="1"/>
  <c r="AE553" i="1" s="1"/>
  <c r="AH553" i="1"/>
  <c r="U553" i="1" a="1"/>
  <c r="U553" i="1" s="1"/>
  <c r="Y553" i="1"/>
  <c r="Z553" i="1"/>
  <c r="AA553" i="1"/>
  <c r="AB553" i="1"/>
  <c r="AC553" i="1"/>
  <c r="AD553" i="1"/>
  <c r="K553" i="1" a="1"/>
  <c r="K553" i="1" s="1"/>
  <c r="O553" i="1"/>
  <c r="A553" i="1" a="1"/>
  <c r="A553" i="1" s="1"/>
  <c r="F553" i="1"/>
  <c r="G553" i="1"/>
  <c r="H553" i="1"/>
  <c r="I553" i="1"/>
  <c r="AE552" i="1" a="1"/>
  <c r="AE552" i="1" s="1"/>
  <c r="U552" i="1" a="1"/>
  <c r="U552" i="1" s="1"/>
  <c r="AA552" i="1"/>
  <c r="AB552" i="1"/>
  <c r="AC552" i="1"/>
  <c r="AD552" i="1"/>
  <c r="K552" i="1" a="1"/>
  <c r="K552" i="1" s="1"/>
  <c r="P552" i="1"/>
  <c r="Q552" i="1"/>
  <c r="A552" i="1" a="1"/>
  <c r="A552" i="1" s="1"/>
  <c r="G552" i="1"/>
  <c r="H552" i="1"/>
  <c r="I552" i="1"/>
  <c r="J552" i="1"/>
  <c r="AE551" i="1" a="1"/>
  <c r="AE551" i="1" s="1"/>
  <c r="U551" i="1" a="1"/>
  <c r="U551" i="1" s="1"/>
  <c r="W551" i="1"/>
  <c r="X551" i="1"/>
  <c r="Z551" i="1"/>
  <c r="AA551" i="1"/>
  <c r="AB551" i="1"/>
  <c r="AC551" i="1"/>
  <c r="AD551" i="1"/>
  <c r="K551" i="1" a="1"/>
  <c r="K551" i="1" s="1"/>
  <c r="O551" i="1"/>
  <c r="P551" i="1"/>
  <c r="A551" i="1" a="1"/>
  <c r="A551" i="1" s="1"/>
  <c r="D551" i="1"/>
  <c r="E551" i="1"/>
  <c r="F551" i="1"/>
  <c r="G551" i="1"/>
  <c r="H551" i="1"/>
  <c r="I551" i="1"/>
  <c r="J551" i="1"/>
  <c r="AE550" i="1" a="1"/>
  <c r="AE550" i="1" s="1"/>
  <c r="AH550" i="1"/>
  <c r="U550" i="1" a="1"/>
  <c r="U550" i="1" s="1"/>
  <c r="Z550" i="1"/>
  <c r="AA550" i="1"/>
  <c r="AB550" i="1"/>
  <c r="AC550" i="1"/>
  <c r="AD550" i="1"/>
  <c r="K550" i="1" a="1"/>
  <c r="K550" i="1" s="1"/>
  <c r="N550" i="1"/>
  <c r="O550" i="1"/>
  <c r="A550" i="1" a="1"/>
  <c r="A550" i="1" s="1"/>
  <c r="G550" i="1"/>
  <c r="H550" i="1"/>
  <c r="AE549" i="1" a="1"/>
  <c r="AE549" i="1" s="1"/>
  <c r="AH549" i="1"/>
  <c r="U549" i="1" a="1"/>
  <c r="U549" i="1" s="1"/>
  <c r="X549" i="1"/>
  <c r="Y549" i="1"/>
  <c r="AA549" i="1"/>
  <c r="AB549" i="1"/>
  <c r="AC549" i="1"/>
  <c r="AD549" i="1"/>
  <c r="K549" i="1" a="1"/>
  <c r="K549" i="1" s="1"/>
  <c r="P549" i="1"/>
  <c r="Q549" i="1"/>
  <c r="A549" i="1" a="1"/>
  <c r="A549" i="1" s="1"/>
  <c r="F549" i="1"/>
  <c r="G549" i="1"/>
  <c r="H549" i="1"/>
  <c r="I549" i="1"/>
  <c r="J549" i="1"/>
  <c r="AE548" i="1" a="1"/>
  <c r="AE548" i="1" s="1"/>
  <c r="AH548" i="1"/>
  <c r="U548" i="1" a="1"/>
  <c r="U548" i="1" s="1"/>
  <c r="X548" i="1"/>
  <c r="Y548" i="1"/>
  <c r="AA548" i="1"/>
  <c r="AB548" i="1"/>
  <c r="AC548" i="1"/>
  <c r="AD548" i="1"/>
  <c r="K548" i="1" a="1"/>
  <c r="K548" i="1" s="1"/>
  <c r="O548" i="1"/>
  <c r="P548" i="1"/>
  <c r="A548" i="1" a="1"/>
  <c r="A548" i="1" s="1"/>
  <c r="D548" i="1"/>
  <c r="E548" i="1"/>
  <c r="F548" i="1"/>
  <c r="G548" i="1"/>
  <c r="H548" i="1"/>
  <c r="I548" i="1"/>
  <c r="J548" i="1"/>
  <c r="AE547" i="1" a="1"/>
  <c r="AE547" i="1" s="1"/>
  <c r="AG547" i="1"/>
  <c r="AH547" i="1"/>
  <c r="U547" i="1" a="1"/>
  <c r="U547" i="1" s="1"/>
  <c r="X547" i="1"/>
  <c r="Y547" i="1"/>
  <c r="Z547" i="1"/>
  <c r="AA547" i="1"/>
  <c r="AB547" i="1"/>
  <c r="AC547" i="1"/>
  <c r="AD547" i="1"/>
  <c r="K547" i="1" a="1"/>
  <c r="K547" i="1" s="1"/>
  <c r="A547" i="1" a="1"/>
  <c r="A547" i="1" s="1"/>
  <c r="H547" i="1"/>
  <c r="I547" i="1"/>
  <c r="J547" i="1"/>
  <c r="AE546" i="1" a="1"/>
  <c r="AE546" i="1" s="1"/>
  <c r="U546" i="1" a="1"/>
  <c r="U546" i="1" s="1"/>
  <c r="W546" i="1"/>
  <c r="Y546" i="1"/>
  <c r="Z546" i="1"/>
  <c r="AB546" i="1"/>
  <c r="AC546" i="1"/>
  <c r="AD546" i="1"/>
  <c r="K546" i="1" a="1"/>
  <c r="K546" i="1" s="1"/>
  <c r="N546" i="1"/>
  <c r="P546" i="1"/>
  <c r="Q546" i="1"/>
  <c r="A546" i="1" a="1"/>
  <c r="A546" i="1" s="1"/>
  <c r="F546" i="1"/>
  <c r="G546" i="1"/>
  <c r="H546" i="1"/>
  <c r="I546" i="1"/>
  <c r="J546" i="1"/>
  <c r="AE545" i="1" a="1"/>
  <c r="AE545" i="1" s="1"/>
  <c r="AG545" i="1"/>
  <c r="U545" i="1" a="1"/>
  <c r="U545" i="1" s="1"/>
  <c r="Z545" i="1"/>
  <c r="AA545" i="1"/>
  <c r="AB545" i="1"/>
  <c r="AC545" i="1"/>
  <c r="AD545" i="1"/>
  <c r="K545" i="1" a="1"/>
  <c r="K545" i="1" s="1"/>
  <c r="O545" i="1"/>
  <c r="P545" i="1"/>
  <c r="A545" i="1" a="1"/>
  <c r="A545" i="1" s="1"/>
  <c r="E545" i="1"/>
  <c r="F545" i="1"/>
  <c r="G545" i="1"/>
  <c r="H545" i="1"/>
  <c r="I545" i="1"/>
  <c r="J545" i="1"/>
  <c r="AE544" i="1" a="1"/>
  <c r="AE544" i="1" s="1"/>
  <c r="U544" i="1" a="1"/>
  <c r="U544" i="1" s="1"/>
  <c r="X544" i="1"/>
  <c r="Y544" i="1"/>
  <c r="AA544" i="1"/>
  <c r="AB544" i="1"/>
  <c r="AC544" i="1"/>
  <c r="AD544" i="1"/>
  <c r="K544" i="1" a="1"/>
  <c r="K544" i="1" s="1"/>
  <c r="A544" i="1" a="1"/>
  <c r="A544" i="1" s="1"/>
  <c r="J544" i="1"/>
  <c r="AE543" i="1" a="1"/>
  <c r="AE543" i="1" s="1"/>
  <c r="AH543" i="1"/>
  <c r="U543" i="1" a="1"/>
  <c r="U543" i="1" s="1"/>
  <c r="Z543" i="1"/>
  <c r="K543" i="1" a="1"/>
  <c r="K543" i="1" s="1"/>
  <c r="M543" i="1"/>
  <c r="P543" i="1"/>
  <c r="Q543" i="1"/>
  <c r="R543" i="1"/>
  <c r="S543" i="1"/>
  <c r="T543" i="1"/>
  <c r="A543" i="1" a="1"/>
  <c r="A543" i="1" s="1"/>
  <c r="G543" i="1"/>
  <c r="H543" i="1"/>
  <c r="AE542" i="1" a="1"/>
  <c r="AE542" i="1" s="1"/>
  <c r="U542" i="1" a="1"/>
  <c r="U542" i="1" s="1"/>
  <c r="AB542" i="1"/>
  <c r="AC542" i="1"/>
  <c r="AD542" i="1"/>
  <c r="K542" i="1" a="1"/>
  <c r="K542" i="1" s="1"/>
  <c r="A542" i="1" a="1"/>
  <c r="A542" i="1" s="1"/>
  <c r="F542" i="1"/>
  <c r="G542" i="1"/>
  <c r="I542" i="1"/>
  <c r="J542" i="1"/>
  <c r="AE541" i="1" a="1"/>
  <c r="AE541" i="1" s="1"/>
  <c r="AG541" i="1"/>
  <c r="AH541" i="1"/>
  <c r="U541" i="1" a="1"/>
  <c r="U541" i="1" s="1"/>
  <c r="Z541" i="1"/>
  <c r="AA541" i="1"/>
  <c r="AB541" i="1"/>
  <c r="AC541" i="1"/>
  <c r="AD541" i="1"/>
  <c r="K541" i="1" a="1"/>
  <c r="K541" i="1" s="1"/>
  <c r="A541" i="1" a="1"/>
  <c r="A541" i="1" s="1"/>
  <c r="J541" i="1"/>
  <c r="AE540" i="1" a="1"/>
  <c r="AE540" i="1" s="1"/>
  <c r="AH540" i="1"/>
  <c r="U540" i="1" a="1"/>
  <c r="U540" i="1" s="1"/>
  <c r="W540" i="1"/>
  <c r="X540" i="1"/>
  <c r="AD540" i="1"/>
  <c r="K540" i="1" a="1"/>
  <c r="K540" i="1" s="1"/>
  <c r="Q540" i="1"/>
  <c r="A540" i="1" a="1"/>
  <c r="A540" i="1" s="1"/>
  <c r="AE539" i="1" a="1"/>
  <c r="AE539" i="1" s="1"/>
  <c r="AH539" i="1"/>
  <c r="U539" i="1" a="1"/>
  <c r="U539" i="1" s="1"/>
  <c r="X539" i="1"/>
  <c r="Y539" i="1"/>
  <c r="Z539" i="1"/>
  <c r="AA539" i="1"/>
  <c r="AB539" i="1"/>
  <c r="K539" i="1" a="1"/>
  <c r="K539" i="1" s="1"/>
  <c r="N539" i="1"/>
  <c r="O539" i="1"/>
  <c r="P539" i="1"/>
  <c r="Q539" i="1"/>
  <c r="R539" i="1"/>
  <c r="S539" i="1"/>
  <c r="T539" i="1"/>
  <c r="A539" i="1" a="1"/>
  <c r="A539" i="1" s="1"/>
  <c r="G539" i="1"/>
  <c r="I539" i="1"/>
  <c r="AE538" i="1" a="1"/>
  <c r="AE538" i="1" s="1"/>
  <c r="AG538" i="1"/>
  <c r="AH538" i="1"/>
  <c r="U538" i="1" a="1"/>
  <c r="U538" i="1" s="1"/>
  <c r="X538" i="1"/>
  <c r="Y538" i="1"/>
  <c r="Z538" i="1"/>
  <c r="AA538" i="1"/>
  <c r="AB538" i="1"/>
  <c r="K538" i="1" a="1"/>
  <c r="K538" i="1" s="1"/>
  <c r="N538" i="1"/>
  <c r="O538" i="1"/>
  <c r="P538" i="1"/>
  <c r="Q538" i="1"/>
  <c r="R538" i="1"/>
  <c r="S538" i="1"/>
  <c r="T538" i="1"/>
  <c r="A538" i="1" a="1"/>
  <c r="A538" i="1" s="1"/>
  <c r="H538" i="1"/>
  <c r="J538" i="1"/>
  <c r="AE537" i="1" a="1"/>
  <c r="AE537" i="1" s="1"/>
  <c r="U537" i="1" a="1"/>
  <c r="U537" i="1" s="1"/>
  <c r="W537" i="1"/>
  <c r="X537" i="1"/>
  <c r="Y537" i="1"/>
  <c r="Z537" i="1"/>
  <c r="AA537" i="1"/>
  <c r="AB537" i="1"/>
  <c r="K537" i="1" a="1"/>
  <c r="K537" i="1" s="1"/>
  <c r="P537" i="1"/>
  <c r="S537" i="1"/>
  <c r="T537" i="1"/>
  <c r="A537" i="1" a="1"/>
  <c r="A537" i="1" s="1"/>
  <c r="AE536" i="1" a="1"/>
  <c r="AE536" i="1" s="1"/>
  <c r="AH536" i="1"/>
  <c r="U536" i="1" a="1"/>
  <c r="U536" i="1" s="1"/>
  <c r="AA536" i="1"/>
  <c r="K536" i="1" a="1"/>
  <c r="K536" i="1" s="1"/>
  <c r="N536" i="1"/>
  <c r="Q536" i="1"/>
  <c r="R536" i="1"/>
  <c r="S536" i="1"/>
  <c r="T536" i="1"/>
  <c r="A536" i="1" a="1"/>
  <c r="A536" i="1" s="1"/>
  <c r="AE535" i="1" a="1"/>
  <c r="AE535" i="1" s="1"/>
  <c r="AF535" i="1"/>
  <c r="AH535" i="1"/>
  <c r="U535" i="1" a="1"/>
  <c r="U535" i="1" s="1"/>
  <c r="AD535" i="1"/>
  <c r="K535" i="1" a="1"/>
  <c r="K535" i="1" s="1"/>
  <c r="A535" i="1" a="1"/>
  <c r="A535" i="1" s="1"/>
  <c r="H535" i="1"/>
  <c r="AE534" i="1" a="1"/>
  <c r="AE534" i="1" s="1"/>
  <c r="AG534" i="1"/>
  <c r="AH534" i="1"/>
  <c r="U534" i="1" a="1"/>
  <c r="U534" i="1" s="1"/>
  <c r="K534" i="1" a="1"/>
  <c r="K534" i="1" s="1"/>
  <c r="P534" i="1"/>
  <c r="Q534" i="1"/>
  <c r="R534" i="1"/>
  <c r="S534" i="1"/>
  <c r="T534" i="1"/>
  <c r="A534" i="1" a="1"/>
  <c r="A534" i="1" s="1"/>
  <c r="G534" i="1"/>
  <c r="AE533" i="1" a="1"/>
  <c r="AE533" i="1" s="1"/>
  <c r="U533" i="1" a="1"/>
  <c r="U533" i="1" s="1"/>
  <c r="AC533" i="1"/>
  <c r="AD533" i="1"/>
  <c r="K533" i="1" a="1"/>
  <c r="K533" i="1" s="1"/>
  <c r="A533" i="1" a="1"/>
  <c r="A533" i="1" s="1"/>
  <c r="C533" i="1"/>
  <c r="D533" i="1"/>
  <c r="E533" i="1"/>
  <c r="F533" i="1"/>
  <c r="G533" i="1"/>
  <c r="H533" i="1"/>
  <c r="I533" i="1"/>
  <c r="J533" i="1"/>
  <c r="AE532" i="1" a="1"/>
  <c r="AE532" i="1" s="1"/>
  <c r="AG532" i="1"/>
  <c r="AH532" i="1"/>
  <c r="U532" i="1" a="1"/>
  <c r="U532" i="1" s="1"/>
  <c r="Z532" i="1"/>
  <c r="AA532" i="1"/>
  <c r="AB532" i="1"/>
  <c r="AC532" i="1"/>
  <c r="K532" i="1" a="1"/>
  <c r="K532" i="1" s="1"/>
  <c r="O532" i="1"/>
  <c r="P532" i="1"/>
  <c r="Q532" i="1"/>
  <c r="R532" i="1"/>
  <c r="S532" i="1"/>
  <c r="T532" i="1"/>
  <c r="A532" i="1" a="1"/>
  <c r="A532" i="1" s="1"/>
  <c r="G532" i="1"/>
  <c r="H532" i="1"/>
  <c r="AE531" i="1" a="1"/>
  <c r="AE531" i="1" s="1"/>
  <c r="AH531" i="1"/>
  <c r="U531" i="1" a="1"/>
  <c r="U531" i="1" s="1"/>
  <c r="Y531" i="1"/>
  <c r="Z531" i="1"/>
  <c r="AA531" i="1"/>
  <c r="AB531" i="1"/>
  <c r="AC531" i="1"/>
  <c r="AD531" i="1"/>
  <c r="K531" i="1" a="1"/>
  <c r="K531" i="1" s="1"/>
  <c r="R531" i="1"/>
  <c r="S531" i="1"/>
  <c r="T531" i="1"/>
  <c r="A531" i="1" a="1"/>
  <c r="A531" i="1" s="1"/>
  <c r="AE530" i="1" a="1"/>
  <c r="AE530" i="1" s="1"/>
  <c r="U530" i="1" a="1"/>
  <c r="U530" i="1" s="1"/>
  <c r="K530" i="1" a="1"/>
  <c r="K530" i="1" s="1"/>
  <c r="P530" i="1"/>
  <c r="Q530" i="1"/>
  <c r="A530" i="1" a="1"/>
  <c r="A530" i="1" s="1"/>
  <c r="E530" i="1"/>
  <c r="F530" i="1"/>
  <c r="G530" i="1"/>
  <c r="H530" i="1"/>
  <c r="I530" i="1"/>
  <c r="J530" i="1"/>
  <c r="AE529" i="1" a="1"/>
  <c r="AE529" i="1" s="1"/>
  <c r="AH529" i="1"/>
  <c r="U529" i="1" a="1"/>
  <c r="U529" i="1" s="1"/>
  <c r="AA529" i="1"/>
  <c r="AD529" i="1"/>
  <c r="K529" i="1" a="1"/>
  <c r="K529" i="1" s="1"/>
  <c r="A529" i="1" a="1"/>
  <c r="A529" i="1" s="1"/>
  <c r="G529" i="1"/>
  <c r="H529" i="1"/>
  <c r="I529" i="1"/>
  <c r="J529" i="1"/>
  <c r="AE528" i="1" a="1"/>
  <c r="AE528" i="1" s="1"/>
  <c r="U528" i="1" a="1"/>
  <c r="U528" i="1" s="1"/>
  <c r="W528" i="1"/>
  <c r="K528" i="1" a="1"/>
  <c r="K528" i="1" s="1"/>
  <c r="O528" i="1"/>
  <c r="P528" i="1"/>
  <c r="Q528" i="1"/>
  <c r="A528" i="1" a="1"/>
  <c r="A528" i="1" s="1"/>
  <c r="I528" i="1"/>
  <c r="J528" i="1"/>
  <c r="AE527" i="1" a="1"/>
  <c r="AE527" i="1" s="1"/>
  <c r="U527" i="1" a="1"/>
  <c r="U527" i="1" s="1"/>
  <c r="W527" i="1"/>
  <c r="X527" i="1"/>
  <c r="K527" i="1" a="1"/>
  <c r="K527" i="1" s="1"/>
  <c r="N527" i="1"/>
  <c r="O527" i="1"/>
  <c r="P527" i="1"/>
  <c r="Q527" i="1"/>
  <c r="R527" i="1"/>
  <c r="S527" i="1"/>
  <c r="A527" i="1" a="1"/>
  <c r="A527" i="1" s="1"/>
  <c r="G527" i="1"/>
  <c r="H527" i="1"/>
  <c r="I527" i="1"/>
  <c r="J527" i="1"/>
  <c r="AE526" i="1" a="1"/>
  <c r="AE526" i="1" s="1"/>
  <c r="AG526" i="1"/>
  <c r="AH526" i="1"/>
  <c r="U526" i="1" a="1"/>
  <c r="U526" i="1" s="1"/>
  <c r="AB526" i="1"/>
  <c r="K526" i="1" a="1"/>
  <c r="K526" i="1" s="1"/>
  <c r="P526" i="1"/>
  <c r="Q526" i="1"/>
  <c r="R526" i="1"/>
  <c r="A526" i="1" a="1"/>
  <c r="A526" i="1" s="1"/>
  <c r="D526" i="1"/>
  <c r="F526" i="1"/>
  <c r="G526" i="1"/>
  <c r="H526" i="1"/>
  <c r="I526" i="1"/>
  <c r="J526" i="1"/>
  <c r="AE525" i="1" a="1"/>
  <c r="AE525" i="1" s="1"/>
  <c r="U525" i="1" a="1"/>
  <c r="U525" i="1" s="1"/>
  <c r="K525" i="1" a="1"/>
  <c r="K525" i="1" s="1"/>
  <c r="N525" i="1"/>
  <c r="Q525" i="1"/>
  <c r="R525" i="1"/>
  <c r="S525" i="1"/>
  <c r="T525" i="1"/>
  <c r="A525" i="1" a="1"/>
  <c r="A525" i="1" s="1"/>
  <c r="G525" i="1"/>
  <c r="H525" i="1"/>
  <c r="I525" i="1"/>
  <c r="J525" i="1"/>
  <c r="AE524" i="1" a="1"/>
  <c r="AE524" i="1" s="1"/>
  <c r="AH524" i="1"/>
  <c r="U524" i="1" a="1"/>
  <c r="U524" i="1" s="1"/>
  <c r="Y524" i="1"/>
  <c r="Z524" i="1"/>
  <c r="AA524" i="1"/>
  <c r="K524" i="1" a="1"/>
  <c r="K524" i="1" s="1"/>
  <c r="S524" i="1"/>
  <c r="A524" i="1" a="1"/>
  <c r="A524" i="1" s="1"/>
  <c r="F524" i="1"/>
  <c r="G524" i="1"/>
  <c r="H524" i="1"/>
  <c r="I524" i="1"/>
  <c r="J524" i="1"/>
  <c r="AE523" i="1" a="1"/>
  <c r="AE523" i="1" s="1"/>
  <c r="AG523" i="1"/>
  <c r="AH523" i="1"/>
  <c r="U523" i="1" a="1"/>
  <c r="U523" i="1" s="1"/>
  <c r="Y523" i="1"/>
  <c r="Z523" i="1"/>
  <c r="AA523" i="1"/>
  <c r="AB523" i="1"/>
  <c r="AC523" i="1"/>
  <c r="AD523" i="1"/>
  <c r="K523" i="1" a="1"/>
  <c r="K523" i="1" s="1"/>
  <c r="A523" i="1" a="1"/>
  <c r="A523" i="1" s="1"/>
  <c r="D523" i="1"/>
  <c r="E523" i="1"/>
  <c r="F523" i="1"/>
  <c r="AE522" i="1" a="1"/>
  <c r="AE522" i="1" s="1"/>
  <c r="AH522" i="1"/>
  <c r="U522" i="1" a="1"/>
  <c r="U522" i="1" s="1"/>
  <c r="AB522" i="1"/>
  <c r="AD522" i="1"/>
  <c r="K522" i="1" a="1"/>
  <c r="K522" i="1" s="1"/>
  <c r="T522" i="1"/>
  <c r="A522" i="1" a="1"/>
  <c r="A522" i="1" s="1"/>
  <c r="E522" i="1"/>
  <c r="F522" i="1"/>
  <c r="G522" i="1"/>
  <c r="H522" i="1"/>
  <c r="AE521" i="1" a="1"/>
  <c r="AE521" i="1" s="1"/>
  <c r="AH521" i="1"/>
  <c r="U521" i="1" a="1"/>
  <c r="U521" i="1" s="1"/>
  <c r="Y521" i="1"/>
  <c r="Z521" i="1"/>
  <c r="AA521" i="1"/>
  <c r="AB521" i="1"/>
  <c r="AC521" i="1"/>
  <c r="AD521" i="1"/>
  <c r="K521" i="1" a="1"/>
  <c r="K521" i="1" s="1"/>
  <c r="A521" i="1" a="1"/>
  <c r="A521" i="1" s="1"/>
  <c r="G521" i="1"/>
  <c r="H521" i="1"/>
  <c r="I521" i="1"/>
  <c r="J521" i="1"/>
  <c r="AE520" i="1" a="1"/>
  <c r="AE520" i="1" s="1"/>
  <c r="U520" i="1" a="1"/>
  <c r="U520" i="1" s="1"/>
  <c r="W520" i="1"/>
  <c r="X520" i="1"/>
  <c r="Z520" i="1"/>
  <c r="AA520" i="1"/>
  <c r="AB520" i="1"/>
  <c r="AC520" i="1"/>
  <c r="AD520" i="1"/>
  <c r="K520" i="1" a="1"/>
  <c r="K520" i="1" s="1"/>
  <c r="O520" i="1"/>
  <c r="A520" i="1" a="1"/>
  <c r="A520" i="1" s="1"/>
  <c r="D520" i="1"/>
  <c r="E520" i="1"/>
  <c r="F520" i="1"/>
  <c r="G520" i="1"/>
  <c r="J520" i="1"/>
  <c r="AE519" i="1" a="1"/>
  <c r="AE519" i="1" s="1"/>
  <c r="AG519" i="1"/>
  <c r="U519" i="1" a="1"/>
  <c r="U519" i="1" s="1"/>
  <c r="X519" i="1"/>
  <c r="Y519" i="1"/>
  <c r="Z519" i="1"/>
  <c r="AA519" i="1"/>
  <c r="AB519" i="1"/>
  <c r="AC519" i="1"/>
  <c r="K519" i="1" a="1"/>
  <c r="K519" i="1" s="1"/>
  <c r="O519" i="1"/>
  <c r="P519" i="1"/>
  <c r="Q519" i="1"/>
  <c r="R519" i="1"/>
  <c r="S519" i="1"/>
  <c r="T519" i="1"/>
  <c r="A519" i="1" a="1"/>
  <c r="A519" i="1" s="1"/>
  <c r="AE518" i="1" a="1"/>
  <c r="AE518" i="1" s="1"/>
  <c r="AG518" i="1"/>
  <c r="AH518" i="1"/>
  <c r="U518" i="1" a="1"/>
  <c r="U518" i="1" s="1"/>
  <c r="AB518" i="1"/>
  <c r="K518" i="1" a="1"/>
  <c r="K518" i="1" s="1"/>
  <c r="P518" i="1"/>
  <c r="Q518" i="1"/>
  <c r="T518" i="1"/>
  <c r="A518" i="1" a="1"/>
  <c r="A518" i="1" s="1"/>
  <c r="AE517" i="1" a="1"/>
  <c r="AE517" i="1" s="1"/>
  <c r="AG517" i="1"/>
  <c r="U517" i="1" a="1"/>
  <c r="U517" i="1" s="1"/>
  <c r="X517" i="1"/>
  <c r="Y517" i="1"/>
  <c r="Z517" i="1"/>
  <c r="AA517" i="1"/>
  <c r="AB517" i="1"/>
  <c r="AC517" i="1"/>
  <c r="K517" i="1" a="1"/>
  <c r="K517" i="1" s="1"/>
  <c r="P517" i="1"/>
  <c r="Q517" i="1"/>
  <c r="R517" i="1"/>
  <c r="S517" i="1"/>
  <c r="T517" i="1"/>
  <c r="A517" i="1" a="1"/>
  <c r="A517" i="1" s="1"/>
  <c r="G517" i="1"/>
  <c r="H517" i="1"/>
  <c r="I517" i="1"/>
  <c r="AE516" i="1" a="1"/>
  <c r="AE516" i="1" s="1"/>
  <c r="AH516" i="1"/>
  <c r="U516" i="1" a="1"/>
  <c r="U516" i="1" s="1"/>
  <c r="X516" i="1"/>
  <c r="Y516" i="1"/>
  <c r="Z516" i="1"/>
  <c r="AA516" i="1"/>
  <c r="AB516" i="1"/>
  <c r="AC516" i="1"/>
  <c r="AD516" i="1"/>
  <c r="K516" i="1" a="1"/>
  <c r="K516" i="1" s="1"/>
  <c r="R516" i="1"/>
  <c r="A516" i="1" a="1"/>
  <c r="A516" i="1" s="1"/>
  <c r="C516" i="1"/>
  <c r="D516" i="1"/>
  <c r="E516" i="1"/>
  <c r="AE515" i="1" a="1"/>
  <c r="AE515" i="1" s="1"/>
  <c r="AG515" i="1"/>
  <c r="AH515" i="1"/>
  <c r="U515" i="1" a="1"/>
  <c r="U515" i="1" s="1"/>
  <c r="AA515" i="1"/>
  <c r="K515" i="1" a="1"/>
  <c r="K515" i="1" s="1"/>
  <c r="O515" i="1"/>
  <c r="R515" i="1"/>
  <c r="S515" i="1"/>
  <c r="T515" i="1"/>
  <c r="A515" i="1" a="1"/>
  <c r="A515" i="1" s="1"/>
  <c r="AE514" i="1" a="1"/>
  <c r="AE514" i="1" s="1"/>
  <c r="AH514" i="1"/>
  <c r="U514" i="1" a="1"/>
  <c r="U514" i="1" s="1"/>
  <c r="X514" i="1"/>
  <c r="Y514" i="1"/>
  <c r="Z514" i="1"/>
  <c r="AA514" i="1"/>
  <c r="AB514" i="1"/>
  <c r="AC514" i="1"/>
  <c r="AD514" i="1"/>
  <c r="K514" i="1" a="1"/>
  <c r="K514" i="1" s="1"/>
  <c r="R514" i="1"/>
  <c r="A514" i="1" a="1"/>
  <c r="A514" i="1" s="1"/>
  <c r="G514" i="1"/>
  <c r="H514" i="1"/>
  <c r="I514" i="1"/>
  <c r="AE513" i="1" a="1"/>
  <c r="AE513" i="1" s="1"/>
  <c r="AG513" i="1"/>
  <c r="AH513" i="1"/>
  <c r="U513" i="1" a="1"/>
  <c r="U513" i="1" s="1"/>
  <c r="Y513" i="1"/>
  <c r="Z513" i="1"/>
  <c r="AA513" i="1"/>
  <c r="AB513" i="1"/>
  <c r="AC513" i="1"/>
  <c r="AD513" i="1"/>
  <c r="K513" i="1" a="1"/>
  <c r="K513" i="1" s="1"/>
  <c r="A513" i="1" a="1"/>
  <c r="A513" i="1" s="1"/>
  <c r="AE512" i="1" a="1"/>
  <c r="AE512" i="1" s="1"/>
  <c r="U512" i="1" a="1"/>
  <c r="U512" i="1" s="1"/>
  <c r="W512" i="1"/>
  <c r="X512" i="1"/>
  <c r="Z512" i="1"/>
  <c r="AA512" i="1"/>
  <c r="AB512" i="1"/>
  <c r="AC512" i="1"/>
  <c r="AD512" i="1"/>
  <c r="K512" i="1" a="1"/>
  <c r="K512" i="1" s="1"/>
  <c r="Q512" i="1"/>
  <c r="A512" i="1" a="1"/>
  <c r="A512" i="1" s="1"/>
  <c r="E512" i="1"/>
  <c r="H512" i="1"/>
  <c r="I512" i="1"/>
  <c r="J512" i="1"/>
  <c r="AE511" i="1" a="1"/>
  <c r="AE511" i="1" s="1"/>
  <c r="U511" i="1" a="1"/>
  <c r="U511" i="1" s="1"/>
  <c r="Z511" i="1"/>
  <c r="AA511" i="1"/>
  <c r="AB511" i="1"/>
  <c r="AC511" i="1"/>
  <c r="AD511" i="1"/>
  <c r="K511" i="1" a="1"/>
  <c r="K511" i="1" s="1"/>
  <c r="O511" i="1"/>
  <c r="A511" i="1" a="1"/>
  <c r="A511" i="1" s="1"/>
  <c r="G511" i="1"/>
  <c r="H511" i="1"/>
  <c r="I511" i="1"/>
  <c r="J511" i="1"/>
  <c r="AE510" i="1" a="1"/>
  <c r="AE510" i="1" s="1"/>
  <c r="AH510" i="1"/>
  <c r="U510" i="1" a="1"/>
  <c r="U510" i="1" s="1"/>
  <c r="Z510" i="1"/>
  <c r="AA510" i="1"/>
  <c r="AB510" i="1"/>
  <c r="AC510" i="1"/>
  <c r="AD510" i="1"/>
  <c r="K510" i="1" a="1"/>
  <c r="K510" i="1" s="1"/>
  <c r="Q510" i="1"/>
  <c r="A510" i="1" a="1"/>
  <c r="A510" i="1" s="1"/>
  <c r="E510" i="1"/>
  <c r="H510" i="1"/>
  <c r="I510" i="1"/>
  <c r="J510" i="1"/>
  <c r="AE509" i="1" a="1"/>
  <c r="AE509" i="1" s="1"/>
  <c r="U509" i="1" a="1"/>
  <c r="U509" i="1" s="1"/>
  <c r="X509" i="1"/>
  <c r="AA509" i="1"/>
  <c r="AB509" i="1"/>
  <c r="AC509" i="1"/>
  <c r="AD509" i="1"/>
  <c r="K509" i="1" a="1"/>
  <c r="K509" i="1" s="1"/>
  <c r="N509" i="1"/>
  <c r="O509" i="1"/>
  <c r="A509" i="1" a="1"/>
  <c r="A509" i="1" s="1"/>
  <c r="G509" i="1"/>
  <c r="H509" i="1"/>
  <c r="I509" i="1"/>
  <c r="J509" i="1"/>
  <c r="AE508" i="1" a="1"/>
  <c r="AE508" i="1" s="1"/>
  <c r="AH508" i="1"/>
  <c r="U508" i="1" a="1"/>
  <c r="U508" i="1" s="1"/>
  <c r="Y508" i="1"/>
  <c r="Z508" i="1"/>
  <c r="AA508" i="1"/>
  <c r="AB508" i="1"/>
  <c r="AC508" i="1"/>
  <c r="AD508" i="1"/>
  <c r="K508" i="1" a="1"/>
  <c r="K508" i="1" s="1"/>
  <c r="A508" i="1" a="1"/>
  <c r="A508" i="1" s="1"/>
  <c r="E508" i="1"/>
  <c r="F508" i="1"/>
  <c r="G508" i="1"/>
  <c r="H508" i="1"/>
  <c r="AE507" i="1" a="1"/>
  <c r="AE507" i="1" s="1"/>
  <c r="AH507" i="1"/>
  <c r="U507" i="1" a="1"/>
  <c r="U507" i="1" s="1"/>
  <c r="AA507" i="1"/>
  <c r="AB507" i="1"/>
  <c r="AC507" i="1"/>
  <c r="AD507" i="1"/>
  <c r="K507" i="1" a="1"/>
  <c r="K507" i="1" s="1"/>
  <c r="N507" i="1"/>
  <c r="O507" i="1"/>
  <c r="A507" i="1" a="1"/>
  <c r="A507" i="1" s="1"/>
  <c r="G507" i="1"/>
  <c r="H507" i="1"/>
  <c r="I507" i="1"/>
  <c r="J507" i="1"/>
  <c r="AE506" i="1" a="1"/>
  <c r="AE506" i="1" s="1"/>
  <c r="AF506" i="1"/>
  <c r="AG506" i="1"/>
  <c r="AH506" i="1"/>
  <c r="U506" i="1" a="1"/>
  <c r="U506" i="1" s="1"/>
  <c r="X506" i="1"/>
  <c r="Y506" i="1"/>
  <c r="Z506" i="1"/>
  <c r="AA506" i="1"/>
  <c r="AB506" i="1"/>
  <c r="AC506" i="1"/>
  <c r="AD506" i="1"/>
  <c r="K506" i="1" a="1"/>
  <c r="K506" i="1" s="1"/>
  <c r="Q506" i="1"/>
  <c r="R506" i="1"/>
  <c r="S506" i="1"/>
  <c r="A506" i="1" a="1"/>
  <c r="A506" i="1" s="1"/>
  <c r="D506" i="1"/>
  <c r="E506" i="1"/>
  <c r="F506" i="1"/>
  <c r="AE505" i="1" a="1"/>
  <c r="AE505" i="1" s="1"/>
  <c r="AH505" i="1"/>
  <c r="U505" i="1" a="1"/>
  <c r="U505" i="1" s="1"/>
  <c r="W505" i="1"/>
  <c r="Y505" i="1"/>
  <c r="Z505" i="1"/>
  <c r="AA505" i="1"/>
  <c r="K505" i="1" a="1"/>
  <c r="K505" i="1" s="1"/>
  <c r="N505" i="1"/>
  <c r="Q505" i="1"/>
  <c r="R505" i="1"/>
  <c r="S505" i="1"/>
  <c r="T505" i="1"/>
  <c r="A505" i="1" a="1"/>
  <c r="A505" i="1" s="1"/>
  <c r="F505" i="1"/>
  <c r="G505" i="1"/>
  <c r="I505" i="1"/>
  <c r="J505" i="1"/>
  <c r="AE504" i="1" a="1"/>
  <c r="AE504" i="1" s="1"/>
  <c r="AH504" i="1"/>
  <c r="U504" i="1" a="1"/>
  <c r="U504" i="1" s="1"/>
  <c r="K504" i="1" a="1"/>
  <c r="K504" i="1" s="1"/>
  <c r="O504" i="1"/>
  <c r="P504" i="1"/>
  <c r="Q504" i="1"/>
  <c r="A504" i="1" a="1"/>
  <c r="A504" i="1" s="1"/>
  <c r="H504" i="1"/>
  <c r="I504" i="1"/>
  <c r="J504" i="1"/>
  <c r="AE503" i="1" a="1"/>
  <c r="AE503" i="1" s="1"/>
  <c r="AH503" i="1"/>
  <c r="U503" i="1" a="1"/>
  <c r="U503" i="1" s="1"/>
  <c r="K503" i="1" a="1"/>
  <c r="K503" i="1" s="1"/>
  <c r="A503" i="1" a="1"/>
  <c r="A503" i="1" s="1"/>
  <c r="E503" i="1"/>
  <c r="F503" i="1"/>
  <c r="G503" i="1"/>
  <c r="H503" i="1"/>
  <c r="I503" i="1"/>
  <c r="J503" i="1"/>
  <c r="AE502" i="1" a="1"/>
  <c r="AE502" i="1" s="1"/>
  <c r="U502" i="1" a="1"/>
  <c r="U502" i="1" s="1"/>
  <c r="Y502" i="1"/>
  <c r="Z502" i="1"/>
  <c r="AC502" i="1"/>
  <c r="AD502" i="1"/>
  <c r="K502" i="1" a="1"/>
  <c r="K502" i="1" s="1"/>
  <c r="A502" i="1" a="1"/>
  <c r="A502" i="1" s="1"/>
  <c r="D502" i="1"/>
  <c r="G502" i="1"/>
  <c r="H502" i="1"/>
  <c r="I502" i="1"/>
  <c r="J502" i="1"/>
  <c r="AE501" i="1" a="1"/>
  <c r="AE501" i="1" s="1"/>
  <c r="AG501" i="1"/>
  <c r="AH501" i="1"/>
  <c r="U501" i="1" a="1"/>
  <c r="U501" i="1" s="1"/>
  <c r="Z501" i="1"/>
  <c r="AC501" i="1"/>
  <c r="AD501" i="1"/>
  <c r="K501" i="1" a="1"/>
  <c r="K501" i="1" s="1"/>
  <c r="A501" i="1" a="1"/>
  <c r="A501" i="1" s="1"/>
  <c r="E501" i="1"/>
  <c r="F501" i="1"/>
  <c r="G501" i="1"/>
  <c r="H501" i="1"/>
  <c r="I501" i="1"/>
  <c r="J501" i="1"/>
  <c r="AE500" i="1" a="1"/>
  <c r="AE500" i="1" s="1"/>
  <c r="U500" i="1" a="1"/>
  <c r="U500" i="1" s="1"/>
  <c r="Y500" i="1"/>
  <c r="AB500" i="1"/>
  <c r="AC500" i="1"/>
  <c r="AD500" i="1"/>
  <c r="K500" i="1" a="1"/>
  <c r="K500" i="1" s="1"/>
  <c r="A500" i="1" a="1"/>
  <c r="A500" i="1" s="1"/>
  <c r="D500" i="1"/>
  <c r="E500" i="1"/>
  <c r="F500" i="1"/>
  <c r="G500" i="1"/>
  <c r="H500" i="1"/>
  <c r="I500" i="1"/>
  <c r="AE499" i="1" a="1"/>
  <c r="AE499" i="1" s="1"/>
  <c r="U499" i="1" a="1"/>
  <c r="U499" i="1" s="1"/>
  <c r="Y499" i="1"/>
  <c r="Z499" i="1"/>
  <c r="AA499" i="1"/>
  <c r="AB499" i="1"/>
  <c r="K499" i="1" a="1"/>
  <c r="K499" i="1" s="1"/>
  <c r="R499" i="1"/>
  <c r="A499" i="1" a="1"/>
  <c r="A499" i="1" s="1"/>
  <c r="H499" i="1"/>
  <c r="I499" i="1"/>
  <c r="J499" i="1"/>
  <c r="AE498" i="1" a="1"/>
  <c r="AE498" i="1" s="1"/>
  <c r="AG498" i="1"/>
  <c r="U498" i="1" a="1"/>
  <c r="U498" i="1" s="1"/>
  <c r="AC498" i="1"/>
  <c r="K498" i="1" a="1"/>
  <c r="K498" i="1" s="1"/>
  <c r="O498" i="1"/>
  <c r="P498" i="1"/>
  <c r="Q498" i="1"/>
  <c r="R498" i="1"/>
  <c r="A498" i="1" a="1"/>
  <c r="A498" i="1" s="1"/>
  <c r="D498" i="1"/>
  <c r="G498" i="1"/>
  <c r="H498" i="1"/>
  <c r="I498" i="1"/>
  <c r="J498" i="1"/>
  <c r="AE497" i="1" a="1"/>
  <c r="AE497" i="1" s="1"/>
  <c r="U497" i="1" a="1"/>
  <c r="U497" i="1" s="1"/>
  <c r="K497" i="1" a="1"/>
  <c r="K497" i="1" s="1"/>
  <c r="A497" i="1" a="1"/>
  <c r="A497" i="1" s="1"/>
  <c r="AE496" i="1" a="1"/>
  <c r="AE496" i="1" s="1"/>
  <c r="AG496" i="1"/>
  <c r="AH496" i="1"/>
  <c r="U496" i="1" a="1"/>
  <c r="U496" i="1" s="1"/>
  <c r="Y496" i="1"/>
  <c r="AA496" i="1"/>
  <c r="K496" i="1" a="1"/>
  <c r="K496" i="1" s="1"/>
  <c r="P496" i="1"/>
  <c r="S496" i="1"/>
  <c r="T496" i="1"/>
  <c r="A496" i="1" a="1"/>
  <c r="A496" i="1" s="1"/>
  <c r="AE495" i="1" a="1"/>
  <c r="AE495" i="1" s="1"/>
  <c r="AH495" i="1"/>
  <c r="U495" i="1" a="1"/>
  <c r="U495" i="1" s="1"/>
  <c r="Y495" i="1"/>
  <c r="AA495" i="1"/>
  <c r="K495" i="1" a="1"/>
  <c r="K495" i="1" s="1"/>
  <c r="N495" i="1"/>
  <c r="Q495" i="1"/>
  <c r="R495" i="1"/>
  <c r="S495" i="1"/>
  <c r="T495" i="1"/>
  <c r="A495" i="1" a="1"/>
  <c r="A495" i="1" s="1"/>
  <c r="H495" i="1"/>
  <c r="I495" i="1"/>
  <c r="AE494" i="1" a="1"/>
  <c r="AE494" i="1" s="1"/>
  <c r="AG494" i="1"/>
  <c r="AH494" i="1"/>
  <c r="U494" i="1" a="1"/>
  <c r="U494" i="1" s="1"/>
  <c r="Y494" i="1"/>
  <c r="AA494" i="1"/>
  <c r="K494" i="1" a="1"/>
  <c r="K494" i="1" s="1"/>
  <c r="R494" i="1"/>
  <c r="A494" i="1" a="1"/>
  <c r="A494" i="1" s="1"/>
  <c r="H494" i="1"/>
  <c r="I494" i="1"/>
  <c r="J494" i="1"/>
  <c r="AE493" i="1" a="1"/>
  <c r="AE493" i="1" s="1"/>
  <c r="U493" i="1" a="1"/>
  <c r="U493" i="1" s="1"/>
  <c r="AA493" i="1"/>
  <c r="AD493" i="1"/>
  <c r="K493" i="1" a="1"/>
  <c r="K493" i="1" s="1"/>
  <c r="N493" i="1"/>
  <c r="P493" i="1"/>
  <c r="Q493" i="1"/>
  <c r="R493" i="1"/>
  <c r="A493" i="1" a="1"/>
  <c r="A493" i="1" s="1"/>
  <c r="E493" i="1"/>
  <c r="F493" i="1"/>
  <c r="I493" i="1"/>
  <c r="J493" i="1"/>
  <c r="AE492" i="1" a="1"/>
  <c r="AE492" i="1" s="1"/>
  <c r="U492" i="1" a="1"/>
  <c r="U492" i="1" s="1"/>
  <c r="Y492" i="1"/>
  <c r="Z492" i="1"/>
  <c r="AC492" i="1"/>
  <c r="AD492" i="1"/>
  <c r="K492" i="1" a="1"/>
  <c r="K492" i="1" s="1"/>
  <c r="N492" i="1"/>
  <c r="P492" i="1"/>
  <c r="A492" i="1" a="1"/>
  <c r="A492" i="1" s="1"/>
  <c r="AE491" i="1" a="1"/>
  <c r="AE491" i="1" s="1"/>
  <c r="AH491" i="1"/>
  <c r="U491" i="1" a="1"/>
  <c r="U491" i="1" s="1"/>
  <c r="K491" i="1" a="1"/>
  <c r="K491" i="1" s="1"/>
  <c r="A491" i="1" a="1"/>
  <c r="A491" i="1" s="1"/>
  <c r="F491" i="1"/>
  <c r="G491" i="1"/>
  <c r="H491" i="1"/>
  <c r="I491" i="1"/>
  <c r="J491" i="1"/>
  <c r="AE490" i="1" a="1"/>
  <c r="AE490" i="1" s="1"/>
  <c r="U490" i="1" a="1"/>
  <c r="U490" i="1" s="1"/>
  <c r="Z490" i="1"/>
  <c r="AC490" i="1"/>
  <c r="AD490" i="1"/>
  <c r="K490" i="1" a="1"/>
  <c r="K490" i="1" s="1"/>
  <c r="A490" i="1" a="1"/>
  <c r="A490" i="1" s="1"/>
  <c r="H490" i="1"/>
  <c r="I490" i="1"/>
  <c r="J490" i="1"/>
  <c r="AE489" i="1" a="1"/>
  <c r="AE489" i="1" s="1"/>
  <c r="AG489" i="1"/>
  <c r="U489" i="1" a="1"/>
  <c r="U489" i="1" s="1"/>
  <c r="K489" i="1" a="1"/>
  <c r="K489" i="1" s="1"/>
  <c r="O489" i="1"/>
  <c r="P489" i="1"/>
  <c r="Q489" i="1"/>
  <c r="A489" i="1" a="1"/>
  <c r="A489" i="1" s="1"/>
  <c r="G489" i="1"/>
  <c r="H489" i="1"/>
  <c r="I489" i="1"/>
  <c r="J489" i="1"/>
  <c r="AE488" i="1" a="1"/>
  <c r="AE488" i="1" s="1"/>
  <c r="AH488" i="1"/>
  <c r="U488" i="1" a="1"/>
  <c r="U488" i="1" s="1"/>
  <c r="AA488" i="1"/>
  <c r="AD488" i="1"/>
  <c r="K488" i="1" a="1"/>
  <c r="K488" i="1" s="1"/>
  <c r="A488" i="1" a="1"/>
  <c r="A488" i="1" s="1"/>
  <c r="AE487" i="1" a="1"/>
  <c r="AE487" i="1" s="1"/>
  <c r="AH487" i="1"/>
  <c r="U487" i="1" a="1"/>
  <c r="U487" i="1" s="1"/>
  <c r="AA487" i="1"/>
  <c r="K487" i="1" a="1"/>
  <c r="K487" i="1" s="1"/>
  <c r="P487" i="1"/>
  <c r="S487" i="1"/>
  <c r="T487" i="1"/>
  <c r="A487" i="1" a="1"/>
  <c r="A487" i="1" s="1"/>
  <c r="AE486" i="1" a="1"/>
  <c r="AE486" i="1" s="1"/>
  <c r="AH486" i="1"/>
  <c r="U486" i="1" a="1"/>
  <c r="U486" i="1" s="1"/>
  <c r="AB486" i="1"/>
  <c r="AD486" i="1"/>
  <c r="K486" i="1" a="1"/>
  <c r="K486" i="1" s="1"/>
  <c r="M486" i="1"/>
  <c r="A486" i="1" a="1"/>
  <c r="A486" i="1" s="1"/>
  <c r="F486" i="1"/>
  <c r="G486" i="1"/>
  <c r="H486" i="1"/>
  <c r="AE485" i="1" a="1"/>
  <c r="AE485" i="1" s="1"/>
  <c r="U485" i="1" a="1"/>
  <c r="U485" i="1" s="1"/>
  <c r="K485" i="1" a="1"/>
  <c r="K485" i="1" s="1"/>
  <c r="P485" i="1"/>
  <c r="Q485" i="1"/>
  <c r="R485" i="1"/>
  <c r="S485" i="1"/>
  <c r="T485" i="1"/>
  <c r="A485" i="1" a="1"/>
  <c r="A485" i="1" s="1"/>
  <c r="D485" i="1"/>
  <c r="AE484" i="1" a="1"/>
  <c r="AE484" i="1" s="1"/>
  <c r="AH484" i="1"/>
  <c r="U484" i="1" a="1"/>
  <c r="U484" i="1" s="1"/>
  <c r="K484" i="1" a="1"/>
  <c r="K484" i="1" s="1"/>
  <c r="N484" i="1"/>
  <c r="O484" i="1"/>
  <c r="P484" i="1"/>
  <c r="Q484" i="1"/>
  <c r="R484" i="1"/>
  <c r="S484" i="1"/>
  <c r="A484" i="1" a="1"/>
  <c r="A484" i="1" s="1"/>
  <c r="H484" i="1"/>
  <c r="AE483" i="1" a="1"/>
  <c r="AE483" i="1" s="1"/>
  <c r="U483" i="1" a="1"/>
  <c r="U483" i="1" s="1"/>
  <c r="K483" i="1" a="1"/>
  <c r="K483" i="1" s="1"/>
  <c r="O483" i="1"/>
  <c r="P483" i="1"/>
  <c r="Q483" i="1"/>
  <c r="R483" i="1"/>
  <c r="S483" i="1"/>
  <c r="T483" i="1"/>
  <c r="A483" i="1" a="1"/>
  <c r="A483" i="1" s="1"/>
  <c r="AE482" i="1" a="1"/>
  <c r="AE482" i="1" s="1"/>
  <c r="AH482" i="1"/>
  <c r="U482" i="1" a="1"/>
  <c r="U482" i="1" s="1"/>
  <c r="K482" i="1" a="1"/>
  <c r="K482" i="1" s="1"/>
  <c r="N482" i="1"/>
  <c r="O482" i="1"/>
  <c r="P482" i="1"/>
  <c r="Q482" i="1"/>
  <c r="R482" i="1"/>
  <c r="S482" i="1"/>
  <c r="A482" i="1" a="1"/>
  <c r="A482" i="1" s="1"/>
  <c r="E482" i="1"/>
  <c r="H482" i="1"/>
  <c r="I482" i="1"/>
  <c r="J482" i="1"/>
  <c r="AE481" i="1" a="1"/>
  <c r="AE481" i="1" s="1"/>
  <c r="U481" i="1" a="1"/>
  <c r="U481" i="1" s="1"/>
  <c r="X481" i="1"/>
  <c r="Y481" i="1"/>
  <c r="AA481" i="1"/>
  <c r="AB481" i="1"/>
  <c r="AC481" i="1"/>
  <c r="AD481" i="1"/>
  <c r="K481" i="1" a="1"/>
  <c r="K481" i="1" s="1"/>
  <c r="O481" i="1"/>
  <c r="A481" i="1" a="1"/>
  <c r="A481" i="1" s="1"/>
  <c r="F481" i="1"/>
  <c r="G481" i="1"/>
  <c r="H481" i="1"/>
  <c r="I481" i="1"/>
  <c r="AE480" i="1" a="1"/>
  <c r="AE480" i="1" s="1"/>
  <c r="AH480" i="1"/>
  <c r="U480" i="1" a="1"/>
  <c r="U480" i="1" s="1"/>
  <c r="X480" i="1"/>
  <c r="Y480" i="1"/>
  <c r="Z480" i="1"/>
  <c r="AA480" i="1"/>
  <c r="AB480" i="1"/>
  <c r="AC480" i="1"/>
  <c r="AD480" i="1"/>
  <c r="K480" i="1" a="1"/>
  <c r="K480" i="1" s="1"/>
  <c r="R480" i="1"/>
  <c r="A480" i="1" a="1"/>
  <c r="A480" i="1" s="1"/>
  <c r="H480" i="1"/>
  <c r="I480" i="1"/>
  <c r="J480" i="1"/>
  <c r="AE479" i="1" a="1"/>
  <c r="AE479" i="1" s="1"/>
  <c r="U479" i="1" a="1"/>
  <c r="U479" i="1" s="1"/>
  <c r="Y479" i="1"/>
  <c r="AB479" i="1"/>
  <c r="AC479" i="1"/>
  <c r="AD479" i="1"/>
  <c r="K479" i="1" a="1"/>
  <c r="K479" i="1" s="1"/>
  <c r="N479" i="1"/>
  <c r="P479" i="1"/>
  <c r="Q479" i="1"/>
  <c r="A479" i="1" a="1"/>
  <c r="A479" i="1" s="1"/>
  <c r="D479" i="1"/>
  <c r="H479" i="1"/>
  <c r="I479" i="1"/>
  <c r="J479" i="1"/>
  <c r="AE478" i="1" a="1"/>
  <c r="AE478" i="1" s="1"/>
  <c r="U478" i="1" a="1"/>
  <c r="U478" i="1" s="1"/>
  <c r="Y478" i="1"/>
  <c r="AB478" i="1"/>
  <c r="AC478" i="1"/>
  <c r="AD478" i="1"/>
  <c r="K478" i="1" a="1"/>
  <c r="K478" i="1" s="1"/>
  <c r="N478" i="1"/>
  <c r="O478" i="1"/>
  <c r="P478" i="1"/>
  <c r="A478" i="1" a="1"/>
  <c r="A478" i="1" s="1"/>
  <c r="F478" i="1"/>
  <c r="G478" i="1"/>
  <c r="H478" i="1"/>
  <c r="I478" i="1"/>
  <c r="AE477" i="1" a="1"/>
  <c r="AE477" i="1" s="1"/>
  <c r="U477" i="1" a="1"/>
  <c r="U477" i="1" s="1"/>
  <c r="Z477" i="1"/>
  <c r="AA477" i="1"/>
  <c r="AB477" i="1"/>
  <c r="AC477" i="1"/>
  <c r="AD477" i="1"/>
  <c r="K477" i="1" a="1"/>
  <c r="K477" i="1" s="1"/>
  <c r="R477" i="1"/>
  <c r="A477" i="1" a="1"/>
  <c r="A477" i="1" s="1"/>
  <c r="AE476" i="1" a="1"/>
  <c r="AE476" i="1" s="1"/>
  <c r="U476" i="1" a="1"/>
  <c r="U476" i="1" s="1"/>
  <c r="W476" i="1"/>
  <c r="X476" i="1"/>
  <c r="Y476" i="1"/>
  <c r="Z476" i="1"/>
  <c r="AB476" i="1"/>
  <c r="AD476" i="1"/>
  <c r="K476" i="1" a="1"/>
  <c r="K476" i="1" s="1"/>
  <c r="O476" i="1"/>
  <c r="P476" i="1"/>
  <c r="Q476" i="1"/>
  <c r="R476" i="1"/>
  <c r="S476" i="1"/>
  <c r="T476" i="1"/>
  <c r="A476" i="1" a="1"/>
  <c r="A476" i="1" s="1"/>
  <c r="AE475" i="1" a="1"/>
  <c r="AE475" i="1" s="1"/>
  <c r="U475" i="1" a="1"/>
  <c r="U475" i="1" s="1"/>
  <c r="Y475" i="1"/>
  <c r="Z475" i="1"/>
  <c r="AA475" i="1"/>
  <c r="K475" i="1" a="1"/>
  <c r="K475" i="1" s="1"/>
  <c r="R475" i="1"/>
  <c r="S475" i="1"/>
  <c r="T475" i="1"/>
  <c r="A475" i="1" a="1"/>
  <c r="A475" i="1" s="1"/>
  <c r="D475" i="1"/>
  <c r="F475" i="1"/>
  <c r="AE474" i="1" a="1"/>
  <c r="AE474" i="1" s="1"/>
  <c r="U474" i="1" a="1"/>
  <c r="U474" i="1" s="1"/>
  <c r="X474" i="1"/>
  <c r="Y474" i="1"/>
  <c r="Z474" i="1"/>
  <c r="AA474" i="1"/>
  <c r="AC474" i="1"/>
  <c r="K474" i="1" a="1"/>
  <c r="K474" i="1" s="1"/>
  <c r="O474" i="1"/>
  <c r="P474" i="1"/>
  <c r="Q474" i="1"/>
  <c r="R474" i="1"/>
  <c r="S474" i="1"/>
  <c r="T474" i="1"/>
  <c r="A474" i="1" a="1"/>
  <c r="A474" i="1" s="1"/>
  <c r="AE473" i="1" a="1"/>
  <c r="AE473" i="1" s="1"/>
  <c r="AH473" i="1"/>
  <c r="U473" i="1" a="1"/>
  <c r="U473" i="1" s="1"/>
  <c r="X473" i="1"/>
  <c r="Y473" i="1"/>
  <c r="Z473" i="1"/>
  <c r="AA473" i="1"/>
  <c r="K473" i="1" a="1"/>
  <c r="K473" i="1" s="1"/>
  <c r="R473" i="1"/>
  <c r="S473" i="1"/>
  <c r="T473" i="1"/>
  <c r="A473" i="1" a="1"/>
  <c r="A473" i="1" s="1"/>
  <c r="G473" i="1"/>
  <c r="AE472" i="1" a="1"/>
  <c r="AE472" i="1" s="1"/>
  <c r="AG472" i="1"/>
  <c r="AH472" i="1"/>
  <c r="U472" i="1" a="1"/>
  <c r="U472" i="1" s="1"/>
  <c r="W472" i="1"/>
  <c r="X472" i="1"/>
  <c r="Y472" i="1"/>
  <c r="Z472" i="1"/>
  <c r="K472" i="1" a="1"/>
  <c r="K472" i="1" s="1"/>
  <c r="O472" i="1"/>
  <c r="P472" i="1"/>
  <c r="Q472" i="1"/>
  <c r="R472" i="1"/>
  <c r="S472" i="1"/>
  <c r="T472" i="1"/>
  <c r="A472" i="1" a="1"/>
  <c r="A472" i="1" s="1"/>
  <c r="AE471" i="1" a="1"/>
  <c r="AE471" i="1" s="1"/>
  <c r="U471" i="1" a="1"/>
  <c r="U471" i="1" s="1"/>
  <c r="X471" i="1"/>
  <c r="Y471" i="1"/>
  <c r="Z471" i="1"/>
  <c r="K471" i="1" a="1"/>
  <c r="K471" i="1" s="1"/>
  <c r="R471" i="1"/>
  <c r="S471" i="1"/>
  <c r="T471" i="1"/>
  <c r="A471" i="1" a="1"/>
  <c r="A471" i="1" s="1"/>
  <c r="F471" i="1"/>
  <c r="AE470" i="1" a="1"/>
  <c r="AE470" i="1" s="1"/>
  <c r="U470" i="1" a="1"/>
  <c r="U470" i="1" s="1"/>
  <c r="W470" i="1"/>
  <c r="X470" i="1"/>
  <c r="Y470" i="1"/>
  <c r="Z470" i="1"/>
  <c r="K470" i="1" a="1"/>
  <c r="K470" i="1" s="1"/>
  <c r="O470" i="1"/>
  <c r="P470" i="1"/>
  <c r="Q470" i="1"/>
  <c r="R470" i="1"/>
  <c r="S470" i="1"/>
  <c r="T470" i="1"/>
  <c r="A470" i="1" a="1"/>
  <c r="A470" i="1" s="1"/>
  <c r="AE469" i="1" a="1"/>
  <c r="AE469" i="1" s="1"/>
  <c r="AH469" i="1"/>
  <c r="U469" i="1" a="1"/>
  <c r="U469" i="1" s="1"/>
  <c r="K469" i="1" a="1"/>
  <c r="K469" i="1" s="1"/>
  <c r="P469" i="1"/>
  <c r="Q469" i="1"/>
  <c r="R469" i="1"/>
  <c r="S469" i="1"/>
  <c r="T469" i="1"/>
  <c r="A469" i="1" a="1"/>
  <c r="A469" i="1" s="1"/>
  <c r="D469" i="1"/>
  <c r="AE468" i="1" a="1"/>
  <c r="AE468" i="1" s="1"/>
  <c r="AH468" i="1"/>
  <c r="U468" i="1" a="1"/>
  <c r="U468" i="1" s="1"/>
  <c r="X468" i="1"/>
  <c r="K468" i="1" a="1"/>
  <c r="K468" i="1" s="1"/>
  <c r="O468" i="1"/>
  <c r="P468" i="1"/>
  <c r="Q468" i="1"/>
  <c r="R468" i="1"/>
  <c r="S468" i="1"/>
  <c r="T468" i="1"/>
  <c r="A468" i="1" a="1"/>
  <c r="A468" i="1" s="1"/>
  <c r="AE467" i="1" a="1"/>
  <c r="AE467" i="1" s="1"/>
  <c r="AG467" i="1"/>
  <c r="AH467" i="1"/>
  <c r="U467" i="1" a="1"/>
  <c r="U467" i="1" s="1"/>
  <c r="K467" i="1" a="1"/>
  <c r="K467" i="1" s="1"/>
  <c r="P467" i="1"/>
  <c r="R467" i="1"/>
  <c r="S467" i="1"/>
  <c r="A467" i="1" a="1"/>
  <c r="A467" i="1" s="1"/>
  <c r="E467" i="1"/>
  <c r="F467" i="1"/>
  <c r="G467" i="1"/>
  <c r="H467" i="1"/>
  <c r="I467" i="1"/>
  <c r="J467" i="1"/>
  <c r="AE466" i="1" a="1"/>
  <c r="AE466" i="1" s="1"/>
  <c r="U466" i="1" a="1"/>
  <c r="U466" i="1" s="1"/>
  <c r="AA466" i="1"/>
  <c r="AB466" i="1"/>
  <c r="AC466" i="1"/>
  <c r="AD466" i="1"/>
  <c r="K466" i="1" a="1"/>
  <c r="K466" i="1" s="1"/>
  <c r="N466" i="1"/>
  <c r="O466" i="1"/>
  <c r="Q466" i="1"/>
  <c r="R466" i="1"/>
  <c r="A466" i="1" a="1"/>
  <c r="A466" i="1" s="1"/>
  <c r="H466" i="1"/>
  <c r="J466" i="1"/>
  <c r="AE465" i="1" a="1"/>
  <c r="AE465" i="1" s="1"/>
  <c r="AG465" i="1"/>
  <c r="AH465" i="1"/>
  <c r="U465" i="1" a="1"/>
  <c r="U465" i="1" s="1"/>
  <c r="AC465" i="1"/>
  <c r="K465" i="1" a="1"/>
  <c r="K465" i="1" s="1"/>
  <c r="A465" i="1" a="1"/>
  <c r="A465" i="1" s="1"/>
  <c r="AE464" i="1" a="1"/>
  <c r="AE464" i="1" s="1"/>
  <c r="AH464" i="1"/>
  <c r="U464" i="1" a="1"/>
  <c r="U464" i="1" s="1"/>
  <c r="K464" i="1" a="1"/>
  <c r="K464" i="1" s="1"/>
  <c r="N464" i="1"/>
  <c r="O464" i="1"/>
  <c r="P464" i="1"/>
  <c r="Q464" i="1"/>
  <c r="R464" i="1"/>
  <c r="S464" i="1"/>
  <c r="A464" i="1" a="1"/>
  <c r="A464" i="1" s="1"/>
  <c r="J464" i="1"/>
  <c r="AE463" i="1" a="1"/>
  <c r="AE463" i="1" s="1"/>
  <c r="U463" i="1" a="1"/>
  <c r="U463" i="1" s="1"/>
  <c r="V463" i="1"/>
  <c r="W463" i="1"/>
  <c r="X463" i="1"/>
  <c r="Y463" i="1"/>
  <c r="K463" i="1" a="1"/>
  <c r="K463" i="1" s="1"/>
  <c r="O463" i="1"/>
  <c r="P463" i="1"/>
  <c r="Q463" i="1"/>
  <c r="R463" i="1"/>
  <c r="S463" i="1"/>
  <c r="T463" i="1"/>
  <c r="A463" i="1" a="1"/>
  <c r="A463" i="1" s="1"/>
  <c r="AE462" i="1" a="1"/>
  <c r="AE462" i="1" s="1"/>
  <c r="U462" i="1" a="1"/>
  <c r="U462" i="1" s="1"/>
  <c r="AB462" i="1"/>
  <c r="AC462" i="1"/>
  <c r="AD462" i="1"/>
  <c r="K462" i="1" a="1"/>
  <c r="K462" i="1" s="1"/>
  <c r="A462" i="1" a="1"/>
  <c r="A462" i="1" s="1"/>
  <c r="G462" i="1"/>
  <c r="H462" i="1"/>
  <c r="I462" i="1"/>
  <c r="J462" i="1"/>
  <c r="AE461" i="1" a="1"/>
  <c r="AE461" i="1" s="1"/>
  <c r="AH461" i="1"/>
  <c r="U461" i="1" a="1"/>
  <c r="U461" i="1" s="1"/>
  <c r="K461" i="1" a="1"/>
  <c r="K461" i="1" s="1"/>
  <c r="R461" i="1"/>
  <c r="S461" i="1"/>
  <c r="A461" i="1" a="1"/>
  <c r="A461" i="1" s="1"/>
  <c r="F461" i="1"/>
  <c r="G461" i="1"/>
  <c r="H461" i="1"/>
  <c r="I461" i="1"/>
  <c r="J461" i="1"/>
  <c r="AE460" i="1" a="1"/>
  <c r="AE460" i="1" s="1"/>
  <c r="U460" i="1" a="1"/>
  <c r="U460" i="1" s="1"/>
  <c r="W460" i="1"/>
  <c r="K460" i="1" a="1"/>
  <c r="K460" i="1" s="1"/>
  <c r="N460" i="1"/>
  <c r="O460" i="1"/>
  <c r="P460" i="1"/>
  <c r="A460" i="1" a="1"/>
  <c r="A460" i="1" s="1"/>
  <c r="I460" i="1"/>
  <c r="J460" i="1"/>
  <c r="AE459" i="1" a="1"/>
  <c r="AE459" i="1" s="1"/>
  <c r="AH459" i="1"/>
  <c r="U459" i="1" a="1"/>
  <c r="U459" i="1" s="1"/>
  <c r="X459" i="1"/>
  <c r="Y459" i="1"/>
  <c r="K459" i="1" a="1"/>
  <c r="K459" i="1" s="1"/>
  <c r="Q459" i="1"/>
  <c r="R459" i="1"/>
  <c r="S459" i="1"/>
  <c r="T459" i="1"/>
  <c r="A459" i="1" a="1"/>
  <c r="A459" i="1" s="1"/>
  <c r="AE458" i="1" a="1"/>
  <c r="AE458" i="1" s="1"/>
  <c r="AH458" i="1"/>
  <c r="U458" i="1" a="1"/>
  <c r="U458" i="1" s="1"/>
  <c r="AA458" i="1"/>
  <c r="K458" i="1" a="1"/>
  <c r="K458" i="1" s="1"/>
  <c r="N458" i="1"/>
  <c r="O458" i="1"/>
  <c r="P458" i="1"/>
  <c r="Q458" i="1"/>
  <c r="R458" i="1"/>
  <c r="S458" i="1"/>
  <c r="T458" i="1"/>
  <c r="A458" i="1" a="1"/>
  <c r="A458" i="1" s="1"/>
  <c r="I458" i="1"/>
  <c r="AE457" i="1" a="1"/>
  <c r="AE457" i="1" s="1"/>
  <c r="AG457" i="1"/>
  <c r="AH457" i="1"/>
  <c r="U457" i="1" a="1"/>
  <c r="U457" i="1" s="1"/>
  <c r="Z457" i="1"/>
  <c r="K457" i="1" a="1"/>
  <c r="K457" i="1" s="1"/>
  <c r="Q457" i="1"/>
  <c r="R457" i="1"/>
  <c r="S457" i="1"/>
  <c r="T457" i="1"/>
  <c r="A457" i="1" a="1"/>
  <c r="A457" i="1" s="1"/>
  <c r="H457" i="1"/>
  <c r="J457" i="1"/>
  <c r="AE456" i="1" a="1"/>
  <c r="AE456" i="1" s="1"/>
  <c r="AH456" i="1"/>
  <c r="U456" i="1" a="1"/>
  <c r="U456" i="1" s="1"/>
  <c r="Y456" i="1"/>
  <c r="K456" i="1" a="1"/>
  <c r="K456" i="1" s="1"/>
  <c r="Q456" i="1"/>
  <c r="R456" i="1"/>
  <c r="S456" i="1"/>
  <c r="T456" i="1"/>
  <c r="A456" i="1" a="1"/>
  <c r="A456" i="1" s="1"/>
  <c r="AE455" i="1" a="1"/>
  <c r="AE455" i="1" s="1"/>
  <c r="U455" i="1" a="1"/>
  <c r="U455" i="1" s="1"/>
  <c r="Z455" i="1"/>
  <c r="K455" i="1" a="1"/>
  <c r="K455" i="1" s="1"/>
  <c r="R455" i="1"/>
  <c r="S455" i="1"/>
  <c r="T455" i="1"/>
  <c r="A455" i="1" a="1"/>
  <c r="A455" i="1" s="1"/>
  <c r="AE454" i="1" a="1"/>
  <c r="AE454" i="1" s="1"/>
  <c r="U454" i="1" a="1"/>
  <c r="U454" i="1" s="1"/>
  <c r="AA454" i="1"/>
  <c r="AD454" i="1"/>
  <c r="K454" i="1" a="1"/>
  <c r="K454" i="1" s="1"/>
  <c r="P454" i="1"/>
  <c r="Q454" i="1"/>
  <c r="R454" i="1"/>
  <c r="S454" i="1"/>
  <c r="T454" i="1"/>
  <c r="A454" i="1" a="1"/>
  <c r="A454" i="1" s="1"/>
  <c r="G454" i="1"/>
  <c r="AE453" i="1" a="1"/>
  <c r="AE453" i="1" s="1"/>
  <c r="AF453" i="1"/>
  <c r="AG453" i="1"/>
  <c r="AH453" i="1"/>
  <c r="U453" i="1" a="1"/>
  <c r="U453" i="1" s="1"/>
  <c r="Z453" i="1"/>
  <c r="AC453" i="1"/>
  <c r="K453" i="1" a="1"/>
  <c r="K453" i="1" s="1"/>
  <c r="R453" i="1"/>
  <c r="S453" i="1"/>
  <c r="T453" i="1"/>
  <c r="A453" i="1" a="1"/>
  <c r="A453" i="1" s="1"/>
  <c r="C453" i="1"/>
  <c r="D453" i="1"/>
  <c r="E453" i="1"/>
  <c r="AE452" i="1" a="1"/>
  <c r="AE452" i="1" s="1"/>
  <c r="U452" i="1" a="1"/>
  <c r="U452" i="1" s="1"/>
  <c r="Z452" i="1"/>
  <c r="AA452" i="1"/>
  <c r="AB452" i="1"/>
  <c r="AC452" i="1"/>
  <c r="AD452" i="1"/>
  <c r="K452" i="1" a="1"/>
  <c r="K452" i="1" s="1"/>
  <c r="A452" i="1" a="1"/>
  <c r="A452" i="1" s="1"/>
  <c r="J452" i="1"/>
  <c r="AE451" i="1" a="1"/>
  <c r="AE451" i="1" s="1"/>
  <c r="AF451" i="1"/>
  <c r="AG451" i="1"/>
  <c r="U451" i="1" a="1"/>
  <c r="U451" i="1" s="1"/>
  <c r="Z451" i="1"/>
  <c r="AA451" i="1"/>
  <c r="AB451" i="1"/>
  <c r="AC451" i="1"/>
  <c r="AD451" i="1"/>
  <c r="K451" i="1" a="1"/>
  <c r="K451" i="1" s="1"/>
  <c r="Q451" i="1"/>
  <c r="A451" i="1" a="1"/>
  <c r="A451" i="1" s="1"/>
  <c r="E451" i="1"/>
  <c r="F451" i="1"/>
  <c r="G451" i="1"/>
  <c r="H451" i="1"/>
  <c r="I451" i="1"/>
  <c r="J451" i="1"/>
  <c r="AE450" i="1" a="1"/>
  <c r="AE450" i="1" s="1"/>
  <c r="U450" i="1" a="1"/>
  <c r="U450" i="1" s="1"/>
  <c r="Z450" i="1"/>
  <c r="AB450" i="1"/>
  <c r="AC450" i="1"/>
  <c r="AD450" i="1"/>
  <c r="K450" i="1" a="1"/>
  <c r="K450" i="1" s="1"/>
  <c r="P450" i="1"/>
  <c r="A450" i="1" a="1"/>
  <c r="A450" i="1" s="1"/>
  <c r="I450" i="1"/>
  <c r="J450" i="1"/>
  <c r="AE449" i="1" a="1"/>
  <c r="AE449" i="1" s="1"/>
  <c r="AH449" i="1"/>
  <c r="U449" i="1" a="1"/>
  <c r="U449" i="1" s="1"/>
  <c r="AC449" i="1"/>
  <c r="AD449" i="1"/>
  <c r="K449" i="1" a="1"/>
  <c r="K449" i="1" s="1"/>
  <c r="P449" i="1"/>
  <c r="Q449" i="1"/>
  <c r="S449" i="1"/>
  <c r="A449" i="1" a="1"/>
  <c r="A449" i="1" s="1"/>
  <c r="G449" i="1"/>
  <c r="I449" i="1"/>
  <c r="J449" i="1"/>
  <c r="AE448" i="1" a="1"/>
  <c r="AE448" i="1" s="1"/>
  <c r="AH448" i="1"/>
  <c r="U448" i="1" a="1"/>
  <c r="U448" i="1" s="1"/>
  <c r="K448" i="1" a="1"/>
  <c r="K448" i="1" s="1"/>
  <c r="P448" i="1"/>
  <c r="S448" i="1"/>
  <c r="A448" i="1" a="1"/>
  <c r="A448" i="1" s="1"/>
  <c r="I448" i="1"/>
  <c r="AE447" i="1" a="1"/>
  <c r="AE447" i="1" s="1"/>
  <c r="AH447" i="1"/>
  <c r="U447" i="1" a="1"/>
  <c r="U447" i="1" s="1"/>
  <c r="Y447" i="1"/>
  <c r="K447" i="1" a="1"/>
  <c r="K447" i="1" s="1"/>
  <c r="Q447" i="1"/>
  <c r="R447" i="1"/>
  <c r="S447" i="1"/>
  <c r="T447" i="1"/>
  <c r="A447" i="1" a="1"/>
  <c r="A447" i="1" s="1"/>
  <c r="E447" i="1"/>
  <c r="AE446" i="1" a="1"/>
  <c r="AE446" i="1" s="1"/>
  <c r="AG446" i="1"/>
  <c r="AH446" i="1"/>
  <c r="U446" i="1" a="1"/>
  <c r="U446" i="1" s="1"/>
  <c r="Y446" i="1"/>
  <c r="K446" i="1" a="1"/>
  <c r="K446" i="1" s="1"/>
  <c r="Q446" i="1"/>
  <c r="R446" i="1"/>
  <c r="S446" i="1"/>
  <c r="T446" i="1"/>
  <c r="A446" i="1" a="1"/>
  <c r="A446" i="1" s="1"/>
  <c r="G446" i="1"/>
  <c r="AE445" i="1" a="1"/>
  <c r="AE445" i="1" s="1"/>
  <c r="AH445" i="1"/>
  <c r="U445" i="1" a="1"/>
  <c r="U445" i="1" s="1"/>
  <c r="Y445" i="1"/>
  <c r="Z445" i="1"/>
  <c r="AA445" i="1"/>
  <c r="AB445" i="1"/>
  <c r="K445" i="1" a="1"/>
  <c r="K445" i="1" s="1"/>
  <c r="P445" i="1"/>
  <c r="Q445" i="1"/>
  <c r="R445" i="1"/>
  <c r="S445" i="1"/>
  <c r="T445" i="1"/>
  <c r="A445" i="1" a="1"/>
  <c r="A445" i="1" s="1"/>
  <c r="J445" i="1"/>
  <c r="AE444" i="1" a="1"/>
  <c r="AE444" i="1" s="1"/>
  <c r="AG444" i="1"/>
  <c r="U444" i="1" a="1"/>
  <c r="U444" i="1" s="1"/>
  <c r="Z444" i="1"/>
  <c r="AA444" i="1"/>
  <c r="AC444" i="1"/>
  <c r="AD444" i="1"/>
  <c r="K444" i="1" a="1"/>
  <c r="K444" i="1" s="1"/>
  <c r="Q444" i="1"/>
  <c r="A444" i="1" a="1"/>
  <c r="A444" i="1" s="1"/>
  <c r="F444" i="1"/>
  <c r="G444" i="1"/>
  <c r="H444" i="1"/>
  <c r="I444" i="1"/>
  <c r="J444" i="1"/>
  <c r="AE443" i="1" a="1"/>
  <c r="AE443" i="1" s="1"/>
  <c r="U443" i="1" a="1"/>
  <c r="U443" i="1" s="1"/>
  <c r="K443" i="1" a="1"/>
  <c r="K443" i="1" s="1"/>
  <c r="Q443" i="1"/>
  <c r="R443" i="1"/>
  <c r="S443" i="1"/>
  <c r="A443" i="1" a="1"/>
  <c r="A443" i="1" s="1"/>
  <c r="G443" i="1"/>
  <c r="H443" i="1"/>
  <c r="I443" i="1"/>
  <c r="J443" i="1"/>
  <c r="AE442" i="1" a="1"/>
  <c r="AE442" i="1" s="1"/>
  <c r="U442" i="1" a="1"/>
  <c r="U442" i="1" s="1"/>
  <c r="K442" i="1" a="1"/>
  <c r="K442" i="1" s="1"/>
  <c r="P442" i="1"/>
  <c r="Q442" i="1"/>
  <c r="R442" i="1"/>
  <c r="S442" i="1"/>
  <c r="A442" i="1" a="1"/>
  <c r="A442" i="1" s="1"/>
  <c r="AE441" i="1" a="1"/>
  <c r="AE441" i="1" s="1"/>
  <c r="AH441" i="1"/>
  <c r="U441" i="1" a="1"/>
  <c r="U441" i="1" s="1"/>
  <c r="Z441" i="1"/>
  <c r="AA441" i="1"/>
  <c r="AC441" i="1"/>
  <c r="K441" i="1" a="1"/>
  <c r="K441" i="1" s="1"/>
  <c r="S441" i="1"/>
  <c r="T441" i="1"/>
  <c r="A441" i="1" a="1"/>
  <c r="A441" i="1" s="1"/>
  <c r="H441" i="1"/>
  <c r="I441" i="1"/>
  <c r="J441" i="1"/>
  <c r="AE440" i="1" a="1"/>
  <c r="AE440" i="1" s="1"/>
  <c r="U440" i="1" a="1"/>
  <c r="U440" i="1" s="1"/>
  <c r="AB440" i="1"/>
  <c r="AC440" i="1"/>
  <c r="AD440" i="1"/>
  <c r="K440" i="1" a="1"/>
  <c r="K440" i="1" s="1"/>
  <c r="N440" i="1"/>
  <c r="P440" i="1"/>
  <c r="A440" i="1" a="1"/>
  <c r="A440" i="1" s="1"/>
  <c r="I440" i="1"/>
  <c r="J440" i="1"/>
  <c r="AE439" i="1" a="1"/>
  <c r="AE439" i="1" s="1"/>
  <c r="AH439" i="1"/>
  <c r="U439" i="1" a="1"/>
  <c r="U439" i="1" s="1"/>
  <c r="W439" i="1"/>
  <c r="AC439" i="1"/>
  <c r="AD439" i="1"/>
  <c r="K439" i="1" a="1"/>
  <c r="K439" i="1" s="1"/>
  <c r="N439" i="1"/>
  <c r="O439" i="1"/>
  <c r="Q439" i="1"/>
  <c r="A439" i="1" a="1"/>
  <c r="A439" i="1" s="1"/>
  <c r="F439" i="1"/>
  <c r="H439" i="1"/>
  <c r="I439" i="1"/>
  <c r="J439" i="1"/>
  <c r="AE438" i="1" a="1"/>
  <c r="AE438" i="1" s="1"/>
  <c r="AG438" i="1"/>
  <c r="U438" i="1" a="1"/>
  <c r="U438" i="1" s="1"/>
  <c r="AB438" i="1"/>
  <c r="AC438" i="1"/>
  <c r="AD438" i="1"/>
  <c r="K438" i="1" a="1"/>
  <c r="K438" i="1" s="1"/>
  <c r="O438" i="1"/>
  <c r="Q438" i="1"/>
  <c r="A438" i="1" a="1"/>
  <c r="A438" i="1" s="1"/>
  <c r="C438" i="1"/>
  <c r="F438" i="1"/>
  <c r="G438" i="1"/>
  <c r="H438" i="1"/>
  <c r="I438" i="1"/>
  <c r="AE437" i="1" a="1"/>
  <c r="AE437" i="1" s="1"/>
  <c r="U437" i="1" a="1"/>
  <c r="U437" i="1" s="1"/>
  <c r="X437" i="1"/>
  <c r="Y437" i="1"/>
  <c r="Z437" i="1"/>
  <c r="AA437" i="1"/>
  <c r="AB437" i="1"/>
  <c r="AC437" i="1"/>
  <c r="AD437" i="1"/>
  <c r="K437" i="1" a="1"/>
  <c r="K437" i="1" s="1"/>
  <c r="A437" i="1" a="1"/>
  <c r="A437" i="1" s="1"/>
  <c r="F437" i="1"/>
  <c r="G437" i="1"/>
  <c r="H437" i="1"/>
  <c r="AE436" i="1" a="1"/>
  <c r="AE436" i="1" s="1"/>
  <c r="AG436" i="1"/>
  <c r="U436" i="1" a="1"/>
  <c r="U436" i="1" s="1"/>
  <c r="X436" i="1"/>
  <c r="Y436" i="1"/>
  <c r="Z436" i="1"/>
  <c r="AA436" i="1"/>
  <c r="AB436" i="1"/>
  <c r="AC436" i="1"/>
  <c r="AD436" i="1"/>
  <c r="K436" i="1" a="1"/>
  <c r="K436" i="1" s="1"/>
  <c r="P436" i="1"/>
  <c r="R436" i="1"/>
  <c r="S436" i="1"/>
  <c r="T436" i="1"/>
  <c r="A436" i="1" a="1"/>
  <c r="A436" i="1" s="1"/>
  <c r="D436" i="1"/>
  <c r="E436" i="1"/>
  <c r="F436" i="1"/>
  <c r="G436" i="1"/>
  <c r="I436" i="1"/>
  <c r="AE435" i="1" a="1"/>
  <c r="AE435" i="1" s="1"/>
  <c r="U435" i="1" a="1"/>
  <c r="U435" i="1" s="1"/>
  <c r="X435" i="1"/>
  <c r="Y435" i="1"/>
  <c r="Z435" i="1"/>
  <c r="AA435" i="1"/>
  <c r="AB435" i="1"/>
  <c r="AC435" i="1"/>
  <c r="AD435" i="1"/>
  <c r="K435" i="1" a="1"/>
  <c r="K435" i="1" s="1"/>
  <c r="Q435" i="1"/>
  <c r="R435" i="1"/>
  <c r="T435" i="1"/>
  <c r="A435" i="1" a="1"/>
  <c r="A435" i="1" s="1"/>
  <c r="AE434" i="1" a="1"/>
  <c r="AE434" i="1" s="1"/>
  <c r="U434" i="1" a="1"/>
  <c r="U434" i="1" s="1"/>
  <c r="K434" i="1" a="1"/>
  <c r="K434" i="1" s="1"/>
  <c r="R434" i="1"/>
  <c r="S434" i="1"/>
  <c r="A434" i="1" a="1"/>
  <c r="A434" i="1" s="1"/>
  <c r="AE433" i="1" a="1"/>
  <c r="AE433" i="1" s="1"/>
  <c r="AH433" i="1"/>
  <c r="U433" i="1" a="1"/>
  <c r="U433" i="1" s="1"/>
  <c r="W433" i="1"/>
  <c r="AA433" i="1"/>
  <c r="AB433" i="1"/>
  <c r="AC433" i="1"/>
  <c r="AD433" i="1"/>
  <c r="K433" i="1" a="1"/>
  <c r="K433" i="1" s="1"/>
  <c r="P433" i="1"/>
  <c r="R433" i="1"/>
  <c r="A433" i="1" a="1"/>
  <c r="A433" i="1" s="1"/>
  <c r="D433" i="1"/>
  <c r="E433" i="1"/>
  <c r="G433" i="1"/>
  <c r="H433" i="1"/>
  <c r="I433" i="1"/>
  <c r="J433" i="1"/>
  <c r="AE432" i="1" a="1"/>
  <c r="AE432" i="1" s="1"/>
  <c r="U432" i="1" a="1"/>
  <c r="U432" i="1" s="1"/>
  <c r="AA432" i="1"/>
  <c r="AB432" i="1"/>
  <c r="AC432" i="1"/>
  <c r="AD432" i="1"/>
  <c r="K432" i="1" a="1"/>
  <c r="K432" i="1" s="1"/>
  <c r="A432" i="1" a="1"/>
  <c r="A432" i="1" s="1"/>
  <c r="E432" i="1"/>
  <c r="G432" i="1"/>
  <c r="H432" i="1"/>
  <c r="I432" i="1"/>
  <c r="J432" i="1"/>
  <c r="AE431" i="1" a="1"/>
  <c r="AE431" i="1" s="1"/>
  <c r="U431" i="1" a="1"/>
  <c r="U431" i="1" s="1"/>
  <c r="AB431" i="1"/>
  <c r="AC431" i="1"/>
  <c r="AD431" i="1"/>
  <c r="K431" i="1" a="1"/>
  <c r="K431" i="1" s="1"/>
  <c r="N431" i="1"/>
  <c r="P431" i="1"/>
  <c r="A431" i="1" a="1"/>
  <c r="A431" i="1" s="1"/>
  <c r="J431" i="1"/>
  <c r="AE430" i="1" a="1"/>
  <c r="AE430" i="1" s="1"/>
  <c r="U430" i="1" a="1"/>
  <c r="U430" i="1" s="1"/>
  <c r="K430" i="1" a="1"/>
  <c r="K430" i="1" s="1"/>
  <c r="O430" i="1"/>
  <c r="P430" i="1"/>
  <c r="Q430" i="1"/>
  <c r="R430" i="1"/>
  <c r="S430" i="1"/>
  <c r="T430" i="1"/>
  <c r="A430" i="1" a="1"/>
  <c r="A430" i="1" s="1"/>
  <c r="D430" i="1"/>
  <c r="AE429" i="1" a="1"/>
  <c r="AE429" i="1" s="1"/>
  <c r="AG429" i="1"/>
  <c r="AH429" i="1"/>
  <c r="U429" i="1" a="1"/>
  <c r="U429" i="1" s="1"/>
  <c r="X429" i="1"/>
  <c r="K429" i="1" a="1"/>
  <c r="K429" i="1" s="1"/>
  <c r="O429" i="1"/>
  <c r="P429" i="1"/>
  <c r="Q429" i="1"/>
  <c r="R429" i="1"/>
  <c r="S429" i="1"/>
  <c r="T429" i="1"/>
  <c r="A429" i="1" a="1"/>
  <c r="A429" i="1" s="1"/>
  <c r="I429" i="1"/>
  <c r="J429" i="1"/>
  <c r="AE428" i="1" a="1"/>
  <c r="AE428" i="1" s="1"/>
  <c r="U428" i="1" a="1"/>
  <c r="U428" i="1" s="1"/>
  <c r="W428" i="1"/>
  <c r="X428" i="1"/>
  <c r="Y428" i="1"/>
  <c r="K428" i="1" a="1"/>
  <c r="K428" i="1" s="1"/>
  <c r="Q428" i="1"/>
  <c r="R428" i="1"/>
  <c r="S428" i="1"/>
  <c r="T428" i="1"/>
  <c r="A428" i="1" a="1"/>
  <c r="A428" i="1" s="1"/>
  <c r="AE427" i="1" a="1"/>
  <c r="AE427" i="1" s="1"/>
  <c r="AH427" i="1"/>
  <c r="U427" i="1" a="1"/>
  <c r="U427" i="1" s="1"/>
  <c r="W427" i="1"/>
  <c r="X427" i="1"/>
  <c r="Y427" i="1"/>
  <c r="Z427" i="1"/>
  <c r="AA427" i="1"/>
  <c r="AC427" i="1"/>
  <c r="K427" i="1" a="1"/>
  <c r="K427" i="1" s="1"/>
  <c r="N427" i="1"/>
  <c r="O427" i="1"/>
  <c r="P427" i="1"/>
  <c r="Q427" i="1"/>
  <c r="R427" i="1"/>
  <c r="S427" i="1"/>
  <c r="T427" i="1"/>
  <c r="A427" i="1" a="1"/>
  <c r="A427" i="1" s="1"/>
  <c r="AE426" i="1" a="1"/>
  <c r="AE426" i="1" s="1"/>
  <c r="U426" i="1" a="1"/>
  <c r="U426" i="1" s="1"/>
  <c r="Y426" i="1"/>
  <c r="Z426" i="1"/>
  <c r="AA426" i="1"/>
  <c r="AB426" i="1"/>
  <c r="AC426" i="1"/>
  <c r="K426" i="1" a="1"/>
  <c r="K426" i="1" s="1"/>
  <c r="R426" i="1"/>
  <c r="S426" i="1"/>
  <c r="T426" i="1"/>
  <c r="A426" i="1" a="1"/>
  <c r="A426" i="1" s="1"/>
  <c r="F426" i="1"/>
  <c r="H426" i="1"/>
  <c r="AE425" i="1" a="1"/>
  <c r="AE425" i="1" s="1"/>
  <c r="AF425" i="1"/>
  <c r="U425" i="1" a="1"/>
  <c r="U425" i="1" s="1"/>
  <c r="V425" i="1"/>
  <c r="W425" i="1"/>
  <c r="X425" i="1"/>
  <c r="K425" i="1" a="1"/>
  <c r="K425" i="1" s="1"/>
  <c r="N425" i="1"/>
  <c r="O425" i="1"/>
  <c r="P425" i="1"/>
  <c r="Q425" i="1"/>
  <c r="R425" i="1"/>
  <c r="S425" i="1"/>
  <c r="A425" i="1" a="1"/>
  <c r="A425" i="1" s="1"/>
  <c r="F425" i="1"/>
  <c r="G425" i="1"/>
  <c r="H425" i="1"/>
  <c r="I425" i="1"/>
  <c r="J425" i="1"/>
  <c r="AE424" i="1" a="1"/>
  <c r="AE424" i="1" s="1"/>
  <c r="AG424" i="1"/>
  <c r="AH424" i="1"/>
  <c r="U424" i="1" a="1"/>
  <c r="U424" i="1" s="1"/>
  <c r="K424" i="1" a="1"/>
  <c r="K424" i="1" s="1"/>
  <c r="R424" i="1"/>
  <c r="S424" i="1"/>
  <c r="T424" i="1"/>
  <c r="A424" i="1" a="1"/>
  <c r="A424" i="1" s="1"/>
  <c r="AE423" i="1" a="1"/>
  <c r="AE423" i="1" s="1"/>
  <c r="AF423" i="1"/>
  <c r="AH423" i="1"/>
  <c r="U423" i="1" a="1"/>
  <c r="U423" i="1" s="1"/>
  <c r="X423" i="1"/>
  <c r="Y423" i="1"/>
  <c r="Z423" i="1"/>
  <c r="K423" i="1" a="1"/>
  <c r="K423" i="1" s="1"/>
  <c r="O423" i="1"/>
  <c r="P423" i="1"/>
  <c r="Q423" i="1"/>
  <c r="R423" i="1"/>
  <c r="S423" i="1"/>
  <c r="T423" i="1"/>
  <c r="A423" i="1" a="1"/>
  <c r="A423" i="1" s="1"/>
  <c r="G423" i="1"/>
  <c r="AE422" i="1" a="1"/>
  <c r="AE422" i="1" s="1"/>
  <c r="AH422" i="1"/>
  <c r="U422" i="1" a="1"/>
  <c r="U422" i="1" s="1"/>
  <c r="W422" i="1"/>
  <c r="X422" i="1"/>
  <c r="Y422" i="1"/>
  <c r="Z422" i="1"/>
  <c r="AA422" i="1"/>
  <c r="AC422" i="1"/>
  <c r="K422" i="1" a="1"/>
  <c r="K422" i="1" s="1"/>
  <c r="P422" i="1"/>
  <c r="Q422" i="1"/>
  <c r="R422" i="1"/>
  <c r="S422" i="1"/>
  <c r="T422" i="1"/>
  <c r="A422" i="1" a="1"/>
  <c r="A422" i="1" s="1"/>
  <c r="E422" i="1"/>
  <c r="AE421" i="1" a="1"/>
  <c r="AE421" i="1" s="1"/>
  <c r="AH421" i="1"/>
  <c r="U421" i="1" a="1"/>
  <c r="U421" i="1" s="1"/>
  <c r="Y421" i="1"/>
  <c r="K421" i="1" a="1"/>
  <c r="K421" i="1" s="1"/>
  <c r="Q421" i="1"/>
  <c r="R421" i="1"/>
  <c r="S421" i="1"/>
  <c r="T421" i="1"/>
  <c r="A421" i="1" a="1"/>
  <c r="A421" i="1" s="1"/>
  <c r="AE420" i="1" a="1"/>
  <c r="AE420" i="1" s="1"/>
  <c r="AH420" i="1"/>
  <c r="U420" i="1" a="1"/>
  <c r="U420" i="1" s="1"/>
  <c r="Z420" i="1"/>
  <c r="K420" i="1" a="1"/>
  <c r="K420" i="1" s="1"/>
  <c r="N420" i="1"/>
  <c r="O420" i="1"/>
  <c r="P420" i="1"/>
  <c r="Q420" i="1"/>
  <c r="R420" i="1"/>
  <c r="S420" i="1"/>
  <c r="T420" i="1"/>
  <c r="A420" i="1" a="1"/>
  <c r="A420" i="1" s="1"/>
  <c r="AE419" i="1" a="1"/>
  <c r="AE419" i="1" s="1"/>
  <c r="AH419" i="1"/>
  <c r="U419" i="1" a="1"/>
  <c r="U419" i="1" s="1"/>
  <c r="Y419" i="1"/>
  <c r="K419" i="1" a="1"/>
  <c r="K419" i="1" s="1"/>
  <c r="Q419" i="1"/>
  <c r="R419" i="1"/>
  <c r="S419" i="1"/>
  <c r="T419" i="1"/>
  <c r="A419" i="1" a="1"/>
  <c r="A419" i="1" s="1"/>
  <c r="AE418" i="1" a="1"/>
  <c r="AE418" i="1" s="1"/>
  <c r="U418" i="1" a="1"/>
  <c r="U418" i="1" s="1"/>
  <c r="AA418" i="1"/>
  <c r="AB418" i="1"/>
  <c r="AC418" i="1"/>
  <c r="AD418" i="1"/>
  <c r="K418" i="1" a="1"/>
  <c r="K418" i="1" s="1"/>
  <c r="O418" i="1"/>
  <c r="S418" i="1"/>
  <c r="T418" i="1"/>
  <c r="A418" i="1" a="1"/>
  <c r="A418" i="1" s="1"/>
  <c r="H418" i="1"/>
  <c r="I418" i="1"/>
  <c r="J418" i="1"/>
  <c r="AE417" i="1" a="1"/>
  <c r="AE417" i="1" s="1"/>
  <c r="U417" i="1" a="1"/>
  <c r="U417" i="1" s="1"/>
  <c r="X417" i="1"/>
  <c r="Z417" i="1"/>
  <c r="AA417" i="1"/>
  <c r="AB417" i="1"/>
  <c r="AC417" i="1"/>
  <c r="AD417" i="1"/>
  <c r="K417" i="1" a="1"/>
  <c r="K417" i="1" s="1"/>
  <c r="Q417" i="1"/>
  <c r="A417" i="1" a="1"/>
  <c r="A417" i="1" s="1"/>
  <c r="D417" i="1"/>
  <c r="E417" i="1"/>
  <c r="F417" i="1"/>
  <c r="G417" i="1"/>
  <c r="H417" i="1"/>
  <c r="I417" i="1"/>
  <c r="J417" i="1"/>
  <c r="AE416" i="1" a="1"/>
  <c r="AE416" i="1" s="1"/>
  <c r="U416" i="1" a="1"/>
  <c r="U416" i="1" s="1"/>
  <c r="X416" i="1"/>
  <c r="AA416" i="1"/>
  <c r="AB416" i="1"/>
  <c r="AC416" i="1"/>
  <c r="AD416" i="1"/>
  <c r="K416" i="1" a="1"/>
  <c r="K416" i="1" s="1"/>
  <c r="S416" i="1"/>
  <c r="T416" i="1"/>
  <c r="A416" i="1" a="1"/>
  <c r="A416" i="1" s="1"/>
  <c r="G416" i="1"/>
  <c r="H416" i="1"/>
  <c r="I416" i="1"/>
  <c r="J416" i="1"/>
  <c r="AE415" i="1" a="1"/>
  <c r="AE415" i="1" s="1"/>
  <c r="U415" i="1" a="1"/>
  <c r="U415" i="1" s="1"/>
  <c r="Y415" i="1"/>
  <c r="AB415" i="1"/>
  <c r="AC415" i="1"/>
  <c r="AD415" i="1"/>
  <c r="K415" i="1" a="1"/>
  <c r="K415" i="1" s="1"/>
  <c r="A415" i="1" a="1"/>
  <c r="A415" i="1" s="1"/>
  <c r="E415" i="1"/>
  <c r="F415" i="1"/>
  <c r="G415" i="1"/>
  <c r="H415" i="1"/>
  <c r="I415" i="1"/>
  <c r="J415" i="1"/>
  <c r="AE414" i="1" a="1"/>
  <c r="AE414" i="1" s="1"/>
  <c r="U414" i="1" a="1"/>
  <c r="U414" i="1" s="1"/>
  <c r="X414" i="1"/>
  <c r="Z414" i="1"/>
  <c r="AC414" i="1"/>
  <c r="AD414" i="1"/>
  <c r="K414" i="1" a="1"/>
  <c r="K414" i="1" s="1"/>
  <c r="Q414" i="1"/>
  <c r="A414" i="1" a="1"/>
  <c r="A414" i="1" s="1"/>
  <c r="I414" i="1"/>
  <c r="J414" i="1"/>
  <c r="AE413" i="1" a="1"/>
  <c r="AE413" i="1" s="1"/>
  <c r="AG413" i="1"/>
  <c r="AH413" i="1"/>
  <c r="U413" i="1" a="1"/>
  <c r="U413" i="1" s="1"/>
  <c r="Z413" i="1"/>
  <c r="K413" i="1" a="1"/>
  <c r="K413" i="1" s="1"/>
  <c r="R413" i="1"/>
  <c r="S413" i="1"/>
  <c r="T413" i="1"/>
  <c r="A413" i="1" a="1"/>
  <c r="A413" i="1" s="1"/>
  <c r="AE412" i="1" a="1"/>
  <c r="AE412" i="1" s="1"/>
  <c r="AG412" i="1"/>
  <c r="AH412" i="1"/>
  <c r="U412" i="1" a="1"/>
  <c r="U412" i="1" s="1"/>
  <c r="AA412" i="1"/>
  <c r="K412" i="1" a="1"/>
  <c r="K412" i="1" s="1"/>
  <c r="O412" i="1"/>
  <c r="P412" i="1"/>
  <c r="Q412" i="1"/>
  <c r="R412" i="1"/>
  <c r="S412" i="1"/>
  <c r="A412" i="1" a="1"/>
  <c r="A412" i="1" s="1"/>
  <c r="AE411" i="1" a="1"/>
  <c r="AE411" i="1" s="1"/>
  <c r="AH411" i="1"/>
  <c r="U411" i="1" a="1"/>
  <c r="U411" i="1" s="1"/>
  <c r="AB411" i="1"/>
  <c r="K411" i="1" a="1"/>
  <c r="K411" i="1" s="1"/>
  <c r="P411" i="1"/>
  <c r="S411" i="1"/>
  <c r="T411" i="1"/>
  <c r="A411" i="1" a="1"/>
  <c r="A411" i="1" s="1"/>
  <c r="AE410" i="1" a="1"/>
  <c r="AE410" i="1" s="1"/>
  <c r="AH410" i="1"/>
  <c r="U410" i="1" a="1"/>
  <c r="U410" i="1" s="1"/>
  <c r="Z410" i="1"/>
  <c r="K410" i="1" a="1"/>
  <c r="K410" i="1" s="1"/>
  <c r="R410" i="1"/>
  <c r="S410" i="1"/>
  <c r="T410" i="1"/>
  <c r="A410" i="1" a="1"/>
  <c r="A410" i="1" s="1"/>
  <c r="AE409" i="1" a="1"/>
  <c r="AE409" i="1" s="1"/>
  <c r="U409" i="1" a="1"/>
  <c r="U409" i="1" s="1"/>
  <c r="V409" i="1"/>
  <c r="W409" i="1"/>
  <c r="X409" i="1"/>
  <c r="Y409" i="1"/>
  <c r="Z409" i="1"/>
  <c r="AA409" i="1"/>
  <c r="AB409" i="1"/>
  <c r="AC409" i="1"/>
  <c r="K409" i="1" a="1"/>
  <c r="K409" i="1" s="1"/>
  <c r="A409" i="1" a="1"/>
  <c r="A409" i="1" s="1"/>
  <c r="D409" i="1"/>
  <c r="E409" i="1"/>
  <c r="F409" i="1"/>
  <c r="G409" i="1"/>
  <c r="AE408" i="1" a="1"/>
  <c r="AE408" i="1" s="1"/>
  <c r="U408" i="1" a="1"/>
  <c r="U408" i="1" s="1"/>
  <c r="X408" i="1"/>
  <c r="Y408" i="1"/>
  <c r="Z408" i="1"/>
  <c r="AA408" i="1"/>
  <c r="AB408" i="1"/>
  <c r="AC408" i="1"/>
  <c r="AD408" i="1"/>
  <c r="K408" i="1" a="1"/>
  <c r="K408" i="1" s="1"/>
  <c r="P408" i="1"/>
  <c r="T408" i="1"/>
  <c r="A408" i="1" a="1"/>
  <c r="A408" i="1" s="1"/>
  <c r="D408" i="1"/>
  <c r="E408" i="1"/>
  <c r="F408" i="1"/>
  <c r="AE407" i="1" a="1"/>
  <c r="AE407" i="1" s="1"/>
  <c r="AH407" i="1"/>
  <c r="U407" i="1" a="1"/>
  <c r="U407" i="1" s="1"/>
  <c r="AB407" i="1"/>
  <c r="AC407" i="1"/>
  <c r="AD407" i="1"/>
  <c r="K407" i="1" a="1"/>
  <c r="K407" i="1" s="1"/>
  <c r="A407" i="1" a="1"/>
  <c r="A407" i="1" s="1"/>
  <c r="AE406" i="1" a="1"/>
  <c r="AE406" i="1" s="1"/>
  <c r="U406" i="1" a="1"/>
  <c r="U406" i="1" s="1"/>
  <c r="W406" i="1"/>
  <c r="X406" i="1"/>
  <c r="Y406" i="1"/>
  <c r="K406" i="1" a="1"/>
  <c r="K406" i="1" s="1"/>
  <c r="Q406" i="1"/>
  <c r="R406" i="1"/>
  <c r="S406" i="1"/>
  <c r="T406" i="1"/>
  <c r="A406" i="1" a="1"/>
  <c r="A406" i="1" s="1"/>
  <c r="D406" i="1"/>
  <c r="AE405" i="1" a="1"/>
  <c r="AE405" i="1" s="1"/>
  <c r="AH405" i="1"/>
  <c r="U405" i="1" a="1"/>
  <c r="U405" i="1" s="1"/>
  <c r="K405" i="1" a="1"/>
  <c r="K405" i="1" s="1"/>
  <c r="N405" i="1"/>
  <c r="O405" i="1"/>
  <c r="P405" i="1"/>
  <c r="Q405" i="1"/>
  <c r="R405" i="1"/>
  <c r="S405" i="1"/>
  <c r="T405" i="1"/>
  <c r="A405" i="1" a="1"/>
  <c r="A405" i="1" s="1"/>
  <c r="AE404" i="1" a="1"/>
  <c r="AE404" i="1" s="1"/>
  <c r="U404" i="1" a="1"/>
  <c r="U404" i="1" s="1"/>
  <c r="K404" i="1" a="1"/>
  <c r="K404" i="1" s="1"/>
  <c r="N404" i="1"/>
  <c r="O404" i="1"/>
  <c r="P404" i="1"/>
  <c r="Q404" i="1"/>
  <c r="R404" i="1"/>
  <c r="S404" i="1"/>
  <c r="A404" i="1" a="1"/>
  <c r="A404" i="1" s="1"/>
  <c r="I404" i="1"/>
  <c r="J404" i="1"/>
  <c r="AE403" i="1" a="1"/>
  <c r="AE403" i="1" s="1"/>
  <c r="U403" i="1" a="1"/>
  <c r="U403" i="1" s="1"/>
  <c r="AB403" i="1"/>
  <c r="AC403" i="1"/>
  <c r="AD403" i="1"/>
  <c r="K403" i="1" a="1"/>
  <c r="K403" i="1" s="1"/>
  <c r="A403" i="1" a="1"/>
  <c r="A403" i="1" s="1"/>
  <c r="D403" i="1"/>
  <c r="AE402" i="1" a="1"/>
  <c r="AE402" i="1" s="1"/>
  <c r="AF402" i="1"/>
  <c r="AG402" i="1"/>
  <c r="AH402" i="1"/>
  <c r="U402" i="1" a="1"/>
  <c r="U402" i="1" s="1"/>
  <c r="K402" i="1" a="1"/>
  <c r="K402" i="1" s="1"/>
  <c r="P402" i="1"/>
  <c r="A402" i="1" a="1"/>
  <c r="A402" i="1" s="1"/>
  <c r="F402" i="1"/>
  <c r="G402" i="1"/>
  <c r="H402" i="1"/>
  <c r="I402" i="1"/>
  <c r="J402" i="1"/>
  <c r="AE401" i="1" a="1"/>
  <c r="AE401" i="1" s="1"/>
  <c r="U401" i="1" a="1"/>
  <c r="U401" i="1" s="1"/>
  <c r="X401" i="1"/>
  <c r="Z401" i="1"/>
  <c r="AA401" i="1"/>
  <c r="AB401" i="1"/>
  <c r="AC401" i="1"/>
  <c r="AD401" i="1"/>
  <c r="K401" i="1" a="1"/>
  <c r="K401" i="1" s="1"/>
  <c r="R401" i="1"/>
  <c r="A401" i="1" a="1"/>
  <c r="A401" i="1" s="1"/>
  <c r="AE400" i="1" a="1"/>
  <c r="AE400" i="1" s="1"/>
  <c r="U400" i="1" a="1"/>
  <c r="U400" i="1" s="1"/>
  <c r="W400" i="1"/>
  <c r="X400" i="1"/>
  <c r="Y400" i="1"/>
  <c r="Z400" i="1"/>
  <c r="AA400" i="1"/>
  <c r="AB400" i="1"/>
  <c r="K400" i="1" a="1"/>
  <c r="K400" i="1" s="1"/>
  <c r="R400" i="1"/>
  <c r="S400" i="1"/>
  <c r="T400" i="1"/>
  <c r="A400" i="1" a="1"/>
  <c r="A400" i="1" s="1"/>
  <c r="G400" i="1"/>
  <c r="AE399" i="1" a="1"/>
  <c r="AE399" i="1" s="1"/>
  <c r="AG399" i="1"/>
  <c r="U399" i="1" a="1"/>
  <c r="U399" i="1" s="1"/>
  <c r="X399" i="1"/>
  <c r="Y399" i="1"/>
  <c r="Z399" i="1"/>
  <c r="AA399" i="1"/>
  <c r="K399" i="1" a="1"/>
  <c r="K399" i="1" s="1"/>
  <c r="O399" i="1"/>
  <c r="P399" i="1"/>
  <c r="Q399" i="1"/>
  <c r="R399" i="1"/>
  <c r="S399" i="1"/>
  <c r="T399" i="1"/>
  <c r="A399" i="1" a="1"/>
  <c r="A399" i="1" s="1"/>
  <c r="H399" i="1"/>
  <c r="AE398" i="1" a="1"/>
  <c r="AE398" i="1" s="1"/>
  <c r="U398" i="1" a="1"/>
  <c r="U398" i="1" s="1"/>
  <c r="Y398" i="1"/>
  <c r="Z398" i="1"/>
  <c r="AA398" i="1"/>
  <c r="AB398" i="1"/>
  <c r="AC398" i="1"/>
  <c r="AD398" i="1"/>
  <c r="K398" i="1" a="1"/>
  <c r="K398" i="1" s="1"/>
  <c r="R398" i="1"/>
  <c r="T398" i="1"/>
  <c r="A398" i="1" a="1"/>
  <c r="A398" i="1" s="1"/>
  <c r="H398" i="1"/>
  <c r="J398" i="1"/>
  <c r="AE397" i="1" a="1"/>
  <c r="AE397" i="1" s="1"/>
  <c r="U397" i="1" a="1"/>
  <c r="U397" i="1" s="1"/>
  <c r="Y397" i="1"/>
  <c r="K397" i="1" a="1"/>
  <c r="K397" i="1" s="1"/>
  <c r="N397" i="1"/>
  <c r="O397" i="1"/>
  <c r="P397" i="1"/>
  <c r="Q397" i="1"/>
  <c r="R397" i="1"/>
  <c r="S397" i="1"/>
  <c r="A397" i="1" a="1"/>
  <c r="A397" i="1" s="1"/>
  <c r="G397" i="1"/>
  <c r="I397" i="1"/>
  <c r="J397" i="1"/>
  <c r="AE396" i="1" a="1"/>
  <c r="AE396" i="1" s="1"/>
  <c r="AH396" i="1"/>
  <c r="U396" i="1" a="1"/>
  <c r="U396" i="1" s="1"/>
  <c r="W396" i="1"/>
  <c r="X396" i="1"/>
  <c r="Y396" i="1"/>
  <c r="K396" i="1" a="1"/>
  <c r="K396" i="1" s="1"/>
  <c r="P396" i="1"/>
  <c r="Q396" i="1"/>
  <c r="R396" i="1"/>
  <c r="S396" i="1"/>
  <c r="T396" i="1"/>
  <c r="A396" i="1" a="1"/>
  <c r="A396" i="1" s="1"/>
  <c r="I396" i="1"/>
  <c r="J396" i="1"/>
  <c r="AE395" i="1" a="1"/>
  <c r="AE395" i="1" s="1"/>
  <c r="AH395" i="1"/>
  <c r="U395" i="1" a="1"/>
  <c r="U395" i="1" s="1"/>
  <c r="Z395" i="1"/>
  <c r="AB395" i="1"/>
  <c r="K395" i="1" a="1"/>
  <c r="K395" i="1" s="1"/>
  <c r="Q395" i="1"/>
  <c r="R395" i="1"/>
  <c r="S395" i="1"/>
  <c r="T395" i="1"/>
  <c r="A395" i="1" a="1"/>
  <c r="A395" i="1" s="1"/>
  <c r="AE394" i="1" a="1"/>
  <c r="AE394" i="1" s="1"/>
  <c r="U394" i="1" a="1"/>
  <c r="U394" i="1" s="1"/>
  <c r="Y394" i="1"/>
  <c r="Z394" i="1"/>
  <c r="AA394" i="1"/>
  <c r="AB394" i="1"/>
  <c r="AC394" i="1"/>
  <c r="AD394" i="1"/>
  <c r="K394" i="1" a="1"/>
  <c r="K394" i="1" s="1"/>
  <c r="A394" i="1" a="1"/>
  <c r="A394" i="1" s="1"/>
  <c r="F394" i="1"/>
  <c r="G394" i="1"/>
  <c r="H394" i="1"/>
  <c r="I394" i="1"/>
  <c r="AE393" i="1" a="1"/>
  <c r="AE393" i="1" s="1"/>
  <c r="U393" i="1" a="1"/>
  <c r="U393" i="1" s="1"/>
  <c r="X393" i="1"/>
  <c r="Y393" i="1"/>
  <c r="Z393" i="1"/>
  <c r="AA393" i="1"/>
  <c r="AB393" i="1"/>
  <c r="AC393" i="1"/>
  <c r="AD393" i="1"/>
  <c r="K393" i="1" a="1"/>
  <c r="K393" i="1" s="1"/>
  <c r="A393" i="1" a="1"/>
  <c r="A393" i="1" s="1"/>
  <c r="D393" i="1"/>
  <c r="E393" i="1"/>
  <c r="F393" i="1"/>
  <c r="G393" i="1"/>
  <c r="H393" i="1"/>
  <c r="I393" i="1"/>
  <c r="AE392" i="1" a="1"/>
  <c r="AE392" i="1" s="1"/>
  <c r="AH392" i="1"/>
  <c r="U392" i="1" a="1"/>
  <c r="U392" i="1" s="1"/>
  <c r="X392" i="1"/>
  <c r="Y392" i="1"/>
  <c r="Z392" i="1"/>
  <c r="AA392" i="1"/>
  <c r="AB392" i="1"/>
  <c r="AC392" i="1"/>
  <c r="AD392" i="1"/>
  <c r="K392" i="1" a="1"/>
  <c r="K392" i="1" s="1"/>
  <c r="A392" i="1" a="1"/>
  <c r="A392" i="1" s="1"/>
  <c r="H392" i="1"/>
  <c r="I392" i="1"/>
  <c r="J392" i="1"/>
  <c r="AE391" i="1" a="1"/>
  <c r="AE391" i="1" s="1"/>
  <c r="U391" i="1" a="1"/>
  <c r="U391" i="1" s="1"/>
  <c r="X391" i="1"/>
  <c r="Z391" i="1"/>
  <c r="AA391" i="1"/>
  <c r="AB391" i="1"/>
  <c r="AC391" i="1"/>
  <c r="AD391" i="1"/>
  <c r="K391" i="1" a="1"/>
  <c r="K391" i="1" s="1"/>
  <c r="R391" i="1"/>
  <c r="A391" i="1" a="1"/>
  <c r="A391" i="1" s="1"/>
  <c r="G391" i="1"/>
  <c r="H391" i="1"/>
  <c r="I391" i="1"/>
  <c r="J391" i="1"/>
  <c r="AE390" i="1" a="1"/>
  <c r="AE390" i="1" s="1"/>
  <c r="U390" i="1" a="1"/>
  <c r="U390" i="1" s="1"/>
  <c r="X390" i="1"/>
  <c r="Z390" i="1"/>
  <c r="AA390" i="1"/>
  <c r="AB390" i="1"/>
  <c r="AC390" i="1"/>
  <c r="AD390" i="1"/>
  <c r="K390" i="1" a="1"/>
  <c r="K390" i="1" s="1"/>
  <c r="P390" i="1"/>
  <c r="A390" i="1" a="1"/>
  <c r="A390" i="1" s="1"/>
  <c r="E390" i="1"/>
  <c r="F390" i="1"/>
  <c r="G390" i="1"/>
  <c r="H390" i="1"/>
  <c r="I390" i="1"/>
  <c r="AE389" i="1" a="1"/>
  <c r="AE389" i="1" s="1"/>
  <c r="U389" i="1" a="1"/>
  <c r="U389" i="1" s="1"/>
  <c r="Y389" i="1"/>
  <c r="Z389" i="1"/>
  <c r="AA389" i="1"/>
  <c r="AB389" i="1"/>
  <c r="AC389" i="1"/>
  <c r="AD389" i="1"/>
  <c r="K389" i="1" a="1"/>
  <c r="K389" i="1" s="1"/>
  <c r="A389" i="1" a="1"/>
  <c r="A389" i="1" s="1"/>
  <c r="G389" i="1"/>
  <c r="H389" i="1"/>
  <c r="I389" i="1"/>
  <c r="J389" i="1"/>
  <c r="AE388" i="1" a="1"/>
  <c r="AE388" i="1" s="1"/>
  <c r="U388" i="1" a="1"/>
  <c r="U388" i="1" s="1"/>
  <c r="AC388" i="1"/>
  <c r="AD388" i="1"/>
  <c r="K388" i="1" a="1"/>
  <c r="K388" i="1" s="1"/>
  <c r="T388" i="1"/>
  <c r="A388" i="1" a="1"/>
  <c r="A388" i="1" s="1"/>
  <c r="AE387" i="1" a="1"/>
  <c r="AE387" i="1" s="1"/>
  <c r="AG387" i="1"/>
  <c r="AH387" i="1"/>
  <c r="U387" i="1" a="1"/>
  <c r="U387" i="1" s="1"/>
  <c r="K387" i="1" a="1"/>
  <c r="K387" i="1" s="1"/>
  <c r="O387" i="1"/>
  <c r="P387" i="1"/>
  <c r="Q387" i="1"/>
  <c r="R387" i="1"/>
  <c r="S387" i="1"/>
  <c r="T387" i="1"/>
  <c r="A387" i="1" a="1"/>
  <c r="A387" i="1" s="1"/>
  <c r="AE386" i="1" a="1"/>
  <c r="AE386" i="1" s="1"/>
  <c r="AH386" i="1"/>
  <c r="U386" i="1" a="1"/>
  <c r="U386" i="1" s="1"/>
  <c r="X386" i="1"/>
  <c r="K386" i="1" a="1"/>
  <c r="K386" i="1" s="1"/>
  <c r="O386" i="1"/>
  <c r="P386" i="1"/>
  <c r="Q386" i="1"/>
  <c r="R386" i="1"/>
  <c r="S386" i="1"/>
  <c r="T386" i="1"/>
  <c r="A386" i="1" a="1"/>
  <c r="A386" i="1" s="1"/>
  <c r="AE385" i="1" a="1"/>
  <c r="AE385" i="1" s="1"/>
  <c r="AH385" i="1"/>
  <c r="U385" i="1" a="1"/>
  <c r="U385" i="1" s="1"/>
  <c r="AA385" i="1"/>
  <c r="AB385" i="1"/>
  <c r="AC385" i="1"/>
  <c r="K385" i="1" a="1"/>
  <c r="K385" i="1" s="1"/>
  <c r="Q385" i="1"/>
  <c r="S385" i="1"/>
  <c r="T385" i="1"/>
  <c r="A385" i="1" a="1"/>
  <c r="A385" i="1" s="1"/>
  <c r="D385" i="1"/>
  <c r="E385" i="1"/>
  <c r="F385" i="1"/>
  <c r="G385" i="1"/>
  <c r="H385" i="1"/>
  <c r="I385" i="1"/>
  <c r="AE384" i="1" a="1"/>
  <c r="AE384" i="1" s="1"/>
  <c r="U384" i="1" a="1"/>
  <c r="U384" i="1" s="1"/>
  <c r="Y384" i="1"/>
  <c r="Z384" i="1"/>
  <c r="AA384" i="1"/>
  <c r="AB384" i="1"/>
  <c r="AC384" i="1"/>
  <c r="K384" i="1" a="1"/>
  <c r="K384" i="1" s="1"/>
  <c r="A384" i="1" a="1"/>
  <c r="A384" i="1" s="1"/>
  <c r="C384" i="1"/>
  <c r="D384" i="1"/>
  <c r="E384" i="1"/>
  <c r="F384" i="1"/>
  <c r="G384" i="1"/>
  <c r="H384" i="1"/>
  <c r="I384" i="1"/>
  <c r="J384" i="1"/>
  <c r="AE383" i="1" a="1"/>
  <c r="AE383" i="1" s="1"/>
  <c r="U383" i="1" a="1"/>
  <c r="U383" i="1" s="1"/>
  <c r="Y383" i="1"/>
  <c r="AA383" i="1"/>
  <c r="AB383" i="1"/>
  <c r="AC383" i="1"/>
  <c r="AD383" i="1"/>
  <c r="K383" i="1" a="1"/>
  <c r="K383" i="1" s="1"/>
  <c r="A383" i="1" a="1"/>
  <c r="A383" i="1" s="1"/>
  <c r="H383" i="1"/>
  <c r="I383" i="1"/>
  <c r="J383" i="1"/>
  <c r="AE382" i="1" a="1"/>
  <c r="AE382" i="1" s="1"/>
  <c r="AH382" i="1"/>
  <c r="U382" i="1" a="1"/>
  <c r="U382" i="1" s="1"/>
  <c r="K382" i="1" a="1"/>
  <c r="K382" i="1" s="1"/>
  <c r="Q382" i="1"/>
  <c r="A382" i="1" a="1"/>
  <c r="A382" i="1" s="1"/>
  <c r="F382" i="1"/>
  <c r="G382" i="1"/>
  <c r="H382" i="1"/>
  <c r="I382" i="1"/>
  <c r="J382" i="1"/>
  <c r="AE381" i="1" a="1"/>
  <c r="AE381" i="1" s="1"/>
  <c r="AG381" i="1"/>
  <c r="AH381" i="1"/>
  <c r="U381" i="1" a="1"/>
  <c r="U381" i="1" s="1"/>
  <c r="Z381" i="1"/>
  <c r="AB381" i="1"/>
  <c r="AC381" i="1"/>
  <c r="AD381" i="1"/>
  <c r="K381" i="1" a="1"/>
  <c r="K381" i="1" s="1"/>
  <c r="N381" i="1"/>
  <c r="O381" i="1"/>
  <c r="P381" i="1"/>
  <c r="A381" i="1" a="1"/>
  <c r="A381" i="1" s="1"/>
  <c r="J381" i="1"/>
  <c r="AE380" i="1" a="1"/>
  <c r="AE380" i="1" s="1"/>
  <c r="AH380" i="1"/>
  <c r="U380" i="1" a="1"/>
  <c r="U380" i="1" s="1"/>
  <c r="Z380" i="1"/>
  <c r="K380" i="1" a="1"/>
  <c r="K380" i="1" s="1"/>
  <c r="R380" i="1"/>
  <c r="S380" i="1"/>
  <c r="T380" i="1"/>
  <c r="A380" i="1" a="1"/>
  <c r="A380" i="1" s="1"/>
  <c r="AE379" i="1" a="1"/>
  <c r="AE379" i="1" s="1"/>
  <c r="U379" i="1" a="1"/>
  <c r="U379" i="1" s="1"/>
  <c r="K379" i="1" a="1"/>
  <c r="K379" i="1" s="1"/>
  <c r="A379" i="1" a="1"/>
  <c r="A379" i="1" s="1"/>
  <c r="H379" i="1"/>
  <c r="I379" i="1"/>
  <c r="J379" i="1"/>
  <c r="AE378" i="1" a="1"/>
  <c r="AE378" i="1" s="1"/>
  <c r="U378" i="1" a="1"/>
  <c r="U378" i="1" s="1"/>
  <c r="Z378" i="1"/>
  <c r="AA378" i="1"/>
  <c r="AB378" i="1"/>
  <c r="AC378" i="1"/>
  <c r="AD378" i="1"/>
  <c r="K378" i="1" a="1"/>
  <c r="K378" i="1" s="1"/>
  <c r="N378" i="1"/>
  <c r="O378" i="1"/>
  <c r="A378" i="1" a="1"/>
  <c r="A378" i="1" s="1"/>
  <c r="G378" i="1"/>
  <c r="H378" i="1"/>
  <c r="I378" i="1"/>
  <c r="J378" i="1"/>
  <c r="AE377" i="1" a="1"/>
  <c r="AE377" i="1" s="1"/>
  <c r="U377" i="1" a="1"/>
  <c r="U377" i="1" s="1"/>
  <c r="AA377" i="1"/>
  <c r="AB377" i="1"/>
  <c r="AC377" i="1"/>
  <c r="AD377" i="1"/>
  <c r="K377" i="1" a="1"/>
  <c r="K377" i="1" s="1"/>
  <c r="O377" i="1"/>
  <c r="A377" i="1" a="1"/>
  <c r="A377" i="1" s="1"/>
  <c r="E377" i="1"/>
  <c r="F377" i="1"/>
  <c r="G377" i="1"/>
  <c r="H377" i="1"/>
  <c r="I377" i="1"/>
  <c r="J377" i="1"/>
  <c r="AE376" i="1" a="1"/>
  <c r="AE376" i="1" s="1"/>
  <c r="AG376" i="1"/>
  <c r="AH376" i="1"/>
  <c r="U376" i="1" a="1"/>
  <c r="U376" i="1" s="1"/>
  <c r="X376" i="1"/>
  <c r="Y376" i="1"/>
  <c r="Z376" i="1"/>
  <c r="AA376" i="1"/>
  <c r="AB376" i="1"/>
  <c r="AC376" i="1"/>
  <c r="AD376" i="1"/>
  <c r="K376" i="1" a="1"/>
  <c r="K376" i="1" s="1"/>
  <c r="A376" i="1" a="1"/>
  <c r="A376" i="1" s="1"/>
  <c r="F376" i="1"/>
  <c r="G376" i="1"/>
  <c r="H376" i="1"/>
  <c r="I376" i="1"/>
  <c r="AE375" i="1" a="1"/>
  <c r="AE375" i="1" s="1"/>
  <c r="U375" i="1" a="1"/>
  <c r="U375" i="1" s="1"/>
  <c r="X375" i="1"/>
  <c r="Y375" i="1"/>
  <c r="Z375" i="1"/>
  <c r="AA375" i="1"/>
  <c r="AB375" i="1"/>
  <c r="AC375" i="1"/>
  <c r="AD375" i="1"/>
  <c r="K375" i="1" a="1"/>
  <c r="K375" i="1" s="1"/>
  <c r="A375" i="1" a="1"/>
  <c r="A375" i="1" s="1"/>
  <c r="C375" i="1"/>
  <c r="D375" i="1"/>
  <c r="E375" i="1"/>
  <c r="F375" i="1"/>
  <c r="AE374" i="1" a="1"/>
  <c r="AE374" i="1" s="1"/>
  <c r="AG374" i="1"/>
  <c r="AH374" i="1"/>
  <c r="U374" i="1" a="1"/>
  <c r="U374" i="1" s="1"/>
  <c r="X374" i="1"/>
  <c r="Y374" i="1"/>
  <c r="Z374" i="1"/>
  <c r="AA374" i="1"/>
  <c r="AB374" i="1"/>
  <c r="AC374" i="1"/>
  <c r="K374" i="1" a="1"/>
  <c r="K374" i="1" s="1"/>
  <c r="R374" i="1"/>
  <c r="S374" i="1"/>
  <c r="T374" i="1"/>
  <c r="A374" i="1" a="1"/>
  <c r="A374" i="1" s="1"/>
  <c r="AE373" i="1" a="1"/>
  <c r="AE373" i="1" s="1"/>
  <c r="U373" i="1" a="1"/>
  <c r="U373" i="1" s="1"/>
  <c r="Z373" i="1"/>
  <c r="AA373" i="1"/>
  <c r="AB373" i="1"/>
  <c r="AC373" i="1"/>
  <c r="AD373" i="1"/>
  <c r="K373" i="1" a="1"/>
  <c r="K373" i="1" s="1"/>
  <c r="R373" i="1"/>
  <c r="S373" i="1"/>
  <c r="A373" i="1" a="1"/>
  <c r="A373" i="1" s="1"/>
  <c r="I373" i="1"/>
  <c r="J373" i="1"/>
  <c r="AE372" i="1" a="1"/>
  <c r="AE372" i="1" s="1"/>
  <c r="U372" i="1" a="1"/>
  <c r="U372" i="1" s="1"/>
  <c r="K372" i="1" a="1"/>
  <c r="K372" i="1" s="1"/>
  <c r="N372" i="1"/>
  <c r="O372" i="1"/>
  <c r="P372" i="1"/>
  <c r="Q372" i="1"/>
  <c r="R372" i="1"/>
  <c r="S372" i="1"/>
  <c r="A372" i="1" a="1"/>
  <c r="A372" i="1" s="1"/>
  <c r="J372" i="1"/>
  <c r="AE371" i="1" a="1"/>
  <c r="AE371" i="1" s="1"/>
  <c r="AG371" i="1"/>
  <c r="AH371" i="1"/>
  <c r="U371" i="1" a="1"/>
  <c r="U371" i="1" s="1"/>
  <c r="K371" i="1" a="1"/>
  <c r="K371" i="1" s="1"/>
  <c r="P371" i="1"/>
  <c r="Q371" i="1"/>
  <c r="R371" i="1"/>
  <c r="S371" i="1"/>
  <c r="T371" i="1"/>
  <c r="A371" i="1" a="1"/>
  <c r="A371" i="1" s="1"/>
  <c r="AE370" i="1" a="1"/>
  <c r="AE370" i="1" s="1"/>
  <c r="AH370" i="1"/>
  <c r="U370" i="1" a="1"/>
  <c r="U370" i="1" s="1"/>
  <c r="K370" i="1" a="1"/>
  <c r="K370" i="1" s="1"/>
  <c r="R370" i="1"/>
  <c r="S370" i="1"/>
  <c r="T370" i="1"/>
  <c r="A370" i="1" a="1"/>
  <c r="B370" i="1" s="1"/>
  <c r="G370" i="1"/>
  <c r="AE369" i="1" a="1"/>
  <c r="AE369" i="1" s="1"/>
  <c r="AG369" i="1"/>
  <c r="U369" i="1" a="1"/>
  <c r="U369" i="1" s="1"/>
  <c r="Y369" i="1"/>
  <c r="AA369" i="1"/>
  <c r="AB369" i="1"/>
  <c r="AC369" i="1"/>
  <c r="K369" i="1" a="1"/>
  <c r="K369" i="1" s="1"/>
  <c r="A369" i="1" a="1"/>
  <c r="A369" i="1" s="1"/>
  <c r="F369" i="1"/>
  <c r="G369" i="1"/>
  <c r="H369" i="1"/>
  <c r="I369" i="1"/>
  <c r="J369" i="1"/>
  <c r="AE368" i="1" a="1"/>
  <c r="AE368" i="1" s="1"/>
  <c r="U368" i="1" a="1"/>
  <c r="U368" i="1" s="1"/>
  <c r="K368" i="1" a="1"/>
  <c r="K368" i="1" s="1"/>
  <c r="P368" i="1"/>
  <c r="Q368" i="1"/>
  <c r="R368" i="1"/>
  <c r="A368" i="1" a="1"/>
  <c r="A368" i="1" s="1"/>
  <c r="AE367" i="1" a="1"/>
  <c r="AE367" i="1" s="1"/>
  <c r="AG367" i="1"/>
  <c r="U367" i="1" a="1"/>
  <c r="U367" i="1" s="1"/>
  <c r="X367" i="1"/>
  <c r="AA367" i="1"/>
  <c r="AB367" i="1"/>
  <c r="K367" i="1" a="1"/>
  <c r="K367" i="1" s="1"/>
  <c r="O367" i="1"/>
  <c r="Q367" i="1"/>
  <c r="R367" i="1"/>
  <c r="S367" i="1"/>
  <c r="T367" i="1"/>
  <c r="A367" i="1" a="1"/>
  <c r="A367" i="1" s="1"/>
  <c r="AE366" i="1" a="1"/>
  <c r="AE366" i="1" s="1"/>
  <c r="AH366" i="1"/>
  <c r="U366" i="1" a="1"/>
  <c r="U366" i="1" s="1"/>
  <c r="Z366" i="1"/>
  <c r="K366" i="1" a="1"/>
  <c r="K366" i="1" s="1"/>
  <c r="O366" i="1"/>
  <c r="P366" i="1"/>
  <c r="Q366" i="1"/>
  <c r="R366" i="1"/>
  <c r="S366" i="1"/>
  <c r="A366" i="1" a="1"/>
  <c r="A366" i="1" s="1"/>
  <c r="AE365" i="1" a="1"/>
  <c r="AE365" i="1" s="1"/>
  <c r="AG365" i="1"/>
  <c r="AH365" i="1"/>
  <c r="U365" i="1" a="1"/>
  <c r="U365" i="1" s="1"/>
  <c r="AA365" i="1"/>
  <c r="K365" i="1" a="1"/>
  <c r="K365" i="1" s="1"/>
  <c r="P365" i="1"/>
  <c r="R365" i="1"/>
  <c r="S365" i="1"/>
  <c r="T365" i="1"/>
  <c r="A365" i="1" a="1"/>
  <c r="A365" i="1" s="1"/>
  <c r="AE364" i="1" a="1"/>
  <c r="AE364" i="1" s="1"/>
  <c r="AG364" i="1"/>
  <c r="AH364" i="1"/>
  <c r="U364" i="1" a="1"/>
  <c r="U364" i="1" s="1"/>
  <c r="Z364" i="1"/>
  <c r="K364" i="1" a="1"/>
  <c r="K364" i="1" s="1"/>
  <c r="O364" i="1"/>
  <c r="P364" i="1"/>
  <c r="Q364" i="1"/>
  <c r="R364" i="1"/>
  <c r="S364" i="1"/>
  <c r="A364" i="1" a="1"/>
  <c r="A364" i="1" s="1"/>
  <c r="J364" i="1"/>
  <c r="AE363" i="1" a="1"/>
  <c r="AE363" i="1" s="1"/>
  <c r="AG363" i="1"/>
  <c r="AH363" i="1"/>
  <c r="U363" i="1" a="1"/>
  <c r="U363" i="1" s="1"/>
  <c r="X363" i="1"/>
  <c r="Y363" i="1"/>
  <c r="K363" i="1" a="1"/>
  <c r="K363" i="1" s="1"/>
  <c r="Q363" i="1"/>
  <c r="R363" i="1"/>
  <c r="S363" i="1"/>
  <c r="T363" i="1"/>
  <c r="A363" i="1" a="1"/>
  <c r="A363" i="1" s="1"/>
  <c r="D363" i="1"/>
  <c r="I363" i="1"/>
  <c r="J363" i="1"/>
  <c r="AE362" i="1" a="1"/>
  <c r="AE362" i="1" s="1"/>
  <c r="U362" i="1" a="1"/>
  <c r="U362" i="1" s="1"/>
  <c r="AB362" i="1"/>
  <c r="AC362" i="1"/>
  <c r="K362" i="1" a="1"/>
  <c r="K362" i="1" s="1"/>
  <c r="Q362" i="1"/>
  <c r="R362" i="1"/>
  <c r="S362" i="1"/>
  <c r="T362" i="1"/>
  <c r="A362" i="1" a="1"/>
  <c r="A362" i="1" s="1"/>
  <c r="AE361" i="1" a="1"/>
  <c r="AE361" i="1" s="1"/>
  <c r="U361" i="1" a="1"/>
  <c r="U361" i="1" s="1"/>
  <c r="Z361" i="1"/>
  <c r="AA361" i="1"/>
  <c r="AB361" i="1"/>
  <c r="AC361" i="1"/>
  <c r="AD361" i="1"/>
  <c r="K361" i="1" a="1"/>
  <c r="K361" i="1" s="1"/>
  <c r="P361" i="1"/>
  <c r="Q361" i="1"/>
  <c r="A361" i="1" a="1"/>
  <c r="A361" i="1" s="1"/>
  <c r="G361" i="1"/>
  <c r="H361" i="1"/>
  <c r="I361" i="1"/>
  <c r="J361" i="1"/>
  <c r="AE360" i="1" a="1"/>
  <c r="AE360" i="1" s="1"/>
  <c r="U360" i="1" a="1"/>
  <c r="U360" i="1" s="1"/>
  <c r="AB360" i="1"/>
  <c r="AC360" i="1"/>
  <c r="AD360" i="1"/>
  <c r="K360" i="1" a="1"/>
  <c r="K360" i="1" s="1"/>
  <c r="Q360" i="1"/>
  <c r="A360" i="1" a="1"/>
  <c r="A360" i="1" s="1"/>
  <c r="D360" i="1"/>
  <c r="F360" i="1"/>
  <c r="G360" i="1"/>
  <c r="H360" i="1"/>
  <c r="I360" i="1"/>
  <c r="J360" i="1"/>
  <c r="AE359" i="1" a="1"/>
  <c r="AE359" i="1" s="1"/>
  <c r="AG359" i="1"/>
  <c r="U359" i="1" a="1"/>
  <c r="U359" i="1" s="1"/>
  <c r="AA359" i="1"/>
  <c r="AB359" i="1"/>
  <c r="AC359" i="1"/>
  <c r="AD359" i="1"/>
  <c r="K359" i="1" a="1"/>
  <c r="K359" i="1" s="1"/>
  <c r="O359" i="1"/>
  <c r="A359" i="1" a="1"/>
  <c r="A359" i="1" s="1"/>
  <c r="G359" i="1"/>
  <c r="H359" i="1"/>
  <c r="I359" i="1"/>
  <c r="J359" i="1"/>
  <c r="AE358" i="1" a="1"/>
  <c r="AE358" i="1" s="1"/>
  <c r="U358" i="1" a="1"/>
  <c r="U358" i="1" s="1"/>
  <c r="AB358" i="1"/>
  <c r="AC358" i="1"/>
  <c r="AD358" i="1"/>
  <c r="K358" i="1" a="1"/>
  <c r="K358" i="1" s="1"/>
  <c r="Q358" i="1"/>
  <c r="A358" i="1" a="1"/>
  <c r="A358" i="1" s="1"/>
  <c r="F358" i="1"/>
  <c r="G358" i="1"/>
  <c r="H358" i="1"/>
  <c r="I358" i="1"/>
  <c r="J358" i="1"/>
  <c r="AE357" i="1" a="1"/>
  <c r="AE357" i="1" s="1"/>
  <c r="U357" i="1" a="1"/>
  <c r="U357" i="1" s="1"/>
  <c r="W357" i="1"/>
  <c r="Z357" i="1"/>
  <c r="AA357" i="1"/>
  <c r="AB357" i="1"/>
  <c r="AC357" i="1"/>
  <c r="AD357" i="1"/>
  <c r="K357" i="1" a="1"/>
  <c r="K357" i="1" s="1"/>
  <c r="P357" i="1"/>
  <c r="Q357" i="1"/>
  <c r="A357" i="1" a="1"/>
  <c r="A357" i="1" s="1"/>
  <c r="H357" i="1"/>
  <c r="I357" i="1"/>
  <c r="J357" i="1"/>
  <c r="AE356" i="1" a="1"/>
  <c r="AE356" i="1" s="1"/>
  <c r="U356" i="1" a="1"/>
  <c r="U356" i="1" s="1"/>
  <c r="AB356" i="1"/>
  <c r="AC356" i="1"/>
  <c r="AD356" i="1"/>
  <c r="K356" i="1" a="1"/>
  <c r="K356" i="1" s="1"/>
  <c r="O356" i="1"/>
  <c r="A356" i="1" a="1"/>
  <c r="A356" i="1" s="1"/>
  <c r="D356" i="1"/>
  <c r="E356" i="1"/>
  <c r="F356" i="1"/>
  <c r="G356" i="1"/>
  <c r="H356" i="1"/>
  <c r="J356" i="1"/>
  <c r="AE355" i="1" a="1"/>
  <c r="AE355" i="1" s="1"/>
  <c r="U355" i="1" a="1"/>
  <c r="U355" i="1" s="1"/>
  <c r="AB355" i="1"/>
  <c r="AC355" i="1"/>
  <c r="AD355" i="1"/>
  <c r="K355" i="1" a="1"/>
  <c r="K355" i="1" s="1"/>
  <c r="P355" i="1"/>
  <c r="A355" i="1" a="1"/>
  <c r="A355" i="1" s="1"/>
  <c r="I355" i="1"/>
  <c r="J355" i="1"/>
  <c r="AE354" i="1" a="1"/>
  <c r="AE354" i="1" s="1"/>
  <c r="U354" i="1" a="1"/>
  <c r="U354" i="1" s="1"/>
  <c r="K354" i="1" a="1"/>
  <c r="K354" i="1" s="1"/>
  <c r="A354" i="1" a="1"/>
  <c r="A354" i="1" s="1"/>
  <c r="AE353" i="1" a="1"/>
  <c r="AE353" i="1" s="1"/>
  <c r="AH353" i="1"/>
  <c r="U353" i="1" a="1"/>
  <c r="U353" i="1" s="1"/>
  <c r="Y353" i="1"/>
  <c r="K353" i="1" a="1"/>
  <c r="K353" i="1" s="1"/>
  <c r="O353" i="1"/>
  <c r="P353" i="1"/>
  <c r="Q353" i="1"/>
  <c r="R353" i="1"/>
  <c r="S353" i="1"/>
  <c r="T353" i="1"/>
  <c r="A353" i="1" a="1"/>
  <c r="A353" i="1" s="1"/>
  <c r="I353" i="1"/>
  <c r="AE352" i="1" a="1"/>
  <c r="AE352" i="1" s="1"/>
  <c r="AH352" i="1"/>
  <c r="U352" i="1" a="1"/>
  <c r="U352" i="1" s="1"/>
  <c r="K352" i="1" a="1"/>
  <c r="K352" i="1" s="1"/>
  <c r="M352" i="1"/>
  <c r="N352" i="1"/>
  <c r="O352" i="1"/>
  <c r="P352" i="1"/>
  <c r="Q352" i="1"/>
  <c r="R352" i="1"/>
  <c r="S352" i="1"/>
  <c r="T352" i="1"/>
  <c r="A352" i="1" a="1"/>
  <c r="A352" i="1" s="1"/>
  <c r="E352" i="1"/>
  <c r="H352" i="1"/>
  <c r="I352" i="1"/>
  <c r="J352" i="1"/>
  <c r="AE351" i="1" a="1"/>
  <c r="AE351" i="1" s="1"/>
  <c r="U351" i="1" a="1"/>
  <c r="U351" i="1" s="1"/>
  <c r="AB351" i="1"/>
  <c r="AC351" i="1"/>
  <c r="AD351" i="1"/>
  <c r="K351" i="1" a="1"/>
  <c r="K351" i="1" s="1"/>
  <c r="S351" i="1"/>
  <c r="A351" i="1" a="1"/>
  <c r="A351" i="1" s="1"/>
  <c r="J351" i="1"/>
  <c r="AE350" i="1" a="1"/>
  <c r="AE350" i="1" s="1"/>
  <c r="U350" i="1" a="1"/>
  <c r="U350" i="1" s="1"/>
  <c r="Y350" i="1"/>
  <c r="Z350" i="1"/>
  <c r="AA350" i="1"/>
  <c r="AB350" i="1"/>
  <c r="AC350" i="1"/>
  <c r="K350" i="1" a="1"/>
  <c r="K350" i="1" s="1"/>
  <c r="A350" i="1" a="1"/>
  <c r="A350" i="1" s="1"/>
  <c r="H350" i="1"/>
  <c r="I350" i="1"/>
  <c r="J350" i="1"/>
  <c r="AE349" i="1" a="1"/>
  <c r="AE349" i="1" s="1"/>
  <c r="AH349" i="1"/>
  <c r="U349" i="1" a="1"/>
  <c r="U349" i="1" s="1"/>
  <c r="AB349" i="1"/>
  <c r="K349" i="1" a="1"/>
  <c r="K349" i="1" s="1"/>
  <c r="Q349" i="1"/>
  <c r="S349" i="1"/>
  <c r="T349" i="1"/>
  <c r="A349" i="1" a="1"/>
  <c r="A349" i="1" s="1"/>
  <c r="F349" i="1"/>
  <c r="J349" i="1"/>
  <c r="AE348" i="1" a="1"/>
  <c r="AE348" i="1" s="1"/>
  <c r="U348" i="1" a="1"/>
  <c r="U348" i="1" s="1"/>
  <c r="K348" i="1" a="1"/>
  <c r="K348" i="1" s="1"/>
  <c r="R348" i="1"/>
  <c r="T348" i="1"/>
  <c r="A348" i="1" a="1"/>
  <c r="A348" i="1" s="1"/>
  <c r="AE347" i="1" a="1"/>
  <c r="AE347" i="1" s="1"/>
  <c r="U347" i="1" a="1"/>
  <c r="U347" i="1" s="1"/>
  <c r="AC347" i="1"/>
  <c r="AD347" i="1"/>
  <c r="K347" i="1" a="1"/>
  <c r="K347" i="1" s="1"/>
  <c r="Q347" i="1"/>
  <c r="R347" i="1"/>
  <c r="A347" i="1" a="1"/>
  <c r="A347" i="1" s="1"/>
  <c r="E347" i="1"/>
  <c r="G347" i="1"/>
  <c r="H347" i="1"/>
  <c r="I347" i="1"/>
  <c r="J347" i="1"/>
  <c r="AE346" i="1" a="1"/>
  <c r="AE346" i="1" s="1"/>
  <c r="AH346" i="1"/>
  <c r="U346" i="1" a="1"/>
  <c r="U346" i="1" s="1"/>
  <c r="AC346" i="1"/>
  <c r="AD346" i="1"/>
  <c r="K346" i="1" a="1"/>
  <c r="K346" i="1" s="1"/>
  <c r="N346" i="1"/>
  <c r="A346" i="1" a="1"/>
  <c r="A346" i="1" s="1"/>
  <c r="I346" i="1"/>
  <c r="AE345" i="1" a="1"/>
  <c r="AE345" i="1" s="1"/>
  <c r="AH345" i="1"/>
  <c r="U345" i="1" a="1"/>
  <c r="U345" i="1" s="1"/>
  <c r="AB345" i="1"/>
  <c r="AC345" i="1"/>
  <c r="AD345" i="1"/>
  <c r="K345" i="1" a="1"/>
  <c r="K345" i="1" s="1"/>
  <c r="A345" i="1" a="1"/>
  <c r="A345" i="1" s="1"/>
  <c r="F345" i="1"/>
  <c r="I345" i="1"/>
  <c r="J345" i="1"/>
  <c r="AE344" i="1" a="1"/>
  <c r="AE344" i="1" s="1"/>
  <c r="AH344" i="1"/>
  <c r="U344" i="1" a="1"/>
  <c r="U344" i="1" s="1"/>
  <c r="K344" i="1" a="1"/>
  <c r="K344" i="1" s="1"/>
  <c r="N344" i="1"/>
  <c r="O344" i="1"/>
  <c r="P344" i="1"/>
  <c r="A344" i="1" a="1"/>
  <c r="A344" i="1" s="1"/>
  <c r="G344" i="1"/>
  <c r="I344" i="1"/>
  <c r="J344" i="1"/>
  <c r="AE343" i="1" a="1"/>
  <c r="AE343" i="1" s="1"/>
  <c r="U343" i="1" a="1"/>
  <c r="U343" i="1" s="1"/>
  <c r="K343" i="1" a="1"/>
  <c r="K343" i="1" s="1"/>
  <c r="Q343" i="1"/>
  <c r="A343" i="1" a="1"/>
  <c r="A343" i="1" s="1"/>
  <c r="F343" i="1"/>
  <c r="I343" i="1"/>
  <c r="J343" i="1"/>
  <c r="AE342" i="1" a="1"/>
  <c r="AE342" i="1" s="1"/>
  <c r="AH342" i="1"/>
  <c r="U342" i="1" a="1"/>
  <c r="U342" i="1" s="1"/>
  <c r="K342" i="1" a="1"/>
  <c r="K342" i="1" s="1"/>
  <c r="N342" i="1"/>
  <c r="O342" i="1"/>
  <c r="A342" i="1" a="1"/>
  <c r="A342" i="1" s="1"/>
  <c r="E342" i="1"/>
  <c r="H342" i="1"/>
  <c r="I342" i="1"/>
  <c r="J342" i="1"/>
  <c r="AE341" i="1" a="1"/>
  <c r="AE341" i="1" s="1"/>
  <c r="AH341" i="1"/>
  <c r="U341" i="1" a="1"/>
  <c r="U341" i="1" s="1"/>
  <c r="K341" i="1" a="1"/>
  <c r="K341" i="1" s="1"/>
  <c r="R341" i="1"/>
  <c r="S341" i="1"/>
  <c r="T341" i="1"/>
  <c r="A341" i="1" a="1"/>
  <c r="A341" i="1" s="1"/>
  <c r="AE340" i="1" a="1"/>
  <c r="AE340" i="1" s="1"/>
  <c r="AG340" i="1"/>
  <c r="U340" i="1" a="1"/>
  <c r="U340" i="1" s="1"/>
  <c r="V340" i="1"/>
  <c r="W340" i="1"/>
  <c r="X340" i="1"/>
  <c r="Y340" i="1"/>
  <c r="Z340" i="1"/>
  <c r="AA340" i="1"/>
  <c r="K340" i="1" a="1"/>
  <c r="K340" i="1" s="1"/>
  <c r="P340" i="1"/>
  <c r="Q340" i="1"/>
  <c r="R340" i="1"/>
  <c r="S340" i="1"/>
  <c r="T340" i="1"/>
  <c r="A340" i="1" a="1"/>
  <c r="A340" i="1" s="1"/>
  <c r="AE339" i="1" a="1"/>
  <c r="AE339" i="1" s="1"/>
  <c r="AG339" i="1"/>
  <c r="U339" i="1" a="1"/>
  <c r="U339" i="1" s="1"/>
  <c r="X339" i="1"/>
  <c r="Y339" i="1"/>
  <c r="Z339" i="1"/>
  <c r="AA339" i="1"/>
  <c r="AB339" i="1"/>
  <c r="K339" i="1" a="1"/>
  <c r="K339" i="1" s="1"/>
  <c r="R339" i="1"/>
  <c r="S339" i="1"/>
  <c r="T339" i="1"/>
  <c r="A339" i="1" a="1"/>
  <c r="A339" i="1" s="1"/>
  <c r="F339" i="1"/>
  <c r="AE338" i="1" a="1"/>
  <c r="AE338" i="1" s="1"/>
  <c r="AG338" i="1"/>
  <c r="AH338" i="1"/>
  <c r="U338" i="1" a="1"/>
  <c r="U338" i="1" s="1"/>
  <c r="X338" i="1"/>
  <c r="Y338" i="1"/>
  <c r="Z338" i="1"/>
  <c r="AA338" i="1"/>
  <c r="AB338" i="1"/>
  <c r="AC338" i="1"/>
  <c r="AD338" i="1"/>
  <c r="K338" i="1" a="1"/>
  <c r="K338" i="1" s="1"/>
  <c r="A338" i="1" a="1"/>
  <c r="A338" i="1" s="1"/>
  <c r="E338" i="1"/>
  <c r="G338" i="1"/>
  <c r="AE337" i="1" a="1"/>
  <c r="AE337" i="1" s="1"/>
  <c r="U337" i="1" a="1"/>
  <c r="U337" i="1" s="1"/>
  <c r="AA337" i="1"/>
  <c r="AD337" i="1"/>
  <c r="K337" i="1" a="1"/>
  <c r="K337" i="1" s="1"/>
  <c r="S337" i="1"/>
  <c r="T337" i="1"/>
  <c r="A337" i="1" a="1"/>
  <c r="A337" i="1" s="1"/>
  <c r="G337" i="1"/>
  <c r="AE336" i="1" a="1"/>
  <c r="AE336" i="1" s="1"/>
  <c r="U336" i="1" a="1"/>
  <c r="U336" i="1" s="1"/>
  <c r="AC336" i="1"/>
  <c r="K336" i="1" a="1"/>
  <c r="K336" i="1" s="1"/>
  <c r="T336" i="1"/>
  <c r="A336" i="1" a="1"/>
  <c r="A336" i="1" s="1"/>
  <c r="AE335" i="1" a="1"/>
  <c r="AE335" i="1" s="1"/>
  <c r="AG335" i="1"/>
  <c r="U335" i="1" a="1"/>
  <c r="U335" i="1" s="1"/>
  <c r="W335" i="1"/>
  <c r="X335" i="1"/>
  <c r="Y335" i="1"/>
  <c r="Z335" i="1"/>
  <c r="AA335" i="1"/>
  <c r="K335" i="1" a="1"/>
  <c r="K335" i="1" s="1"/>
  <c r="O335" i="1"/>
  <c r="P335" i="1"/>
  <c r="Q335" i="1"/>
  <c r="R335" i="1"/>
  <c r="S335" i="1"/>
  <c r="T335" i="1"/>
  <c r="A335" i="1" a="1"/>
  <c r="A335" i="1" s="1"/>
  <c r="AE334" i="1" a="1"/>
  <c r="AE334" i="1" s="1"/>
  <c r="AG334" i="1"/>
  <c r="U334" i="1" a="1"/>
  <c r="U334" i="1" s="1"/>
  <c r="X334" i="1"/>
  <c r="K334" i="1" a="1"/>
  <c r="K334" i="1" s="1"/>
  <c r="N334" i="1"/>
  <c r="P334" i="1"/>
  <c r="Q334" i="1"/>
  <c r="A334" i="1" a="1"/>
  <c r="A334" i="1" s="1"/>
  <c r="H334" i="1"/>
  <c r="I334" i="1"/>
  <c r="J334" i="1"/>
  <c r="AE333" i="1" a="1"/>
  <c r="AE333" i="1" s="1"/>
  <c r="AH333" i="1"/>
  <c r="U333" i="1" a="1"/>
  <c r="U333" i="1" s="1"/>
  <c r="Y333" i="1"/>
  <c r="K333" i="1" a="1"/>
  <c r="K333" i="1" s="1"/>
  <c r="P333" i="1"/>
  <c r="Q333" i="1"/>
  <c r="R333" i="1"/>
  <c r="S333" i="1"/>
  <c r="T333" i="1"/>
  <c r="A333" i="1" a="1"/>
  <c r="A333" i="1" s="1"/>
  <c r="J333" i="1"/>
  <c r="AE332" i="1" a="1"/>
  <c r="AE332" i="1" s="1"/>
  <c r="U332" i="1" a="1"/>
  <c r="U332" i="1" s="1"/>
  <c r="X332" i="1"/>
  <c r="Y332" i="1"/>
  <c r="Z332" i="1"/>
  <c r="AA332" i="1"/>
  <c r="AB332" i="1"/>
  <c r="K332" i="1" a="1"/>
  <c r="K332" i="1" s="1"/>
  <c r="Q332" i="1"/>
  <c r="R332" i="1"/>
  <c r="S332" i="1"/>
  <c r="T332" i="1"/>
  <c r="A332" i="1" a="1"/>
  <c r="A332" i="1" s="1"/>
  <c r="AE331" i="1" a="1"/>
  <c r="AE331" i="1" s="1"/>
  <c r="AH331" i="1"/>
  <c r="U331" i="1" a="1"/>
  <c r="U331" i="1" s="1"/>
  <c r="AB331" i="1"/>
  <c r="K331" i="1" a="1"/>
  <c r="K331" i="1" s="1"/>
  <c r="S331" i="1"/>
  <c r="T331" i="1"/>
  <c r="A331" i="1" a="1"/>
  <c r="A331" i="1" s="1"/>
  <c r="AE330" i="1" a="1"/>
  <c r="AE330" i="1" s="1"/>
  <c r="AH330" i="1"/>
  <c r="U330" i="1" a="1"/>
  <c r="U330" i="1" s="1"/>
  <c r="X330" i="1"/>
  <c r="Y330" i="1"/>
  <c r="AA330" i="1"/>
  <c r="AB330" i="1"/>
  <c r="AC330" i="1"/>
  <c r="AD330" i="1"/>
  <c r="K330" i="1" a="1"/>
  <c r="K330" i="1" s="1"/>
  <c r="N330" i="1"/>
  <c r="A330" i="1" a="1"/>
  <c r="A330" i="1" s="1"/>
  <c r="G330" i="1"/>
  <c r="I330" i="1"/>
  <c r="AE329" i="1" a="1"/>
  <c r="AE329" i="1" s="1"/>
  <c r="U329" i="1" a="1"/>
  <c r="U329" i="1" s="1"/>
  <c r="Z329" i="1"/>
  <c r="AB329" i="1"/>
  <c r="AC329" i="1"/>
  <c r="AD329" i="1"/>
  <c r="K329" i="1" a="1"/>
  <c r="K329" i="1" s="1"/>
  <c r="N329" i="1"/>
  <c r="O329" i="1"/>
  <c r="A329" i="1" a="1"/>
  <c r="A329" i="1" s="1"/>
  <c r="G329" i="1"/>
  <c r="H329" i="1"/>
  <c r="I329" i="1"/>
  <c r="J329" i="1"/>
  <c r="AE328" i="1" a="1"/>
  <c r="AE328" i="1" s="1"/>
  <c r="U328" i="1" a="1"/>
  <c r="U328" i="1" s="1"/>
  <c r="Z328" i="1"/>
  <c r="AB328" i="1"/>
  <c r="AC328" i="1"/>
  <c r="AD328" i="1"/>
  <c r="K328" i="1" a="1"/>
  <c r="K328" i="1" s="1"/>
  <c r="A328" i="1" a="1"/>
  <c r="A328" i="1" s="1"/>
  <c r="AE327" i="1" a="1"/>
  <c r="AE327" i="1" s="1"/>
  <c r="U327" i="1" a="1"/>
  <c r="U327" i="1" s="1"/>
  <c r="Y327" i="1"/>
  <c r="AA327" i="1"/>
  <c r="AB327" i="1"/>
  <c r="AC327" i="1"/>
  <c r="AD327" i="1"/>
  <c r="K327" i="1" a="1"/>
  <c r="K327" i="1" s="1"/>
  <c r="A327" i="1" a="1"/>
  <c r="A327" i="1" s="1"/>
  <c r="D327" i="1"/>
  <c r="E327" i="1"/>
  <c r="F327" i="1"/>
  <c r="G327" i="1"/>
  <c r="H327" i="1"/>
  <c r="I327" i="1"/>
  <c r="AE326" i="1" a="1"/>
  <c r="AE326" i="1" s="1"/>
  <c r="U326" i="1" a="1"/>
  <c r="U326" i="1" s="1"/>
  <c r="AA326" i="1"/>
  <c r="AB326" i="1"/>
  <c r="K326" i="1" a="1"/>
  <c r="K326" i="1" s="1"/>
  <c r="S326" i="1"/>
  <c r="T326" i="1"/>
  <c r="A326" i="1" a="1"/>
  <c r="A326" i="1" s="1"/>
  <c r="AE325" i="1" a="1"/>
  <c r="AE325" i="1" s="1"/>
  <c r="AH325" i="1"/>
  <c r="U325" i="1" a="1"/>
  <c r="U325" i="1" s="1"/>
  <c r="W325" i="1"/>
  <c r="X325" i="1"/>
  <c r="Y325" i="1"/>
  <c r="Z325" i="1"/>
  <c r="AA325" i="1"/>
  <c r="AB325" i="1"/>
  <c r="AC325" i="1"/>
  <c r="AD325" i="1"/>
  <c r="K325" i="1" a="1"/>
  <c r="K325" i="1" s="1"/>
  <c r="T325" i="1"/>
  <c r="A325" i="1" a="1"/>
  <c r="A325" i="1" s="1"/>
  <c r="AE324" i="1" a="1"/>
  <c r="AE324" i="1" s="1"/>
  <c r="U324" i="1" a="1"/>
  <c r="U324" i="1" s="1"/>
  <c r="K324" i="1" a="1"/>
  <c r="K324" i="1" s="1"/>
  <c r="T324" i="1"/>
  <c r="A324" i="1" a="1"/>
  <c r="A324" i="1" s="1"/>
  <c r="AE323" i="1" a="1"/>
  <c r="AE323" i="1" s="1"/>
  <c r="AH323" i="1"/>
  <c r="U323" i="1" a="1"/>
  <c r="U323" i="1" s="1"/>
  <c r="X323" i="1"/>
  <c r="Z323" i="1"/>
  <c r="AA323" i="1"/>
  <c r="AB323" i="1"/>
  <c r="AC323" i="1"/>
  <c r="AD323" i="1"/>
  <c r="K323" i="1" a="1"/>
  <c r="K323" i="1" s="1"/>
  <c r="A323" i="1" a="1"/>
  <c r="A323" i="1" s="1"/>
  <c r="AE322" i="1" a="1"/>
  <c r="AE322" i="1" s="1"/>
  <c r="U322" i="1" a="1"/>
  <c r="U322" i="1" s="1"/>
  <c r="K322" i="1" a="1"/>
  <c r="K322" i="1" s="1"/>
  <c r="Q322" i="1"/>
  <c r="R322" i="1"/>
  <c r="S322" i="1"/>
  <c r="T322" i="1"/>
  <c r="A322" i="1" a="1"/>
  <c r="A322" i="1" s="1"/>
  <c r="AE321" i="1" a="1"/>
  <c r="AE321" i="1" s="1"/>
  <c r="AG321" i="1"/>
  <c r="AH321" i="1"/>
  <c r="U321" i="1" a="1"/>
  <c r="U321" i="1" s="1"/>
  <c r="K321" i="1" a="1"/>
  <c r="K321" i="1" s="1"/>
  <c r="A321" i="1" a="1"/>
  <c r="A321" i="1" s="1"/>
  <c r="AE320" i="1" a="1"/>
  <c r="AE320" i="1" s="1"/>
  <c r="AG320" i="1"/>
  <c r="AH320" i="1"/>
  <c r="U320" i="1" a="1"/>
  <c r="U320" i="1" s="1"/>
  <c r="K320" i="1" a="1"/>
  <c r="K320" i="1" s="1"/>
  <c r="O320" i="1"/>
  <c r="Q320" i="1"/>
  <c r="R320" i="1"/>
  <c r="S320" i="1"/>
  <c r="T320" i="1"/>
  <c r="A320" i="1" a="1"/>
  <c r="A320" i="1" s="1"/>
  <c r="AE319" i="1" a="1"/>
  <c r="AE319" i="1" s="1"/>
  <c r="AH319" i="1"/>
  <c r="U319" i="1" a="1"/>
  <c r="U319" i="1" s="1"/>
  <c r="Y319" i="1"/>
  <c r="K319" i="1" a="1"/>
  <c r="K319" i="1" s="1"/>
  <c r="Q319" i="1"/>
  <c r="S319" i="1"/>
  <c r="T319" i="1"/>
  <c r="A319" i="1" a="1"/>
  <c r="B319" i="1" s="1"/>
  <c r="A319" i="1"/>
  <c r="C319" i="1"/>
  <c r="AE318" i="1" a="1"/>
  <c r="AE318" i="1" s="1"/>
  <c r="AG318" i="1"/>
  <c r="U318" i="1" a="1"/>
  <c r="U318" i="1" s="1"/>
  <c r="K318" i="1" a="1"/>
  <c r="K318" i="1" s="1"/>
  <c r="O318" i="1"/>
  <c r="P318" i="1"/>
  <c r="Q318" i="1"/>
  <c r="R318" i="1"/>
  <c r="S318" i="1"/>
  <c r="A318" i="1" a="1"/>
  <c r="A318" i="1" s="1"/>
  <c r="H318" i="1"/>
  <c r="I318" i="1"/>
  <c r="J318" i="1"/>
  <c r="AE317" i="1" a="1"/>
  <c r="AE317" i="1" s="1"/>
  <c r="U317" i="1" a="1"/>
  <c r="U317" i="1" s="1"/>
  <c r="K317" i="1" a="1"/>
  <c r="K317" i="1" s="1"/>
  <c r="Q317" i="1"/>
  <c r="R317" i="1"/>
  <c r="A317" i="1" a="1"/>
  <c r="A317" i="1" s="1"/>
  <c r="H317" i="1"/>
  <c r="I317" i="1"/>
  <c r="J317" i="1"/>
  <c r="AE316" i="1" a="1"/>
  <c r="AE316" i="1" s="1"/>
  <c r="U316" i="1" a="1"/>
  <c r="U316" i="1" s="1"/>
  <c r="X316" i="1"/>
  <c r="AB316" i="1"/>
  <c r="K316" i="1" a="1"/>
  <c r="K316" i="1" s="1"/>
  <c r="O316" i="1"/>
  <c r="P316" i="1"/>
  <c r="Q316" i="1"/>
  <c r="A316" i="1" a="1"/>
  <c r="A316" i="1" s="1"/>
  <c r="I316" i="1"/>
  <c r="J316" i="1"/>
  <c r="AE315" i="1" a="1"/>
  <c r="AE315" i="1" s="1"/>
  <c r="AH315" i="1"/>
  <c r="U315" i="1" a="1"/>
  <c r="U315" i="1" s="1"/>
  <c r="Y315" i="1"/>
  <c r="K315" i="1" a="1"/>
  <c r="K315" i="1" s="1"/>
  <c r="Q315" i="1"/>
  <c r="R315" i="1"/>
  <c r="S315" i="1"/>
  <c r="T315" i="1"/>
  <c r="A315" i="1" a="1"/>
  <c r="A315" i="1" s="1"/>
  <c r="J315" i="1"/>
  <c r="AE314" i="1" a="1"/>
  <c r="AE314" i="1" s="1"/>
  <c r="AG314" i="1"/>
  <c r="U314" i="1" a="1"/>
  <c r="U314" i="1" s="1"/>
  <c r="X314" i="1"/>
  <c r="AB314" i="1"/>
  <c r="K314" i="1" a="1"/>
  <c r="K314" i="1" s="1"/>
  <c r="Q314" i="1"/>
  <c r="R314" i="1"/>
  <c r="A314" i="1" a="1"/>
  <c r="A314" i="1" s="1"/>
  <c r="H314" i="1"/>
  <c r="I314" i="1"/>
  <c r="J314" i="1"/>
  <c r="AE313" i="1" a="1"/>
  <c r="AE313" i="1" s="1"/>
  <c r="U313" i="1" a="1"/>
  <c r="U313" i="1" s="1"/>
  <c r="K313" i="1" a="1"/>
  <c r="K313" i="1" s="1"/>
  <c r="A313" i="1" a="1"/>
  <c r="A313" i="1" s="1"/>
  <c r="I313" i="1"/>
  <c r="AE312" i="1" a="1"/>
  <c r="AE312" i="1" s="1"/>
  <c r="AH312" i="1"/>
  <c r="U312" i="1" a="1"/>
  <c r="U312" i="1" s="1"/>
  <c r="Y312" i="1"/>
  <c r="AA312" i="1"/>
  <c r="AB312" i="1"/>
  <c r="AC312" i="1"/>
  <c r="AD312" i="1"/>
  <c r="K312" i="1" a="1"/>
  <c r="K312" i="1" s="1"/>
  <c r="A312" i="1" a="1"/>
  <c r="A312" i="1" s="1"/>
  <c r="I312" i="1"/>
  <c r="AE311" i="1" a="1"/>
  <c r="AE311" i="1" s="1"/>
  <c r="AH311" i="1"/>
  <c r="U311" i="1" a="1"/>
  <c r="U311" i="1" s="1"/>
  <c r="X311" i="1"/>
  <c r="Y311" i="1"/>
  <c r="Z311" i="1"/>
  <c r="AA311" i="1"/>
  <c r="AB311" i="1"/>
  <c r="AC311" i="1"/>
  <c r="K311" i="1" a="1"/>
  <c r="K311" i="1" s="1"/>
  <c r="T311" i="1"/>
  <c r="A311" i="1" a="1"/>
  <c r="A311" i="1" s="1"/>
  <c r="E311" i="1"/>
  <c r="H311" i="1"/>
  <c r="AE310" i="1" a="1"/>
  <c r="AE310" i="1" s="1"/>
  <c r="AH310" i="1"/>
  <c r="U310" i="1" a="1"/>
  <c r="U310" i="1" s="1"/>
  <c r="X310" i="1"/>
  <c r="Y310" i="1"/>
  <c r="Z310" i="1"/>
  <c r="AA310" i="1"/>
  <c r="AB310" i="1"/>
  <c r="AC310" i="1"/>
  <c r="K310" i="1" a="1"/>
  <c r="K310" i="1" s="1"/>
  <c r="R310" i="1"/>
  <c r="S310" i="1"/>
  <c r="T310" i="1"/>
  <c r="A310" i="1" a="1"/>
  <c r="A310" i="1" s="1"/>
  <c r="I310" i="1"/>
  <c r="AE309" i="1" a="1"/>
  <c r="AE309" i="1" s="1"/>
  <c r="U309" i="1" a="1"/>
  <c r="U309" i="1" s="1"/>
  <c r="W309" i="1"/>
  <c r="X309" i="1"/>
  <c r="Y309" i="1"/>
  <c r="Z309" i="1"/>
  <c r="AA309" i="1"/>
  <c r="AB309" i="1"/>
  <c r="AC309" i="1"/>
  <c r="AD309" i="1"/>
  <c r="K309" i="1" a="1"/>
  <c r="K309" i="1" s="1"/>
  <c r="P309" i="1"/>
  <c r="A309" i="1" a="1"/>
  <c r="A309" i="1" s="1"/>
  <c r="AE308" i="1" a="1"/>
  <c r="AE308" i="1" s="1"/>
  <c r="U308" i="1" a="1"/>
  <c r="U308" i="1" s="1"/>
  <c r="AB308" i="1"/>
  <c r="K308" i="1" a="1"/>
  <c r="K308" i="1" s="1"/>
  <c r="R308" i="1"/>
  <c r="S308" i="1"/>
  <c r="T308" i="1"/>
  <c r="A308" i="1" a="1"/>
  <c r="A308" i="1" s="1"/>
  <c r="AE307" i="1" a="1"/>
  <c r="AE307" i="1" s="1"/>
  <c r="U307" i="1" a="1"/>
  <c r="U307" i="1" s="1"/>
  <c r="W307" i="1"/>
  <c r="AB307" i="1"/>
  <c r="AC307" i="1"/>
  <c r="AD307" i="1"/>
  <c r="K307" i="1" a="1"/>
  <c r="K307" i="1" s="1"/>
  <c r="A307" i="1" a="1"/>
  <c r="A307" i="1" s="1"/>
  <c r="J307" i="1"/>
  <c r="AE306" i="1" a="1"/>
  <c r="AE306" i="1" s="1"/>
  <c r="AH306" i="1"/>
  <c r="U306" i="1" a="1"/>
  <c r="U306" i="1" s="1"/>
  <c r="Z306" i="1"/>
  <c r="K306" i="1" a="1"/>
  <c r="K306" i="1" s="1"/>
  <c r="R306" i="1"/>
  <c r="S306" i="1"/>
  <c r="T306" i="1"/>
  <c r="A306" i="1" a="1"/>
  <c r="A306" i="1" s="1"/>
  <c r="AE305" i="1" a="1"/>
  <c r="AE305" i="1" s="1"/>
  <c r="U305" i="1" a="1"/>
  <c r="U305" i="1" s="1"/>
  <c r="Z305" i="1"/>
  <c r="AC305" i="1"/>
  <c r="K305" i="1" a="1"/>
  <c r="K305" i="1" s="1"/>
  <c r="N305" i="1"/>
  <c r="S305" i="1"/>
  <c r="T305" i="1"/>
  <c r="A305" i="1" a="1"/>
  <c r="A305" i="1" s="1"/>
  <c r="G305" i="1"/>
  <c r="J305" i="1"/>
  <c r="AE304" i="1" a="1"/>
  <c r="AE304" i="1" s="1"/>
  <c r="AH304" i="1"/>
  <c r="U304" i="1" a="1"/>
  <c r="U304" i="1" s="1"/>
  <c r="W304" i="1"/>
  <c r="X304" i="1"/>
  <c r="Y304" i="1"/>
  <c r="Z304" i="1"/>
  <c r="AA304" i="1"/>
  <c r="AB304" i="1"/>
  <c r="AD304" i="1"/>
  <c r="K304" i="1" a="1"/>
  <c r="K304" i="1" s="1"/>
  <c r="S304" i="1"/>
  <c r="T304" i="1"/>
  <c r="A304" i="1" a="1"/>
  <c r="A304" i="1" s="1"/>
  <c r="E304" i="1"/>
  <c r="H304" i="1"/>
  <c r="AE303" i="1" a="1"/>
  <c r="AE303" i="1" s="1"/>
  <c r="AH303" i="1"/>
  <c r="U303" i="1" a="1"/>
  <c r="U303" i="1" s="1"/>
  <c r="Y303" i="1"/>
  <c r="Z303" i="1"/>
  <c r="AA303" i="1"/>
  <c r="AB303" i="1"/>
  <c r="AC303" i="1"/>
  <c r="AD303" i="1"/>
  <c r="K303" i="1" a="1"/>
  <c r="K303" i="1" s="1"/>
  <c r="O303" i="1"/>
  <c r="T303" i="1"/>
  <c r="A303" i="1" a="1"/>
  <c r="A303" i="1" s="1"/>
  <c r="H303" i="1"/>
  <c r="AE302" i="1" a="1"/>
  <c r="AE302" i="1" s="1"/>
  <c r="U302" i="1" a="1"/>
  <c r="U302" i="1" s="1"/>
  <c r="X302" i="1"/>
  <c r="Y302" i="1"/>
  <c r="Z302" i="1"/>
  <c r="AA302" i="1"/>
  <c r="AB302" i="1"/>
  <c r="AC302" i="1"/>
  <c r="AD302" i="1"/>
  <c r="K302" i="1" a="1"/>
  <c r="K302" i="1" s="1"/>
  <c r="A302" i="1" a="1"/>
  <c r="A302" i="1" s="1"/>
  <c r="I302" i="1"/>
  <c r="AE301" i="1" a="1"/>
  <c r="AE301" i="1" s="1"/>
  <c r="AH301" i="1"/>
  <c r="U301" i="1" a="1"/>
  <c r="U301" i="1" s="1"/>
  <c r="AA301" i="1"/>
  <c r="AB301" i="1"/>
  <c r="AC301" i="1"/>
  <c r="AD301" i="1"/>
  <c r="K301" i="1" a="1"/>
  <c r="K301" i="1" s="1"/>
  <c r="A301" i="1" a="1"/>
  <c r="A301" i="1" s="1"/>
  <c r="E301" i="1"/>
  <c r="F301" i="1"/>
  <c r="G301" i="1"/>
  <c r="H301" i="1"/>
  <c r="I301" i="1"/>
  <c r="J301" i="1"/>
  <c r="AE300" i="1" a="1"/>
  <c r="AE300" i="1" s="1"/>
  <c r="AH300" i="1"/>
  <c r="U300" i="1" a="1"/>
  <c r="U300" i="1" s="1"/>
  <c r="W300" i="1"/>
  <c r="Z300" i="1"/>
  <c r="AC300" i="1"/>
  <c r="AD300" i="1"/>
  <c r="K300" i="1" a="1"/>
  <c r="K300" i="1" s="1"/>
  <c r="A300" i="1" a="1"/>
  <c r="A300" i="1" s="1"/>
  <c r="J300" i="1"/>
  <c r="AE299" i="1" a="1"/>
  <c r="AE299" i="1" s="1"/>
  <c r="AH299" i="1"/>
  <c r="U299" i="1" a="1"/>
  <c r="U299" i="1" s="1"/>
  <c r="W299" i="1"/>
  <c r="Z299" i="1"/>
  <c r="AC299" i="1"/>
  <c r="AD299" i="1"/>
  <c r="K299" i="1" a="1"/>
  <c r="K299" i="1" s="1"/>
  <c r="A299" i="1" a="1"/>
  <c r="A299" i="1" s="1"/>
  <c r="G299" i="1"/>
  <c r="H299" i="1"/>
  <c r="I299" i="1"/>
  <c r="J299" i="1"/>
  <c r="AE298" i="1" a="1"/>
  <c r="AE298" i="1" s="1"/>
  <c r="AH298" i="1"/>
  <c r="U298" i="1" a="1"/>
  <c r="U298" i="1" s="1"/>
  <c r="X298" i="1"/>
  <c r="K298" i="1" a="1"/>
  <c r="K298" i="1" s="1"/>
  <c r="P298" i="1"/>
  <c r="Q298" i="1"/>
  <c r="R298" i="1"/>
  <c r="A298" i="1" a="1"/>
  <c r="A298" i="1" s="1"/>
  <c r="H298" i="1"/>
  <c r="J298" i="1"/>
  <c r="AE297" i="1" a="1"/>
  <c r="AE297" i="1" s="1"/>
  <c r="U297" i="1" a="1"/>
  <c r="U297" i="1" s="1"/>
  <c r="W297" i="1"/>
  <c r="X297" i="1"/>
  <c r="Y297" i="1"/>
  <c r="K297" i="1" a="1"/>
  <c r="K297" i="1" s="1"/>
  <c r="N297" i="1"/>
  <c r="O297" i="1"/>
  <c r="P297" i="1"/>
  <c r="Q297" i="1"/>
  <c r="T297" i="1"/>
  <c r="A297" i="1" a="1"/>
  <c r="A297" i="1" s="1"/>
  <c r="F297" i="1"/>
  <c r="H297" i="1"/>
  <c r="I297" i="1"/>
  <c r="J297" i="1"/>
  <c r="AE296" i="1" a="1"/>
  <c r="AE296" i="1" s="1"/>
  <c r="AF296" i="1"/>
  <c r="AG296" i="1"/>
  <c r="AH296" i="1"/>
  <c r="U296" i="1" a="1"/>
  <c r="U296" i="1" s="1"/>
  <c r="K296" i="1" a="1"/>
  <c r="K296" i="1" s="1"/>
  <c r="A296" i="1" a="1"/>
  <c r="A296" i="1" s="1"/>
  <c r="E296" i="1"/>
  <c r="F296" i="1"/>
  <c r="G296" i="1"/>
  <c r="H296" i="1"/>
  <c r="I296" i="1"/>
  <c r="J296" i="1"/>
  <c r="AE295" i="1" a="1"/>
  <c r="AE295" i="1" s="1"/>
  <c r="AH295" i="1"/>
  <c r="U295" i="1" a="1"/>
  <c r="U295" i="1" s="1"/>
  <c r="X295" i="1"/>
  <c r="AA295" i="1"/>
  <c r="AD295" i="1"/>
  <c r="K295" i="1" a="1"/>
  <c r="K295" i="1" s="1"/>
  <c r="A295" i="1" a="1"/>
  <c r="A295" i="1" s="1"/>
  <c r="J295" i="1"/>
  <c r="AE294" i="1" a="1"/>
  <c r="AE294" i="1" s="1"/>
  <c r="AH294" i="1"/>
  <c r="U294" i="1" a="1"/>
  <c r="U294" i="1" s="1"/>
  <c r="X294" i="1"/>
  <c r="AA294" i="1"/>
  <c r="AD294" i="1"/>
  <c r="K294" i="1" a="1"/>
  <c r="K294" i="1" s="1"/>
  <c r="A294" i="1" a="1"/>
  <c r="A294" i="1" s="1"/>
  <c r="C294" i="1"/>
  <c r="D294" i="1"/>
  <c r="E294" i="1"/>
  <c r="F294" i="1"/>
  <c r="H294" i="1"/>
  <c r="I294" i="1"/>
  <c r="J294" i="1"/>
  <c r="AE293" i="1" a="1"/>
  <c r="AE293" i="1" s="1"/>
  <c r="U293" i="1" a="1"/>
  <c r="U293" i="1" s="1"/>
  <c r="Y293" i="1"/>
  <c r="AB293" i="1"/>
  <c r="AC293" i="1"/>
  <c r="AD293" i="1"/>
  <c r="K293" i="1" a="1"/>
  <c r="K293" i="1" s="1"/>
  <c r="T293" i="1"/>
  <c r="A293" i="1" a="1"/>
  <c r="A293" i="1" s="1"/>
  <c r="G293" i="1"/>
  <c r="H293" i="1"/>
  <c r="I293" i="1"/>
  <c r="J293" i="1"/>
  <c r="AE292" i="1" a="1"/>
  <c r="AE292" i="1" s="1"/>
  <c r="AH292" i="1"/>
  <c r="U292" i="1" a="1"/>
  <c r="U292" i="1" s="1"/>
  <c r="Z292" i="1"/>
  <c r="K292" i="1" a="1"/>
  <c r="K292" i="1" s="1"/>
  <c r="S292" i="1"/>
  <c r="T292" i="1"/>
  <c r="A292" i="1" a="1"/>
  <c r="A292" i="1" s="1"/>
  <c r="J292" i="1"/>
  <c r="AE291" i="1" a="1"/>
  <c r="AE291" i="1" s="1"/>
  <c r="AH291" i="1"/>
  <c r="U291" i="1" a="1"/>
  <c r="U291" i="1" s="1"/>
  <c r="AB291" i="1"/>
  <c r="AC291" i="1"/>
  <c r="AD291" i="1"/>
  <c r="K291" i="1" a="1"/>
  <c r="K291" i="1" s="1"/>
  <c r="Q291" i="1"/>
  <c r="T291" i="1"/>
  <c r="A291" i="1" a="1"/>
  <c r="A291" i="1" s="1"/>
  <c r="G291" i="1"/>
  <c r="H291" i="1"/>
  <c r="I291" i="1"/>
  <c r="J291" i="1"/>
  <c r="AE290" i="1" a="1"/>
  <c r="AE290" i="1" s="1"/>
  <c r="AF290" i="1"/>
  <c r="AG290" i="1"/>
  <c r="AH290" i="1"/>
  <c r="U290" i="1" a="1"/>
  <c r="U290" i="1" s="1"/>
  <c r="Y290" i="1"/>
  <c r="Z290" i="1"/>
  <c r="AA290" i="1"/>
  <c r="AB290" i="1"/>
  <c r="AC290" i="1"/>
  <c r="AD290" i="1"/>
  <c r="K290" i="1" a="1"/>
  <c r="K290" i="1" s="1"/>
  <c r="Q290" i="1"/>
  <c r="A290" i="1" a="1"/>
  <c r="A290" i="1" s="1"/>
  <c r="C290" i="1"/>
  <c r="D290" i="1"/>
  <c r="F290" i="1"/>
  <c r="G290" i="1"/>
  <c r="H290" i="1"/>
  <c r="I290" i="1"/>
  <c r="AE289" i="1" a="1"/>
  <c r="AE289" i="1" s="1"/>
  <c r="AH289" i="1"/>
  <c r="U289" i="1" a="1"/>
  <c r="U289" i="1" s="1"/>
  <c r="Y289" i="1"/>
  <c r="Z289" i="1"/>
  <c r="AA289" i="1"/>
  <c r="AB289" i="1"/>
  <c r="AC289" i="1"/>
  <c r="AD289" i="1"/>
  <c r="K289" i="1" a="1"/>
  <c r="K289" i="1" s="1"/>
  <c r="O289" i="1"/>
  <c r="A289" i="1" a="1"/>
  <c r="A289" i="1" s="1"/>
  <c r="G289" i="1"/>
  <c r="H289" i="1"/>
  <c r="I289" i="1"/>
  <c r="AE288" i="1" a="1"/>
  <c r="AE288" i="1" s="1"/>
  <c r="U288" i="1" a="1"/>
  <c r="U288" i="1" s="1"/>
  <c r="Y288" i="1"/>
  <c r="Z288" i="1"/>
  <c r="AA288" i="1"/>
  <c r="AB288" i="1"/>
  <c r="AC288" i="1"/>
  <c r="AD288" i="1"/>
  <c r="K288" i="1" a="1"/>
  <c r="K288" i="1" s="1"/>
  <c r="P288" i="1"/>
  <c r="Q288" i="1"/>
  <c r="R288" i="1"/>
  <c r="A288" i="1" a="1"/>
  <c r="A288" i="1" s="1"/>
  <c r="G288" i="1"/>
  <c r="H288" i="1"/>
  <c r="J288" i="1"/>
  <c r="AE287" i="1" a="1"/>
  <c r="AE287" i="1" s="1"/>
  <c r="U287" i="1" a="1"/>
  <c r="U287" i="1" s="1"/>
  <c r="AD287" i="1"/>
  <c r="K287" i="1" a="1"/>
  <c r="K287" i="1" s="1"/>
  <c r="R287" i="1"/>
  <c r="S287" i="1"/>
  <c r="T287" i="1"/>
  <c r="A287" i="1" a="1"/>
  <c r="A287" i="1" s="1"/>
  <c r="AE286" i="1" a="1"/>
  <c r="AE286" i="1" s="1"/>
  <c r="AG286" i="1"/>
  <c r="AH286" i="1"/>
  <c r="U286" i="1" a="1"/>
  <c r="U286" i="1" s="1"/>
  <c r="Y286" i="1"/>
  <c r="Z286" i="1"/>
  <c r="AA286" i="1"/>
  <c r="AB286" i="1"/>
  <c r="K286" i="1" a="1"/>
  <c r="K286" i="1" s="1"/>
  <c r="N286" i="1"/>
  <c r="O286" i="1"/>
  <c r="P286" i="1"/>
  <c r="Q286" i="1"/>
  <c r="R286" i="1"/>
  <c r="S286" i="1"/>
  <c r="T286" i="1"/>
  <c r="A286" i="1" a="1"/>
  <c r="A286" i="1" s="1"/>
  <c r="F286" i="1"/>
  <c r="G286" i="1"/>
  <c r="AE285" i="1" a="1"/>
  <c r="AE285" i="1" s="1"/>
  <c r="AG285" i="1"/>
  <c r="AH285" i="1"/>
  <c r="U285" i="1" a="1"/>
  <c r="U285" i="1" s="1"/>
  <c r="W285" i="1"/>
  <c r="X285" i="1"/>
  <c r="Y285" i="1"/>
  <c r="K285" i="1" a="1"/>
  <c r="K285" i="1" s="1"/>
  <c r="P285" i="1"/>
  <c r="Q285" i="1"/>
  <c r="R285" i="1"/>
  <c r="S285" i="1"/>
  <c r="T285" i="1"/>
  <c r="A285" i="1" a="1"/>
  <c r="A285" i="1" s="1"/>
  <c r="D285" i="1"/>
  <c r="E285" i="1"/>
  <c r="AE284" i="1" a="1"/>
  <c r="AE284" i="1" s="1"/>
  <c r="AG284" i="1"/>
  <c r="AH284" i="1"/>
  <c r="U284" i="1" a="1"/>
  <c r="U284" i="1" s="1"/>
  <c r="K284" i="1" a="1"/>
  <c r="K284" i="1" s="1"/>
  <c r="P284" i="1"/>
  <c r="S284" i="1"/>
  <c r="T284" i="1"/>
  <c r="A284" i="1" a="1"/>
  <c r="A284" i="1" s="1"/>
  <c r="F284" i="1"/>
  <c r="AE283" i="1" a="1"/>
  <c r="AE283" i="1" s="1"/>
  <c r="U283" i="1" a="1"/>
  <c r="U283" i="1" s="1"/>
  <c r="X283" i="1"/>
  <c r="Y283" i="1"/>
  <c r="Z283" i="1"/>
  <c r="K283" i="1" a="1"/>
  <c r="K283" i="1" s="1"/>
  <c r="P283" i="1"/>
  <c r="Q283" i="1"/>
  <c r="R283" i="1"/>
  <c r="S283" i="1"/>
  <c r="T283" i="1"/>
  <c r="A283" i="1" a="1"/>
  <c r="A283" i="1" s="1"/>
  <c r="D283" i="1"/>
  <c r="E283" i="1"/>
  <c r="F283" i="1"/>
  <c r="AE282" i="1" a="1"/>
  <c r="AE282" i="1" s="1"/>
  <c r="U282" i="1" a="1"/>
  <c r="U282" i="1" s="1"/>
  <c r="W282" i="1"/>
  <c r="X282" i="1"/>
  <c r="Y282" i="1"/>
  <c r="K282" i="1" a="1"/>
  <c r="K282" i="1" s="1"/>
  <c r="Q282" i="1"/>
  <c r="R282" i="1"/>
  <c r="S282" i="1"/>
  <c r="T282" i="1"/>
  <c r="A282" i="1" a="1"/>
  <c r="A282" i="1" s="1"/>
  <c r="H282" i="1"/>
  <c r="I282" i="1"/>
  <c r="J282" i="1"/>
  <c r="AE281" i="1" a="1"/>
  <c r="AE281" i="1" s="1"/>
  <c r="AG281" i="1"/>
  <c r="U281" i="1" a="1"/>
  <c r="U281" i="1" s="1"/>
  <c r="W281" i="1"/>
  <c r="Y281" i="1"/>
  <c r="Z281" i="1"/>
  <c r="AA281" i="1"/>
  <c r="AB281" i="1"/>
  <c r="K281" i="1" a="1"/>
  <c r="K281" i="1" s="1"/>
  <c r="O281" i="1"/>
  <c r="P281" i="1"/>
  <c r="Q281" i="1"/>
  <c r="R281" i="1"/>
  <c r="S281" i="1"/>
  <c r="T281" i="1"/>
  <c r="A281" i="1" a="1"/>
  <c r="A281" i="1" s="1"/>
  <c r="F281" i="1"/>
  <c r="G281" i="1"/>
  <c r="H281" i="1"/>
  <c r="AE280" i="1" a="1"/>
  <c r="AE280" i="1" s="1"/>
  <c r="AH280" i="1"/>
  <c r="U280" i="1" a="1"/>
  <c r="U280" i="1" s="1"/>
  <c r="AD280" i="1"/>
  <c r="K280" i="1" a="1"/>
  <c r="K280" i="1" s="1"/>
  <c r="A280" i="1" a="1"/>
  <c r="A280" i="1" s="1"/>
  <c r="F280" i="1"/>
  <c r="G280" i="1"/>
  <c r="H280" i="1"/>
  <c r="I280" i="1"/>
  <c r="J280" i="1"/>
  <c r="AE279" i="1" a="1"/>
  <c r="AE279" i="1" s="1"/>
  <c r="AH279" i="1"/>
  <c r="U279" i="1" a="1"/>
  <c r="U279" i="1" s="1"/>
  <c r="K279" i="1" a="1"/>
  <c r="K279" i="1" s="1"/>
  <c r="A279" i="1" a="1"/>
  <c r="A279" i="1" s="1"/>
  <c r="H279" i="1"/>
  <c r="AE278" i="1" a="1"/>
  <c r="AE278" i="1" s="1"/>
  <c r="AG278" i="1"/>
  <c r="AH278" i="1"/>
  <c r="U278" i="1" a="1"/>
  <c r="U278" i="1" s="1"/>
  <c r="K278" i="1" a="1"/>
  <c r="K278" i="1" s="1"/>
  <c r="A278" i="1" a="1"/>
  <c r="A278" i="1" s="1"/>
  <c r="G278" i="1"/>
  <c r="J278" i="1"/>
  <c r="AE277" i="1" a="1"/>
  <c r="AE277" i="1" s="1"/>
  <c r="AG277" i="1"/>
  <c r="AH277" i="1"/>
  <c r="U277" i="1" a="1"/>
  <c r="U277" i="1" s="1"/>
  <c r="W277" i="1"/>
  <c r="Z277" i="1"/>
  <c r="AC277" i="1"/>
  <c r="AD277" i="1"/>
  <c r="K277" i="1" a="1"/>
  <c r="K277" i="1" s="1"/>
  <c r="A277" i="1" a="1"/>
  <c r="A277" i="1" s="1"/>
  <c r="H277" i="1"/>
  <c r="I277" i="1"/>
  <c r="J277" i="1"/>
  <c r="AE276" i="1" a="1"/>
  <c r="AE276" i="1" s="1"/>
  <c r="U276" i="1" a="1"/>
  <c r="U276" i="1" s="1"/>
  <c r="AA276" i="1"/>
  <c r="AB276" i="1"/>
  <c r="AC276" i="1"/>
  <c r="K276" i="1" a="1"/>
  <c r="K276" i="1" s="1"/>
  <c r="R276" i="1"/>
  <c r="A276" i="1" a="1"/>
  <c r="A276" i="1" s="1"/>
  <c r="C276" i="1"/>
  <c r="D276" i="1"/>
  <c r="AE275" i="1" a="1"/>
  <c r="AE275" i="1" s="1"/>
  <c r="U275" i="1" a="1"/>
  <c r="U275" i="1" s="1"/>
  <c r="Z275" i="1"/>
  <c r="AA275" i="1"/>
  <c r="AB275" i="1"/>
  <c r="AC275" i="1"/>
  <c r="K275" i="1" a="1"/>
  <c r="K275" i="1" s="1"/>
  <c r="A275" i="1" a="1"/>
  <c r="A275" i="1" s="1"/>
  <c r="G275" i="1"/>
  <c r="H275" i="1"/>
  <c r="AE274" i="1" a="1"/>
  <c r="AE274" i="1" s="1"/>
  <c r="U274" i="1" a="1"/>
  <c r="U274" i="1" s="1"/>
  <c r="X274" i="1"/>
  <c r="Y274" i="1"/>
  <c r="Z274" i="1"/>
  <c r="AA274" i="1"/>
  <c r="AB274" i="1"/>
  <c r="AC274" i="1"/>
  <c r="AD274" i="1"/>
  <c r="K274" i="1" a="1"/>
  <c r="K274" i="1" s="1"/>
  <c r="A274" i="1" a="1"/>
  <c r="A274" i="1" s="1"/>
  <c r="AE273" i="1" a="1"/>
  <c r="AE273" i="1" s="1"/>
  <c r="AG273" i="1"/>
  <c r="AH273" i="1"/>
  <c r="U273" i="1" a="1"/>
  <c r="U273" i="1" s="1"/>
  <c r="AB273" i="1"/>
  <c r="AC273" i="1"/>
  <c r="AD273" i="1"/>
  <c r="K273" i="1" a="1"/>
  <c r="K273" i="1" s="1"/>
  <c r="A273" i="1" a="1"/>
  <c r="A273" i="1" s="1"/>
  <c r="D273" i="1"/>
  <c r="F273" i="1"/>
  <c r="G273" i="1"/>
  <c r="AE272" i="1" a="1"/>
  <c r="AE272" i="1" s="1"/>
  <c r="U272" i="1" a="1"/>
  <c r="U272" i="1" s="1"/>
  <c r="X272" i="1"/>
  <c r="Y272" i="1"/>
  <c r="Z272" i="1"/>
  <c r="AA272" i="1"/>
  <c r="AB272" i="1"/>
  <c r="AC272" i="1"/>
  <c r="AD272" i="1"/>
  <c r="K272" i="1" a="1"/>
  <c r="K272" i="1" s="1"/>
  <c r="A272" i="1" a="1"/>
  <c r="A272" i="1" s="1"/>
  <c r="G272" i="1"/>
  <c r="H272" i="1"/>
  <c r="I272" i="1"/>
  <c r="AE271" i="1" a="1"/>
  <c r="AE271" i="1" s="1"/>
  <c r="U271" i="1" a="1"/>
  <c r="U271" i="1" s="1"/>
  <c r="Y271" i="1"/>
  <c r="Z271" i="1"/>
  <c r="AA271" i="1"/>
  <c r="AB271" i="1"/>
  <c r="AC271" i="1"/>
  <c r="AD271" i="1"/>
  <c r="K271" i="1" a="1"/>
  <c r="K271" i="1" s="1"/>
  <c r="R271" i="1"/>
  <c r="S271" i="1"/>
  <c r="A271" i="1" a="1"/>
  <c r="A271" i="1" s="1"/>
  <c r="J271" i="1"/>
  <c r="AE270" i="1" a="1"/>
  <c r="AE270" i="1" s="1"/>
  <c r="U270" i="1" a="1"/>
  <c r="U270" i="1" s="1"/>
  <c r="AA270" i="1"/>
  <c r="AB270" i="1"/>
  <c r="AC270" i="1"/>
  <c r="AD270" i="1"/>
  <c r="K270" i="1" a="1"/>
  <c r="K270" i="1" s="1"/>
  <c r="R270" i="1"/>
  <c r="S270" i="1"/>
  <c r="T270" i="1"/>
  <c r="A270" i="1" a="1"/>
  <c r="A270" i="1" s="1"/>
  <c r="AE269" i="1" a="1"/>
  <c r="AE269" i="1" s="1"/>
  <c r="U269" i="1" a="1"/>
  <c r="U269" i="1" s="1"/>
  <c r="X269" i="1"/>
  <c r="Y269" i="1"/>
  <c r="Z269" i="1"/>
  <c r="AB269" i="1"/>
  <c r="K269" i="1" a="1"/>
  <c r="K269" i="1" s="1"/>
  <c r="P269" i="1"/>
  <c r="Q269" i="1"/>
  <c r="R269" i="1"/>
  <c r="S269" i="1"/>
  <c r="T269" i="1"/>
  <c r="A269" i="1" a="1"/>
  <c r="A269" i="1" s="1"/>
  <c r="E269" i="1"/>
  <c r="F269" i="1"/>
  <c r="G269" i="1"/>
  <c r="AE268" i="1" a="1"/>
  <c r="AE268" i="1" s="1"/>
  <c r="AH268" i="1"/>
  <c r="U268" i="1" a="1"/>
  <c r="U268" i="1" s="1"/>
  <c r="Y268" i="1"/>
  <c r="Z268" i="1"/>
  <c r="AA268" i="1"/>
  <c r="K268" i="1" a="1"/>
  <c r="K268" i="1" s="1"/>
  <c r="P268" i="1"/>
  <c r="Q268" i="1"/>
  <c r="R268" i="1"/>
  <c r="S268" i="1"/>
  <c r="T268" i="1"/>
  <c r="A268" i="1" a="1"/>
  <c r="A268" i="1" s="1"/>
  <c r="C268" i="1"/>
  <c r="D268" i="1"/>
  <c r="E268" i="1"/>
  <c r="AE267" i="1" a="1"/>
  <c r="AE267" i="1" s="1"/>
  <c r="AH267" i="1"/>
  <c r="U267" i="1" a="1"/>
  <c r="U267" i="1" s="1"/>
  <c r="K267" i="1" a="1"/>
  <c r="K267" i="1" s="1"/>
  <c r="Q267" i="1"/>
  <c r="T267" i="1"/>
  <c r="A267" i="1" a="1"/>
  <c r="A267" i="1" s="1"/>
  <c r="D267" i="1"/>
  <c r="E267" i="1"/>
  <c r="AE266" i="1" a="1"/>
  <c r="AE266" i="1" s="1"/>
  <c r="U266" i="1" a="1"/>
  <c r="U266" i="1" s="1"/>
  <c r="X266" i="1"/>
  <c r="K266" i="1" a="1"/>
  <c r="K266" i="1" s="1"/>
  <c r="P266" i="1"/>
  <c r="Q266" i="1"/>
  <c r="R266" i="1"/>
  <c r="S266" i="1"/>
  <c r="T266" i="1"/>
  <c r="A266" i="1" a="1"/>
  <c r="A266" i="1" s="1"/>
  <c r="F266" i="1"/>
  <c r="G266" i="1"/>
  <c r="AE265" i="1" a="1"/>
  <c r="AE265" i="1" s="1"/>
  <c r="AH265" i="1"/>
  <c r="U265" i="1" a="1"/>
  <c r="U265" i="1" s="1"/>
  <c r="Y265" i="1"/>
  <c r="Z265" i="1"/>
  <c r="AA265" i="1"/>
  <c r="K265" i="1" a="1"/>
  <c r="K265" i="1" s="1"/>
  <c r="O265" i="1"/>
  <c r="P265" i="1"/>
  <c r="Q265" i="1"/>
  <c r="R265" i="1"/>
  <c r="S265" i="1"/>
  <c r="T265" i="1"/>
  <c r="A265" i="1" a="1"/>
  <c r="A265" i="1" s="1"/>
  <c r="D265" i="1"/>
  <c r="E265" i="1"/>
  <c r="AE264" i="1" a="1"/>
  <c r="AE264" i="1" s="1"/>
  <c r="AH264" i="1"/>
  <c r="U264" i="1" a="1"/>
  <c r="U264" i="1" s="1"/>
  <c r="K264" i="1" a="1"/>
  <c r="K264" i="1" s="1"/>
  <c r="Q264" i="1"/>
  <c r="T264" i="1"/>
  <c r="A264" i="1" a="1"/>
  <c r="A264" i="1" s="1"/>
  <c r="D264" i="1"/>
  <c r="E264" i="1"/>
  <c r="AE263" i="1" a="1"/>
  <c r="AE263" i="1" s="1"/>
  <c r="U263" i="1" a="1"/>
  <c r="U263" i="1" s="1"/>
  <c r="X263" i="1"/>
  <c r="K263" i="1" a="1"/>
  <c r="K263" i="1" s="1"/>
  <c r="N263" i="1"/>
  <c r="O263" i="1"/>
  <c r="P263" i="1"/>
  <c r="Q263" i="1"/>
  <c r="R263" i="1"/>
  <c r="S263" i="1"/>
  <c r="T263" i="1"/>
  <c r="A263" i="1" a="1"/>
  <c r="A263" i="1" s="1"/>
  <c r="AE262" i="1" a="1"/>
  <c r="AE262" i="1" s="1"/>
  <c r="U262" i="1" a="1"/>
  <c r="U262" i="1" s="1"/>
  <c r="X262" i="1"/>
  <c r="Y262" i="1"/>
  <c r="Z262" i="1"/>
  <c r="K262" i="1" a="1"/>
  <c r="K262" i="1" s="1"/>
  <c r="Q262" i="1"/>
  <c r="R262" i="1"/>
  <c r="S262" i="1"/>
  <c r="T262" i="1"/>
  <c r="A262" i="1" a="1"/>
  <c r="A262" i="1" s="1"/>
  <c r="E262" i="1"/>
  <c r="F262" i="1"/>
  <c r="G262" i="1"/>
  <c r="H262" i="1"/>
  <c r="AE261" i="1" a="1"/>
  <c r="AE261" i="1" s="1"/>
  <c r="AH261" i="1"/>
  <c r="U261" i="1" a="1"/>
  <c r="U261" i="1" s="1"/>
  <c r="Y261" i="1"/>
  <c r="Z261" i="1"/>
  <c r="AA261" i="1"/>
  <c r="K261" i="1" a="1"/>
  <c r="K261" i="1" s="1"/>
  <c r="P261" i="1"/>
  <c r="Q261" i="1"/>
  <c r="R261" i="1"/>
  <c r="S261" i="1"/>
  <c r="T261" i="1"/>
  <c r="A261" i="1" a="1"/>
  <c r="A261" i="1" s="1"/>
  <c r="C261" i="1"/>
  <c r="D261" i="1"/>
  <c r="E261" i="1"/>
  <c r="AE260" i="1" a="1"/>
  <c r="AE260" i="1" s="1"/>
  <c r="AH260" i="1"/>
  <c r="U260" i="1" a="1"/>
  <c r="U260" i="1" s="1"/>
  <c r="K260" i="1" a="1"/>
  <c r="K260" i="1" s="1"/>
  <c r="S260" i="1"/>
  <c r="T260" i="1"/>
  <c r="A260" i="1" a="1"/>
  <c r="A260" i="1" s="1"/>
  <c r="H260" i="1"/>
  <c r="AE259" i="1" a="1"/>
  <c r="AE259" i="1" s="1"/>
  <c r="U259" i="1" a="1"/>
  <c r="U259" i="1" s="1"/>
  <c r="Y259" i="1"/>
  <c r="Z259" i="1"/>
  <c r="K259" i="1" a="1"/>
  <c r="K259" i="1" s="1"/>
  <c r="P259" i="1"/>
  <c r="Q259" i="1"/>
  <c r="R259" i="1"/>
  <c r="S259" i="1"/>
  <c r="T259" i="1"/>
  <c r="A259" i="1" a="1"/>
  <c r="A259" i="1" s="1"/>
  <c r="D259" i="1"/>
  <c r="F259" i="1"/>
  <c r="G259" i="1"/>
  <c r="AE258" i="1" a="1"/>
  <c r="AE258" i="1" s="1"/>
  <c r="AH258" i="1"/>
  <c r="U258" i="1" a="1"/>
  <c r="U258" i="1" s="1"/>
  <c r="Y258" i="1"/>
  <c r="Z258" i="1"/>
  <c r="AA258" i="1"/>
  <c r="K258" i="1" a="1"/>
  <c r="K258" i="1" s="1"/>
  <c r="R258" i="1"/>
  <c r="S258" i="1"/>
  <c r="T258" i="1"/>
  <c r="A258" i="1" a="1"/>
  <c r="A258" i="1" s="1"/>
  <c r="G258" i="1"/>
  <c r="H258" i="1"/>
  <c r="I258" i="1"/>
  <c r="J258" i="1"/>
  <c r="AE257" i="1" a="1"/>
  <c r="AE257" i="1" s="1"/>
  <c r="AG257" i="1"/>
  <c r="U257" i="1" a="1"/>
  <c r="U257" i="1" s="1"/>
  <c r="W257" i="1"/>
  <c r="X257" i="1"/>
  <c r="Z257" i="1"/>
  <c r="AA257" i="1"/>
  <c r="AB257" i="1"/>
  <c r="K257" i="1" a="1"/>
  <c r="K257" i="1" s="1"/>
  <c r="R257" i="1"/>
  <c r="T257" i="1"/>
  <c r="A257" i="1" a="1"/>
  <c r="A257" i="1" s="1"/>
  <c r="F257" i="1"/>
  <c r="I257" i="1"/>
  <c r="J257" i="1"/>
  <c r="AE256" i="1" a="1"/>
  <c r="AE256" i="1" s="1"/>
  <c r="AH256" i="1"/>
  <c r="U256" i="1" a="1"/>
  <c r="U256" i="1" s="1"/>
  <c r="W256" i="1"/>
  <c r="Z256" i="1"/>
  <c r="AA256" i="1"/>
  <c r="AC256" i="1"/>
  <c r="AD256" i="1"/>
  <c r="K256" i="1" a="1"/>
  <c r="K256" i="1" s="1"/>
  <c r="A256" i="1" a="1"/>
  <c r="A256" i="1" s="1"/>
  <c r="H256" i="1"/>
  <c r="I256" i="1"/>
  <c r="J256" i="1"/>
  <c r="AE255" i="1" a="1"/>
  <c r="AE255" i="1" s="1"/>
  <c r="AF255" i="1"/>
  <c r="AG255" i="1"/>
  <c r="AH255" i="1"/>
  <c r="U255" i="1" a="1"/>
  <c r="U255" i="1" s="1"/>
  <c r="K255" i="1" a="1"/>
  <c r="K255" i="1" s="1"/>
  <c r="P255" i="1"/>
  <c r="Q255" i="1"/>
  <c r="R255" i="1"/>
  <c r="A255" i="1" a="1"/>
  <c r="A255" i="1" s="1"/>
  <c r="H255" i="1"/>
  <c r="AE254" i="1" a="1"/>
  <c r="AE254" i="1" s="1"/>
  <c r="U254" i="1" a="1"/>
  <c r="U254" i="1" s="1"/>
  <c r="AB254" i="1"/>
  <c r="AC254" i="1"/>
  <c r="AD254" i="1"/>
  <c r="K254" i="1" a="1"/>
  <c r="K254" i="1" s="1"/>
  <c r="A254" i="1" a="1"/>
  <c r="A254" i="1" s="1"/>
  <c r="J254" i="1"/>
  <c r="AE253" i="1" a="1"/>
  <c r="AE253" i="1" s="1"/>
  <c r="U253" i="1" a="1"/>
  <c r="U253" i="1" s="1"/>
  <c r="X253" i="1"/>
  <c r="AA253" i="1"/>
  <c r="AB253" i="1"/>
  <c r="AC253" i="1"/>
  <c r="AD253" i="1"/>
  <c r="K253" i="1" a="1"/>
  <c r="K253" i="1" s="1"/>
  <c r="O253" i="1"/>
  <c r="P253" i="1"/>
  <c r="Q253" i="1"/>
  <c r="A253" i="1" a="1"/>
  <c r="A253" i="1" s="1"/>
  <c r="D253" i="1"/>
  <c r="E253" i="1"/>
  <c r="G253" i="1"/>
  <c r="H253" i="1"/>
  <c r="I253" i="1"/>
  <c r="AE252" i="1" a="1"/>
  <c r="AE252" i="1" s="1"/>
  <c r="U252" i="1" a="1"/>
  <c r="U252" i="1" s="1"/>
  <c r="AD252" i="1"/>
  <c r="K252" i="1" a="1"/>
  <c r="K252" i="1" s="1"/>
  <c r="Q252" i="1"/>
  <c r="R252" i="1"/>
  <c r="S252" i="1"/>
  <c r="T252" i="1"/>
  <c r="A252" i="1" a="1"/>
  <c r="A252" i="1" s="1"/>
  <c r="I252" i="1"/>
  <c r="AE251" i="1" a="1"/>
  <c r="AE251" i="1" s="1"/>
  <c r="AH251" i="1"/>
  <c r="U251" i="1" a="1"/>
  <c r="U251" i="1" s="1"/>
  <c r="K251" i="1" a="1"/>
  <c r="K251" i="1" s="1"/>
  <c r="A251" i="1" a="1"/>
  <c r="A251" i="1" s="1"/>
  <c r="I251" i="1"/>
  <c r="J251" i="1"/>
  <c r="AE250" i="1" a="1"/>
  <c r="AE250" i="1" s="1"/>
  <c r="AG250" i="1"/>
  <c r="U250" i="1" a="1"/>
  <c r="U250" i="1" s="1"/>
  <c r="AC250" i="1"/>
  <c r="K250" i="1" a="1"/>
  <c r="K250" i="1" s="1"/>
  <c r="Q250" i="1"/>
  <c r="A250" i="1" a="1"/>
  <c r="A250" i="1" s="1"/>
  <c r="H250" i="1"/>
  <c r="I250" i="1"/>
  <c r="J250" i="1"/>
  <c r="AE249" i="1" a="1"/>
  <c r="AE249" i="1" s="1"/>
  <c r="U249" i="1" a="1"/>
  <c r="U249" i="1" s="1"/>
  <c r="AD249" i="1"/>
  <c r="K249" i="1" a="1"/>
  <c r="K249" i="1" s="1"/>
  <c r="A249" i="1" a="1"/>
  <c r="A249" i="1" s="1"/>
  <c r="D249" i="1"/>
  <c r="E249" i="1"/>
  <c r="F249" i="1"/>
  <c r="G249" i="1"/>
  <c r="H249" i="1"/>
  <c r="I249" i="1"/>
  <c r="J249" i="1"/>
  <c r="AE248" i="1" a="1"/>
  <c r="AE248" i="1" s="1"/>
  <c r="U248" i="1" a="1"/>
  <c r="U248" i="1" s="1"/>
  <c r="Y248" i="1"/>
  <c r="Z248" i="1"/>
  <c r="AB248" i="1"/>
  <c r="AC248" i="1"/>
  <c r="AD248" i="1"/>
  <c r="K248" i="1" a="1"/>
  <c r="K248" i="1" s="1"/>
  <c r="A248" i="1" a="1"/>
  <c r="A248" i="1" s="1"/>
  <c r="I248" i="1"/>
  <c r="J248" i="1"/>
  <c r="AE247" i="1" a="1"/>
  <c r="AE247" i="1" s="1"/>
  <c r="AG247" i="1"/>
  <c r="U247" i="1" a="1"/>
  <c r="U247" i="1" s="1"/>
  <c r="AD247" i="1"/>
  <c r="K247" i="1" a="1"/>
  <c r="K247" i="1" s="1"/>
  <c r="T247" i="1"/>
  <c r="A247" i="1" a="1"/>
  <c r="A247" i="1" s="1"/>
  <c r="J247" i="1"/>
  <c r="AE246" i="1" a="1"/>
  <c r="AE246" i="1" s="1"/>
  <c r="AG246" i="1"/>
  <c r="AH246" i="1"/>
  <c r="U246" i="1" a="1"/>
  <c r="U246" i="1" s="1"/>
  <c r="X246" i="1"/>
  <c r="AA246" i="1"/>
  <c r="AB246" i="1"/>
  <c r="AD246" i="1"/>
  <c r="K246" i="1" a="1"/>
  <c r="K246" i="1" s="1"/>
  <c r="A246" i="1" a="1"/>
  <c r="A246" i="1" s="1"/>
  <c r="J246" i="1"/>
  <c r="AE245" i="1" a="1"/>
  <c r="AE245" i="1" s="1"/>
  <c r="AH245" i="1"/>
  <c r="U245" i="1" a="1"/>
  <c r="U245" i="1" s="1"/>
  <c r="K245" i="1" a="1"/>
  <c r="K245" i="1" s="1"/>
  <c r="A245" i="1" a="1"/>
  <c r="A245" i="1" s="1"/>
  <c r="F245" i="1"/>
  <c r="G245" i="1"/>
  <c r="H245" i="1"/>
  <c r="AE244" i="1" a="1"/>
  <c r="AE244" i="1" s="1"/>
  <c r="U244" i="1" a="1"/>
  <c r="U244" i="1" s="1"/>
  <c r="AB244" i="1"/>
  <c r="AC244" i="1"/>
  <c r="AD244" i="1"/>
  <c r="K244" i="1" a="1"/>
  <c r="K244" i="1" s="1"/>
  <c r="R244" i="1"/>
  <c r="S244" i="1"/>
  <c r="T244" i="1"/>
  <c r="A244" i="1" a="1"/>
  <c r="A244" i="1" s="1"/>
  <c r="AE243" i="1" a="1"/>
  <c r="AE243" i="1" s="1"/>
  <c r="U243" i="1" a="1"/>
  <c r="U243" i="1" s="1"/>
  <c r="AB243" i="1"/>
  <c r="AC243" i="1"/>
  <c r="AD243" i="1"/>
  <c r="K243" i="1" a="1"/>
  <c r="K243" i="1" s="1"/>
  <c r="A243" i="1" a="1"/>
  <c r="A243" i="1" s="1"/>
  <c r="I243" i="1"/>
  <c r="J243" i="1"/>
  <c r="AE242" i="1" a="1"/>
  <c r="AE242" i="1" s="1"/>
  <c r="U242" i="1" a="1"/>
  <c r="U242" i="1" s="1"/>
  <c r="K242" i="1" a="1"/>
  <c r="K242" i="1" s="1"/>
  <c r="R242" i="1"/>
  <c r="S242" i="1"/>
  <c r="T242" i="1"/>
  <c r="A242" i="1" a="1"/>
  <c r="A242" i="1" s="1"/>
  <c r="AE241" i="1" a="1"/>
  <c r="AE241" i="1" s="1"/>
  <c r="AF241" i="1"/>
  <c r="AG241" i="1"/>
  <c r="AH241" i="1"/>
  <c r="U241" i="1" a="1"/>
  <c r="U241" i="1" s="1"/>
  <c r="Z241" i="1"/>
  <c r="K241" i="1" a="1"/>
  <c r="K241" i="1" s="1"/>
  <c r="A241" i="1" a="1"/>
  <c r="A241" i="1" s="1"/>
  <c r="F241" i="1"/>
  <c r="G241" i="1"/>
  <c r="H241" i="1"/>
  <c r="I241" i="1"/>
  <c r="J241" i="1"/>
  <c r="AE240" i="1" a="1"/>
  <c r="AE240" i="1" s="1"/>
  <c r="U240" i="1" a="1"/>
  <c r="U240" i="1" s="1"/>
  <c r="AD240" i="1"/>
  <c r="K240" i="1" a="1"/>
  <c r="K240" i="1" s="1"/>
  <c r="O240" i="1"/>
  <c r="R240" i="1"/>
  <c r="A240" i="1" a="1"/>
  <c r="A240" i="1" s="1"/>
  <c r="H240" i="1"/>
  <c r="I240" i="1"/>
  <c r="AE239" i="1" a="1"/>
  <c r="AE239" i="1" s="1"/>
  <c r="AG239" i="1"/>
  <c r="AH239" i="1"/>
  <c r="U239" i="1" a="1"/>
  <c r="U239" i="1" s="1"/>
  <c r="AD239" i="1"/>
  <c r="K239" i="1" a="1"/>
  <c r="K239" i="1" s="1"/>
  <c r="S239" i="1"/>
  <c r="A239" i="1" a="1"/>
  <c r="A239" i="1" s="1"/>
  <c r="D239" i="1"/>
  <c r="AE238" i="1" a="1"/>
  <c r="AE238" i="1" s="1"/>
  <c r="AG238" i="1"/>
  <c r="AH238" i="1"/>
  <c r="U238" i="1" a="1"/>
  <c r="U238" i="1" s="1"/>
  <c r="AD238" i="1"/>
  <c r="K238" i="1" a="1"/>
  <c r="K238" i="1" s="1"/>
  <c r="Q238" i="1"/>
  <c r="T238" i="1"/>
  <c r="A238" i="1" a="1"/>
  <c r="A238" i="1" s="1"/>
  <c r="I238" i="1"/>
  <c r="J238" i="1"/>
  <c r="AE237" i="1" a="1"/>
  <c r="AE237" i="1" s="1"/>
  <c r="U237" i="1" a="1"/>
  <c r="U237" i="1" s="1"/>
  <c r="K237" i="1" a="1"/>
  <c r="K237" i="1" s="1"/>
  <c r="P237" i="1"/>
  <c r="Q237" i="1"/>
  <c r="R237" i="1"/>
  <c r="S237" i="1"/>
  <c r="T237" i="1"/>
  <c r="A237" i="1" a="1"/>
  <c r="A237" i="1" s="1"/>
  <c r="AE236" i="1" a="1"/>
  <c r="AE236" i="1" s="1"/>
  <c r="AG236" i="1"/>
  <c r="AH236" i="1"/>
  <c r="U236" i="1" a="1"/>
  <c r="U236" i="1" s="1"/>
  <c r="X236" i="1"/>
  <c r="K236" i="1" a="1"/>
  <c r="K236" i="1" s="1"/>
  <c r="P236" i="1"/>
  <c r="Q236" i="1"/>
  <c r="R236" i="1"/>
  <c r="S236" i="1"/>
  <c r="T236" i="1"/>
  <c r="A236" i="1" a="1"/>
  <c r="A236" i="1" s="1"/>
  <c r="G236" i="1"/>
  <c r="AE235" i="1" a="1"/>
  <c r="AE235" i="1" s="1"/>
  <c r="AG235" i="1"/>
  <c r="U235" i="1" a="1"/>
  <c r="U235" i="1" s="1"/>
  <c r="W235" i="1"/>
  <c r="X235" i="1"/>
  <c r="Y235" i="1"/>
  <c r="Z235" i="1"/>
  <c r="K235" i="1" a="1"/>
  <c r="K235" i="1" s="1"/>
  <c r="Q235" i="1"/>
  <c r="R235" i="1"/>
  <c r="S235" i="1"/>
  <c r="T235" i="1"/>
  <c r="A235" i="1" a="1"/>
  <c r="A235" i="1" s="1"/>
  <c r="G235" i="1"/>
  <c r="H235" i="1"/>
  <c r="AE234" i="1" a="1"/>
  <c r="AE234" i="1" s="1"/>
  <c r="AG234" i="1"/>
  <c r="U234" i="1" a="1"/>
  <c r="U234" i="1" s="1"/>
  <c r="X234" i="1"/>
  <c r="Y234" i="1"/>
  <c r="Z234" i="1"/>
  <c r="AA234" i="1"/>
  <c r="K234" i="1" a="1"/>
  <c r="K234" i="1" s="1"/>
  <c r="S234" i="1"/>
  <c r="T234" i="1"/>
  <c r="A234" i="1" a="1"/>
  <c r="A234" i="1" s="1"/>
  <c r="G234" i="1"/>
  <c r="I234" i="1"/>
  <c r="J234" i="1"/>
  <c r="AE233" i="1" a="1"/>
  <c r="AE233" i="1" s="1"/>
  <c r="U233" i="1" a="1"/>
  <c r="U233" i="1" s="1"/>
  <c r="X233" i="1"/>
  <c r="Z233" i="1"/>
  <c r="AA233" i="1"/>
  <c r="AB233" i="1"/>
  <c r="AC233" i="1"/>
  <c r="AD233" i="1"/>
  <c r="K233" i="1" a="1"/>
  <c r="K233" i="1" s="1"/>
  <c r="S233" i="1"/>
  <c r="T233" i="1"/>
  <c r="A233" i="1" a="1"/>
  <c r="A233" i="1" s="1"/>
  <c r="G233" i="1"/>
  <c r="I233" i="1"/>
  <c r="J233" i="1"/>
  <c r="AE232" i="1" a="1"/>
  <c r="AE232" i="1" s="1"/>
  <c r="U232" i="1" a="1"/>
  <c r="U232" i="1" s="1"/>
  <c r="X232" i="1"/>
  <c r="Y232" i="1"/>
  <c r="Z232" i="1"/>
  <c r="AB232" i="1"/>
  <c r="AC232" i="1"/>
  <c r="AD232" i="1"/>
  <c r="K232" i="1" a="1"/>
  <c r="K232" i="1" s="1"/>
  <c r="A232" i="1" a="1"/>
  <c r="A232" i="1" s="1"/>
  <c r="G232" i="1"/>
  <c r="H232" i="1"/>
  <c r="I232" i="1"/>
  <c r="J232" i="1"/>
  <c r="AE231" i="1" a="1"/>
  <c r="AE231" i="1" s="1"/>
  <c r="AH231" i="1"/>
  <c r="U231" i="1" a="1"/>
  <c r="U231" i="1" s="1"/>
  <c r="K231" i="1" a="1"/>
  <c r="K231" i="1" s="1"/>
  <c r="A231" i="1" a="1"/>
  <c r="A231" i="1" s="1"/>
  <c r="AE230" i="1" a="1"/>
  <c r="AE230" i="1" s="1"/>
  <c r="AH230" i="1"/>
  <c r="U230" i="1" a="1"/>
  <c r="U230" i="1" s="1"/>
  <c r="X230" i="1"/>
  <c r="Y230" i="1"/>
  <c r="K230" i="1" a="1"/>
  <c r="K230" i="1" s="1"/>
  <c r="Q230" i="1"/>
  <c r="R230" i="1"/>
  <c r="S230" i="1"/>
  <c r="T230" i="1"/>
  <c r="A230" i="1" a="1"/>
  <c r="A230" i="1" s="1"/>
  <c r="AE229" i="1" a="1"/>
  <c r="AE229" i="1" s="1"/>
  <c r="AG229" i="1"/>
  <c r="AH229" i="1"/>
  <c r="U229" i="1" a="1"/>
  <c r="U229" i="1" s="1"/>
  <c r="Y229" i="1"/>
  <c r="Z229" i="1"/>
  <c r="K229" i="1" a="1"/>
  <c r="K229" i="1" s="1"/>
  <c r="T229" i="1"/>
  <c r="A229" i="1" a="1"/>
  <c r="A229" i="1" s="1"/>
  <c r="AE228" i="1" a="1"/>
  <c r="AE228" i="1" s="1"/>
  <c r="U228" i="1" a="1"/>
  <c r="U228" i="1" s="1"/>
  <c r="X228" i="1"/>
  <c r="Y228" i="1"/>
  <c r="Z228" i="1"/>
  <c r="AA228" i="1"/>
  <c r="AB228" i="1"/>
  <c r="AC228" i="1"/>
  <c r="K228" i="1" a="1"/>
  <c r="K228" i="1" s="1"/>
  <c r="M228" i="1"/>
  <c r="O228" i="1"/>
  <c r="Q228" i="1"/>
  <c r="R228" i="1"/>
  <c r="S228" i="1"/>
  <c r="T228" i="1"/>
  <c r="A228" i="1" a="1"/>
  <c r="A228" i="1" s="1"/>
  <c r="AE227" i="1" a="1"/>
  <c r="AE227" i="1" s="1"/>
  <c r="U227" i="1" a="1"/>
  <c r="U227" i="1" s="1"/>
  <c r="Z227" i="1"/>
  <c r="K227" i="1" a="1"/>
  <c r="K227" i="1" s="1"/>
  <c r="Q227" i="1"/>
  <c r="R227" i="1"/>
  <c r="S227" i="1"/>
  <c r="A227" i="1" a="1"/>
  <c r="A227" i="1" s="1"/>
  <c r="H227" i="1"/>
  <c r="J227" i="1"/>
  <c r="AE226" i="1" a="1"/>
  <c r="AE226" i="1" s="1"/>
  <c r="AF226" i="1"/>
  <c r="AG226" i="1"/>
  <c r="AH226" i="1"/>
  <c r="U226" i="1" a="1"/>
  <c r="U226" i="1" s="1"/>
  <c r="W226" i="1"/>
  <c r="X226" i="1"/>
  <c r="K226" i="1" a="1"/>
  <c r="K226" i="1" s="1"/>
  <c r="R226" i="1"/>
  <c r="S226" i="1"/>
  <c r="T226" i="1"/>
  <c r="A226" i="1" a="1"/>
  <c r="A226" i="1" s="1"/>
  <c r="AE225" i="1" a="1"/>
  <c r="AE225" i="1" s="1"/>
  <c r="AG225" i="1"/>
  <c r="AH225" i="1"/>
  <c r="U225" i="1" a="1"/>
  <c r="U225" i="1" s="1"/>
  <c r="AA225" i="1"/>
  <c r="K225" i="1" a="1"/>
  <c r="K225" i="1" s="1"/>
  <c r="O225" i="1"/>
  <c r="Q225" i="1"/>
  <c r="R225" i="1"/>
  <c r="S225" i="1"/>
  <c r="T225" i="1"/>
  <c r="A225" i="1" a="1"/>
  <c r="A225" i="1" s="1"/>
  <c r="AE224" i="1" a="1"/>
  <c r="AE224" i="1" s="1"/>
  <c r="AH224" i="1"/>
  <c r="U224" i="1" a="1"/>
  <c r="U224" i="1" s="1"/>
  <c r="X224" i="1"/>
  <c r="AA224" i="1"/>
  <c r="AB224" i="1"/>
  <c r="K224" i="1" a="1"/>
  <c r="K224" i="1" s="1"/>
  <c r="Q224" i="1"/>
  <c r="S224" i="1"/>
  <c r="T224" i="1"/>
  <c r="A224" i="1" a="1"/>
  <c r="A224" i="1" s="1"/>
  <c r="C224" i="1"/>
  <c r="D224" i="1"/>
  <c r="AE223" i="1" a="1"/>
  <c r="AE223" i="1" s="1"/>
  <c r="AG223" i="1"/>
  <c r="AH223" i="1"/>
  <c r="U223" i="1" a="1"/>
  <c r="U223" i="1" s="1"/>
  <c r="X223" i="1"/>
  <c r="Y223" i="1"/>
  <c r="K223" i="1" a="1"/>
  <c r="K223" i="1" s="1"/>
  <c r="T223" i="1"/>
  <c r="A223" i="1" a="1"/>
  <c r="A223" i="1" s="1"/>
  <c r="D223" i="1"/>
  <c r="E223" i="1"/>
  <c r="F223" i="1"/>
  <c r="AE222" i="1" a="1"/>
  <c r="AE222" i="1" s="1"/>
  <c r="AH222" i="1"/>
  <c r="U222" i="1" a="1"/>
  <c r="U222" i="1" s="1"/>
  <c r="X222" i="1"/>
  <c r="Y222" i="1"/>
  <c r="Z222" i="1"/>
  <c r="AA222" i="1"/>
  <c r="AB222" i="1"/>
  <c r="AC222" i="1"/>
  <c r="K222" i="1" a="1"/>
  <c r="K222" i="1" s="1"/>
  <c r="S222" i="1"/>
  <c r="A222" i="1" a="1"/>
  <c r="A222" i="1" s="1"/>
  <c r="G222" i="1"/>
  <c r="H222" i="1"/>
  <c r="I222" i="1"/>
  <c r="J222" i="1"/>
  <c r="AE221" i="1" a="1"/>
  <c r="AE221" i="1" s="1"/>
  <c r="U221" i="1" a="1"/>
  <c r="U221" i="1" s="1"/>
  <c r="Y221" i="1"/>
  <c r="Z221" i="1"/>
  <c r="AA221" i="1"/>
  <c r="AB221" i="1"/>
  <c r="AC221" i="1"/>
  <c r="AD221" i="1"/>
  <c r="K221" i="1" a="1"/>
  <c r="K221" i="1" s="1"/>
  <c r="O221" i="1"/>
  <c r="A221" i="1" a="1"/>
  <c r="A221" i="1" s="1"/>
  <c r="F221" i="1"/>
  <c r="G221" i="1"/>
  <c r="H221" i="1"/>
  <c r="I221" i="1"/>
  <c r="J221" i="1"/>
  <c r="AE220" i="1" a="1"/>
  <c r="AE220" i="1" s="1"/>
  <c r="U220" i="1" a="1"/>
  <c r="U220" i="1" s="1"/>
  <c r="Y220" i="1"/>
  <c r="Z220" i="1"/>
  <c r="AA220" i="1"/>
  <c r="AB220" i="1"/>
  <c r="AC220" i="1"/>
  <c r="AD220" i="1"/>
  <c r="K220" i="1" a="1"/>
  <c r="K220" i="1" s="1"/>
  <c r="A220" i="1" a="1"/>
  <c r="A220" i="1" s="1"/>
  <c r="F220" i="1"/>
  <c r="G220" i="1"/>
  <c r="H220" i="1"/>
  <c r="I220" i="1"/>
  <c r="J220" i="1"/>
  <c r="AE219" i="1" a="1"/>
  <c r="AE219" i="1" s="1"/>
  <c r="U219" i="1" a="1"/>
  <c r="U219" i="1" s="1"/>
  <c r="Y219" i="1"/>
  <c r="Z219" i="1"/>
  <c r="AA219" i="1"/>
  <c r="AB219" i="1"/>
  <c r="AC219" i="1"/>
  <c r="AD219" i="1"/>
  <c r="K219" i="1" a="1"/>
  <c r="K219" i="1" s="1"/>
  <c r="A219" i="1" a="1"/>
  <c r="A219" i="1" s="1"/>
  <c r="F219" i="1"/>
  <c r="G219" i="1"/>
  <c r="H219" i="1"/>
  <c r="I219" i="1"/>
  <c r="J219" i="1"/>
  <c r="AE218" i="1" a="1"/>
  <c r="AE218" i="1" s="1"/>
  <c r="U218" i="1" a="1"/>
  <c r="U218" i="1" s="1"/>
  <c r="X218" i="1"/>
  <c r="AA218" i="1"/>
  <c r="AB218" i="1"/>
  <c r="AC218" i="1"/>
  <c r="AD218" i="1"/>
  <c r="K218" i="1" a="1"/>
  <c r="K218" i="1" s="1"/>
  <c r="R218" i="1"/>
  <c r="S218" i="1"/>
  <c r="A218" i="1" a="1"/>
  <c r="A218" i="1" s="1"/>
  <c r="AE217" i="1" a="1"/>
  <c r="AE217" i="1" s="1"/>
  <c r="U217" i="1" a="1"/>
  <c r="U217" i="1" s="1"/>
  <c r="X217" i="1"/>
  <c r="Y217" i="1"/>
  <c r="Z217" i="1"/>
  <c r="AA217" i="1"/>
  <c r="K217" i="1" a="1"/>
  <c r="K217" i="1" s="1"/>
  <c r="S217" i="1"/>
  <c r="T217" i="1"/>
  <c r="A217" i="1" a="1"/>
  <c r="A217" i="1" s="1"/>
  <c r="G217" i="1"/>
  <c r="AE216" i="1" a="1"/>
  <c r="AE216" i="1" s="1"/>
  <c r="U216" i="1" a="1"/>
  <c r="U216" i="1" s="1"/>
  <c r="Z216" i="1"/>
  <c r="AA216" i="1"/>
  <c r="AB216" i="1"/>
  <c r="K216" i="1" a="1"/>
  <c r="K216" i="1" s="1"/>
  <c r="N216" i="1"/>
  <c r="Q216" i="1"/>
  <c r="R216" i="1"/>
  <c r="S216" i="1"/>
  <c r="T216" i="1"/>
  <c r="A216" i="1" a="1"/>
  <c r="A216" i="1" s="1"/>
  <c r="G216" i="1"/>
  <c r="H216" i="1"/>
  <c r="AE215" i="1" a="1"/>
  <c r="AE215" i="1" s="1"/>
  <c r="AH215" i="1"/>
  <c r="U215" i="1" a="1"/>
  <c r="U215" i="1" s="1"/>
  <c r="W215" i="1"/>
  <c r="X215" i="1"/>
  <c r="Y215" i="1"/>
  <c r="Z215" i="1"/>
  <c r="AA215" i="1"/>
  <c r="K215" i="1" a="1"/>
  <c r="K215" i="1" s="1"/>
  <c r="Q215" i="1"/>
  <c r="R215" i="1"/>
  <c r="S215" i="1"/>
  <c r="T215" i="1"/>
  <c r="A215" i="1" a="1"/>
  <c r="A215" i="1" s="1"/>
  <c r="G215" i="1"/>
  <c r="AE214" i="1" a="1"/>
  <c r="AE214" i="1" s="1"/>
  <c r="AG214" i="1"/>
  <c r="AH214" i="1"/>
  <c r="U214" i="1" a="1"/>
  <c r="U214" i="1" s="1"/>
  <c r="X214" i="1"/>
  <c r="Y214" i="1"/>
  <c r="Z214" i="1"/>
  <c r="AA214" i="1"/>
  <c r="K214" i="1" a="1"/>
  <c r="K214" i="1" s="1"/>
  <c r="A214" i="1" a="1"/>
  <c r="A214" i="1" s="1"/>
  <c r="D214" i="1"/>
  <c r="E214" i="1"/>
  <c r="F214" i="1"/>
  <c r="G214" i="1"/>
  <c r="H214" i="1"/>
  <c r="I214" i="1"/>
  <c r="AE213" i="1" a="1"/>
  <c r="AE213" i="1" s="1"/>
  <c r="U213" i="1" a="1"/>
  <c r="U213" i="1" s="1"/>
  <c r="AA213" i="1"/>
  <c r="AB213" i="1"/>
  <c r="AC213" i="1"/>
  <c r="K213" i="1" a="1"/>
  <c r="K213" i="1" s="1"/>
  <c r="N213" i="1"/>
  <c r="O213" i="1"/>
  <c r="R213" i="1"/>
  <c r="S213" i="1"/>
  <c r="T213" i="1"/>
  <c r="A213" i="1" a="1"/>
  <c r="A213" i="1" s="1"/>
  <c r="G213" i="1"/>
  <c r="I213" i="1"/>
  <c r="AE212" i="1" a="1"/>
  <c r="AE212" i="1" s="1"/>
  <c r="U212" i="1" a="1"/>
  <c r="U212" i="1" s="1"/>
  <c r="AA212" i="1"/>
  <c r="AB212" i="1"/>
  <c r="AC212" i="1"/>
  <c r="K212" i="1" a="1"/>
  <c r="K212" i="1" s="1"/>
  <c r="P212" i="1"/>
  <c r="S212" i="1"/>
  <c r="T212" i="1"/>
  <c r="A212" i="1" a="1"/>
  <c r="A212" i="1" s="1"/>
  <c r="AE211" i="1" a="1"/>
  <c r="AE211" i="1" s="1"/>
  <c r="U211" i="1" a="1"/>
  <c r="U211" i="1" s="1"/>
  <c r="Z211" i="1"/>
  <c r="AA211" i="1"/>
  <c r="AB211" i="1"/>
  <c r="AC211" i="1"/>
  <c r="AD211" i="1"/>
  <c r="K211" i="1" a="1"/>
  <c r="K211" i="1" s="1"/>
  <c r="N211" i="1"/>
  <c r="A211" i="1" a="1"/>
  <c r="A211" i="1" s="1"/>
  <c r="J211" i="1"/>
  <c r="AE210" i="1" a="1"/>
  <c r="AE210" i="1" s="1"/>
  <c r="U210" i="1" a="1"/>
  <c r="U210" i="1" s="1"/>
  <c r="V210" i="1"/>
  <c r="K210" i="1" a="1"/>
  <c r="K210" i="1" s="1"/>
  <c r="M210" i="1"/>
  <c r="N210" i="1"/>
  <c r="A210" i="1" a="1"/>
  <c r="A210" i="1" s="1"/>
  <c r="H210" i="1"/>
  <c r="I210" i="1"/>
  <c r="J210" i="1"/>
  <c r="AE209" i="1" a="1"/>
  <c r="AE209" i="1" s="1"/>
  <c r="U209" i="1" a="1"/>
  <c r="U209" i="1" s="1"/>
  <c r="K209" i="1" a="1"/>
  <c r="K209" i="1" s="1"/>
  <c r="R209" i="1"/>
  <c r="S209" i="1"/>
  <c r="T209" i="1"/>
  <c r="A209" i="1" a="1"/>
  <c r="A209" i="1" s="1"/>
  <c r="AE208" i="1" a="1"/>
  <c r="AE208" i="1" s="1"/>
  <c r="AH208" i="1"/>
  <c r="U208" i="1" a="1"/>
  <c r="U208" i="1" s="1"/>
  <c r="X208" i="1"/>
  <c r="Y208" i="1"/>
  <c r="Z208" i="1"/>
  <c r="AA208" i="1"/>
  <c r="AB208" i="1"/>
  <c r="K208" i="1" a="1"/>
  <c r="K208" i="1" s="1"/>
  <c r="S208" i="1"/>
  <c r="T208" i="1"/>
  <c r="A208" i="1" a="1"/>
  <c r="A208" i="1" s="1"/>
  <c r="D208" i="1"/>
  <c r="E208" i="1"/>
  <c r="F208" i="1"/>
  <c r="G208" i="1"/>
  <c r="AE207" i="1" a="1"/>
  <c r="AE207" i="1" s="1"/>
  <c r="U207" i="1" a="1"/>
  <c r="U207" i="1" s="1"/>
  <c r="W207" i="1"/>
  <c r="X207" i="1"/>
  <c r="Y207" i="1"/>
  <c r="Z207" i="1"/>
  <c r="AA207" i="1"/>
  <c r="AB207" i="1"/>
  <c r="AC207" i="1"/>
  <c r="K207" i="1" a="1"/>
  <c r="K207" i="1" s="1"/>
  <c r="T207" i="1"/>
  <c r="A207" i="1" a="1"/>
  <c r="A207" i="1" s="1"/>
  <c r="C207" i="1"/>
  <c r="D207" i="1"/>
  <c r="E207" i="1"/>
  <c r="F207" i="1"/>
  <c r="G207" i="1"/>
  <c r="AE206" i="1" a="1"/>
  <c r="AE206" i="1" s="1"/>
  <c r="U206" i="1" a="1"/>
  <c r="U206" i="1" s="1"/>
  <c r="AB206" i="1"/>
  <c r="AC206" i="1"/>
  <c r="AD206" i="1"/>
  <c r="K206" i="1" a="1"/>
  <c r="K206" i="1" s="1"/>
  <c r="Q206" i="1"/>
  <c r="A206" i="1" a="1"/>
  <c r="A206" i="1" s="1"/>
  <c r="G206" i="1"/>
  <c r="H206" i="1"/>
  <c r="I206" i="1"/>
  <c r="J206" i="1"/>
  <c r="AE205" i="1" a="1"/>
  <c r="AE205" i="1" s="1"/>
  <c r="U205" i="1" a="1"/>
  <c r="U205" i="1" s="1"/>
  <c r="V205" i="1"/>
  <c r="K205" i="1" a="1"/>
  <c r="K205" i="1" s="1"/>
  <c r="Q205" i="1"/>
  <c r="A205" i="1" a="1"/>
  <c r="A205" i="1" s="1"/>
  <c r="G205" i="1"/>
  <c r="I205" i="1"/>
  <c r="J205" i="1"/>
  <c r="AE204" i="1" a="1"/>
  <c r="AE204" i="1" s="1"/>
  <c r="AH204" i="1"/>
  <c r="U204" i="1" a="1"/>
  <c r="U204" i="1" s="1"/>
  <c r="K204" i="1" a="1"/>
  <c r="K204" i="1" s="1"/>
  <c r="N204" i="1"/>
  <c r="O204" i="1"/>
  <c r="P204" i="1"/>
  <c r="Q204" i="1"/>
  <c r="R204" i="1"/>
  <c r="A204" i="1" a="1"/>
  <c r="A204" i="1" s="1"/>
  <c r="G204" i="1"/>
  <c r="H204" i="1"/>
  <c r="I204" i="1"/>
  <c r="J204" i="1"/>
  <c r="AE203" i="1" a="1"/>
  <c r="AE203" i="1" s="1"/>
  <c r="AH203" i="1"/>
  <c r="U203" i="1" a="1"/>
  <c r="U203" i="1" s="1"/>
  <c r="AA203" i="1"/>
  <c r="K203" i="1" a="1"/>
  <c r="K203" i="1" s="1"/>
  <c r="O203" i="1"/>
  <c r="P203" i="1"/>
  <c r="Q203" i="1"/>
  <c r="R203" i="1"/>
  <c r="S203" i="1"/>
  <c r="T203" i="1"/>
  <c r="A203" i="1" a="1"/>
  <c r="A203" i="1" s="1"/>
  <c r="AE202" i="1" a="1"/>
  <c r="AE202" i="1" s="1"/>
  <c r="AG202" i="1"/>
  <c r="AH202" i="1"/>
  <c r="U202" i="1" a="1"/>
  <c r="U202" i="1" s="1"/>
  <c r="AA202" i="1"/>
  <c r="AB202" i="1"/>
  <c r="K202" i="1" a="1"/>
  <c r="K202" i="1" s="1"/>
  <c r="N202" i="1"/>
  <c r="P202" i="1"/>
  <c r="Q202" i="1"/>
  <c r="R202" i="1"/>
  <c r="S202" i="1"/>
  <c r="T202" i="1"/>
  <c r="A202" i="1" a="1"/>
  <c r="A202" i="1" s="1"/>
  <c r="I202" i="1"/>
  <c r="AE201" i="1" a="1"/>
  <c r="AE201" i="1" s="1"/>
  <c r="AH201" i="1"/>
  <c r="U201" i="1" a="1"/>
  <c r="U201" i="1" s="1"/>
  <c r="Z201" i="1"/>
  <c r="AA201" i="1"/>
  <c r="AB201" i="1"/>
  <c r="K201" i="1" a="1"/>
  <c r="K201" i="1" s="1"/>
  <c r="Q201" i="1"/>
  <c r="T201" i="1"/>
  <c r="A201" i="1" a="1"/>
  <c r="A201" i="1" s="1"/>
  <c r="D201" i="1"/>
  <c r="E201" i="1"/>
  <c r="F201" i="1"/>
  <c r="G201" i="1"/>
  <c r="H201" i="1"/>
  <c r="AE200" i="1" a="1"/>
  <c r="AE200" i="1" s="1"/>
  <c r="AG200" i="1"/>
  <c r="AH200" i="1"/>
  <c r="U200" i="1" a="1"/>
  <c r="U200" i="1" s="1"/>
  <c r="X200" i="1"/>
  <c r="Y200" i="1"/>
  <c r="Z200" i="1"/>
  <c r="AA200" i="1"/>
  <c r="AB200" i="1"/>
  <c r="K200" i="1" a="1"/>
  <c r="K200" i="1" s="1"/>
  <c r="A200" i="1" a="1"/>
  <c r="A200" i="1" s="1"/>
  <c r="J200" i="1"/>
  <c r="AE199" i="1" a="1"/>
  <c r="AE199" i="1" s="1"/>
  <c r="U199" i="1" a="1"/>
  <c r="U199" i="1" s="1"/>
  <c r="AA199" i="1"/>
  <c r="K199" i="1" a="1"/>
  <c r="K199" i="1" s="1"/>
  <c r="R199" i="1"/>
  <c r="S199" i="1"/>
  <c r="T199" i="1"/>
  <c r="A199" i="1" a="1"/>
  <c r="A199" i="1" s="1"/>
  <c r="G199" i="1"/>
  <c r="H199" i="1"/>
  <c r="I199" i="1"/>
  <c r="AE198" i="1" a="1"/>
  <c r="AE198" i="1" s="1"/>
  <c r="AG198" i="1"/>
  <c r="AH198" i="1"/>
  <c r="U198" i="1" a="1"/>
  <c r="U198" i="1" s="1"/>
  <c r="Y198" i="1"/>
  <c r="Z198" i="1"/>
  <c r="AA198" i="1"/>
  <c r="AB198" i="1"/>
  <c r="AC198" i="1"/>
  <c r="AD198" i="1"/>
  <c r="K198" i="1" a="1"/>
  <c r="K198" i="1" s="1"/>
  <c r="A198" i="1" a="1"/>
  <c r="A198" i="1" s="1"/>
  <c r="J198" i="1"/>
  <c r="AE197" i="1" a="1"/>
  <c r="AE197" i="1" s="1"/>
  <c r="AH197" i="1"/>
  <c r="U197" i="1" a="1"/>
  <c r="U197" i="1" s="1"/>
  <c r="AB197" i="1"/>
  <c r="AC197" i="1"/>
  <c r="K197" i="1" a="1"/>
  <c r="K197" i="1" s="1"/>
  <c r="P197" i="1"/>
  <c r="Q197" i="1"/>
  <c r="R197" i="1"/>
  <c r="S197" i="1"/>
  <c r="T197" i="1"/>
  <c r="A197" i="1" a="1"/>
  <c r="A197" i="1" s="1"/>
  <c r="G197" i="1"/>
  <c r="AE196" i="1" a="1"/>
  <c r="AE196" i="1" s="1"/>
  <c r="AG196" i="1"/>
  <c r="U196" i="1" a="1"/>
  <c r="U196" i="1" s="1"/>
  <c r="AB196" i="1"/>
  <c r="AC196" i="1"/>
  <c r="AD196" i="1"/>
  <c r="K196" i="1" a="1"/>
  <c r="K196" i="1" s="1"/>
  <c r="A196" i="1" a="1"/>
  <c r="A196" i="1" s="1"/>
  <c r="F196" i="1"/>
  <c r="G196" i="1"/>
  <c r="H196" i="1"/>
  <c r="I196" i="1"/>
  <c r="J196" i="1"/>
  <c r="AE195" i="1" a="1"/>
  <c r="AE195" i="1" s="1"/>
  <c r="AG195" i="1"/>
  <c r="U195" i="1" a="1"/>
  <c r="U195" i="1" s="1"/>
  <c r="AA195" i="1"/>
  <c r="AB195" i="1"/>
  <c r="AC195" i="1"/>
  <c r="AD195" i="1"/>
  <c r="K195" i="1" a="1"/>
  <c r="K195" i="1" s="1"/>
  <c r="Q195" i="1"/>
  <c r="R195" i="1"/>
  <c r="S195" i="1"/>
  <c r="A195" i="1" a="1"/>
  <c r="A195" i="1" s="1"/>
  <c r="G195" i="1"/>
  <c r="J195" i="1"/>
  <c r="AE194" i="1" a="1"/>
  <c r="AE194" i="1" s="1"/>
  <c r="AH194" i="1"/>
  <c r="U194" i="1" a="1"/>
  <c r="U194" i="1" s="1"/>
  <c r="V194" i="1"/>
  <c r="W194" i="1"/>
  <c r="X194" i="1"/>
  <c r="K194" i="1" a="1"/>
  <c r="K194" i="1" s="1"/>
  <c r="Q194" i="1"/>
  <c r="R194" i="1"/>
  <c r="S194" i="1"/>
  <c r="T194" i="1"/>
  <c r="A194" i="1" a="1"/>
  <c r="A194" i="1" s="1"/>
  <c r="H194" i="1"/>
  <c r="AE193" i="1" a="1"/>
  <c r="AE193" i="1" s="1"/>
  <c r="AF193" i="1"/>
  <c r="AG193" i="1"/>
  <c r="AH193" i="1"/>
  <c r="U193" i="1" a="1"/>
  <c r="U193" i="1" s="1"/>
  <c r="AA193" i="1"/>
  <c r="K193" i="1" a="1"/>
  <c r="K193" i="1" s="1"/>
  <c r="N193" i="1"/>
  <c r="P193" i="1"/>
  <c r="Q193" i="1"/>
  <c r="R193" i="1"/>
  <c r="S193" i="1"/>
  <c r="T193" i="1"/>
  <c r="A193" i="1" a="1"/>
  <c r="A193" i="1" s="1"/>
  <c r="AE192" i="1" a="1"/>
  <c r="AE192" i="1" s="1"/>
  <c r="AG192" i="1"/>
  <c r="AH192" i="1"/>
  <c r="U192" i="1" a="1"/>
  <c r="U192" i="1" s="1"/>
  <c r="W192" i="1"/>
  <c r="Y192" i="1"/>
  <c r="K192" i="1" a="1"/>
  <c r="L192" i="1" s="1"/>
  <c r="K192" i="1"/>
  <c r="O192" i="1"/>
  <c r="P192" i="1"/>
  <c r="Q192" i="1"/>
  <c r="R192" i="1"/>
  <c r="S192" i="1"/>
  <c r="A192" i="1" a="1"/>
  <c r="A192" i="1" s="1"/>
  <c r="F192" i="1"/>
  <c r="G192" i="1"/>
  <c r="H192" i="1"/>
  <c r="I192" i="1"/>
  <c r="J192" i="1"/>
  <c r="AE191" i="1" a="1"/>
  <c r="AE191" i="1" s="1"/>
  <c r="AF191" i="1"/>
  <c r="U191" i="1" a="1"/>
  <c r="U191" i="1" s="1"/>
  <c r="Y191" i="1"/>
  <c r="Z191" i="1"/>
  <c r="AA191" i="1"/>
  <c r="AB191" i="1"/>
  <c r="AC191" i="1"/>
  <c r="AD191" i="1"/>
  <c r="K191" i="1" a="1"/>
  <c r="K191" i="1" s="1"/>
  <c r="M191" i="1"/>
  <c r="A191" i="1" a="1"/>
  <c r="A191" i="1" s="1"/>
  <c r="C191" i="1"/>
  <c r="D191" i="1"/>
  <c r="E191" i="1"/>
  <c r="F191" i="1"/>
  <c r="G191" i="1"/>
  <c r="AE190" i="1" a="1"/>
  <c r="AE190" i="1" s="1"/>
  <c r="AF190" i="1"/>
  <c r="AH190" i="1"/>
  <c r="U190" i="1" a="1"/>
  <c r="U190" i="1" s="1"/>
  <c r="X190" i="1"/>
  <c r="Y190" i="1"/>
  <c r="Z190" i="1"/>
  <c r="K190" i="1" a="1"/>
  <c r="K190" i="1" s="1"/>
  <c r="P190" i="1"/>
  <c r="Q190" i="1"/>
  <c r="R190" i="1"/>
  <c r="S190" i="1"/>
  <c r="T190" i="1"/>
  <c r="A190" i="1" a="1"/>
  <c r="A190" i="1" s="1"/>
  <c r="D190" i="1"/>
  <c r="AE189" i="1" a="1"/>
  <c r="AE189" i="1" s="1"/>
  <c r="AH189" i="1"/>
  <c r="U189" i="1" a="1"/>
  <c r="U189" i="1" s="1"/>
  <c r="X189" i="1"/>
  <c r="Y189" i="1"/>
  <c r="K189" i="1" a="1"/>
  <c r="K189" i="1" s="1"/>
  <c r="S189" i="1"/>
  <c r="T189" i="1"/>
  <c r="A189" i="1" a="1"/>
  <c r="A189" i="1" s="1"/>
  <c r="I189" i="1"/>
  <c r="J189" i="1"/>
  <c r="AE188" i="1" a="1"/>
  <c r="AE188" i="1" s="1"/>
  <c r="U188" i="1" a="1"/>
  <c r="U188" i="1" s="1"/>
  <c r="X188" i="1"/>
  <c r="Y188" i="1"/>
  <c r="AA188" i="1"/>
  <c r="AB188" i="1"/>
  <c r="AC188" i="1"/>
  <c r="AD188" i="1"/>
  <c r="K188" i="1" a="1"/>
  <c r="K188" i="1" s="1"/>
  <c r="A188" i="1" a="1"/>
  <c r="A188" i="1" s="1"/>
  <c r="H188" i="1"/>
  <c r="I188" i="1"/>
  <c r="J188" i="1"/>
  <c r="AE187" i="1" a="1"/>
  <c r="AE187" i="1" s="1"/>
  <c r="AG187" i="1"/>
  <c r="AH187" i="1"/>
  <c r="U187" i="1" a="1"/>
  <c r="U187" i="1" s="1"/>
  <c r="K187" i="1" a="1"/>
  <c r="K187" i="1" s="1"/>
  <c r="P187" i="1"/>
  <c r="Q187" i="1"/>
  <c r="R187" i="1"/>
  <c r="A187" i="1" a="1"/>
  <c r="A187" i="1" s="1"/>
  <c r="G187" i="1"/>
  <c r="H187" i="1"/>
  <c r="I187" i="1"/>
  <c r="J187" i="1"/>
  <c r="AE186" i="1" a="1"/>
  <c r="AE186" i="1" s="1"/>
  <c r="U186" i="1" a="1"/>
  <c r="U186" i="1" s="1"/>
  <c r="K186" i="1" a="1"/>
  <c r="K186" i="1" s="1"/>
  <c r="O186" i="1"/>
  <c r="Q186" i="1"/>
  <c r="R186" i="1"/>
  <c r="S186" i="1"/>
  <c r="T186" i="1"/>
  <c r="A186" i="1" a="1"/>
  <c r="A186" i="1" s="1"/>
  <c r="AE185" i="1" a="1"/>
  <c r="AE185" i="1" s="1"/>
  <c r="U185" i="1" a="1"/>
  <c r="U185" i="1" s="1"/>
  <c r="Y185" i="1"/>
  <c r="Z185" i="1"/>
  <c r="AA185" i="1"/>
  <c r="AB185" i="1"/>
  <c r="AC185" i="1"/>
  <c r="AD185" i="1"/>
  <c r="K185" i="1" a="1"/>
  <c r="K185" i="1" s="1"/>
  <c r="A185" i="1" a="1"/>
  <c r="A185" i="1" s="1"/>
  <c r="H185" i="1"/>
  <c r="I185" i="1"/>
  <c r="J185" i="1"/>
  <c r="AE184" i="1" a="1"/>
  <c r="AE184" i="1" s="1"/>
  <c r="AF184" i="1"/>
  <c r="U184" i="1" a="1"/>
  <c r="U184" i="1" s="1"/>
  <c r="Z184" i="1"/>
  <c r="AA184" i="1"/>
  <c r="AB184" i="1"/>
  <c r="AC184" i="1"/>
  <c r="AD184" i="1"/>
  <c r="K184" i="1" a="1"/>
  <c r="K184" i="1" s="1"/>
  <c r="R184" i="1"/>
  <c r="A184" i="1" a="1"/>
  <c r="A184" i="1" s="1"/>
  <c r="H184" i="1"/>
  <c r="AE183" i="1" a="1"/>
  <c r="AE183" i="1" s="1"/>
  <c r="AG183" i="1"/>
  <c r="AH183" i="1"/>
  <c r="U183" i="1" a="1"/>
  <c r="U183" i="1" s="1"/>
  <c r="K183" i="1" a="1"/>
  <c r="K183" i="1" s="1"/>
  <c r="N183" i="1"/>
  <c r="O183" i="1"/>
  <c r="P183" i="1"/>
  <c r="Q183" i="1"/>
  <c r="R183" i="1"/>
  <c r="S183" i="1"/>
  <c r="A183" i="1" a="1"/>
  <c r="A183" i="1" s="1"/>
  <c r="H183" i="1"/>
  <c r="J183" i="1"/>
  <c r="AE182" i="1" a="1"/>
  <c r="AE182" i="1" s="1"/>
  <c r="U182" i="1" a="1"/>
  <c r="U182" i="1" s="1"/>
  <c r="X182" i="1"/>
  <c r="Y182" i="1"/>
  <c r="Z182" i="1"/>
  <c r="K182" i="1" a="1"/>
  <c r="K182" i="1" s="1"/>
  <c r="R182" i="1"/>
  <c r="S182" i="1"/>
  <c r="T182" i="1"/>
  <c r="A182" i="1" a="1"/>
  <c r="A182" i="1" s="1"/>
  <c r="C182" i="1"/>
  <c r="D182" i="1"/>
  <c r="E182" i="1"/>
  <c r="AE181" i="1" a="1"/>
  <c r="AE181" i="1" s="1"/>
  <c r="AH181" i="1"/>
  <c r="U181" i="1" a="1"/>
  <c r="U181" i="1" s="1"/>
  <c r="X181" i="1"/>
  <c r="Y181" i="1"/>
  <c r="K181" i="1" a="1"/>
  <c r="K181" i="1" s="1"/>
  <c r="Q181" i="1"/>
  <c r="R181" i="1"/>
  <c r="S181" i="1"/>
  <c r="T181" i="1"/>
  <c r="A181" i="1" a="1"/>
  <c r="A181" i="1" s="1"/>
  <c r="H181" i="1"/>
  <c r="AE180" i="1" a="1"/>
  <c r="AE180" i="1" s="1"/>
  <c r="U180" i="1" a="1"/>
  <c r="U180" i="1" s="1"/>
  <c r="Z180" i="1"/>
  <c r="AA180" i="1"/>
  <c r="AB180" i="1"/>
  <c r="K180" i="1" a="1"/>
  <c r="K180" i="1" s="1"/>
  <c r="S180" i="1"/>
  <c r="T180" i="1"/>
  <c r="A180" i="1" a="1"/>
  <c r="A180" i="1" s="1"/>
  <c r="H180" i="1"/>
  <c r="I180" i="1"/>
  <c r="J180" i="1"/>
  <c r="AE179" i="1" a="1"/>
  <c r="AE179" i="1" s="1"/>
  <c r="U179" i="1" a="1"/>
  <c r="U179" i="1" s="1"/>
  <c r="Z179" i="1"/>
  <c r="AC179" i="1"/>
  <c r="AD179" i="1"/>
  <c r="K179" i="1" a="1"/>
  <c r="K179" i="1" s="1"/>
  <c r="O179" i="1"/>
  <c r="A179" i="1" a="1"/>
  <c r="A179" i="1" s="1"/>
  <c r="G179" i="1"/>
  <c r="H179" i="1"/>
  <c r="I179" i="1"/>
  <c r="J179" i="1"/>
  <c r="AE178" i="1" a="1"/>
  <c r="AE178" i="1" s="1"/>
  <c r="AH178" i="1"/>
  <c r="U178" i="1" a="1"/>
  <c r="U178" i="1" s="1"/>
  <c r="Z178" i="1"/>
  <c r="AB178" i="1"/>
  <c r="AC178" i="1"/>
  <c r="K178" i="1" a="1"/>
  <c r="K178" i="1" s="1"/>
  <c r="M178" i="1"/>
  <c r="N178" i="1"/>
  <c r="O178" i="1"/>
  <c r="A178" i="1" a="1"/>
  <c r="A178" i="1" s="1"/>
  <c r="E178" i="1"/>
  <c r="F178" i="1"/>
  <c r="G178" i="1"/>
  <c r="H178" i="1"/>
  <c r="I178" i="1"/>
  <c r="J178" i="1"/>
  <c r="AE177" i="1" a="1"/>
  <c r="AE177" i="1" s="1"/>
  <c r="U177" i="1" a="1"/>
  <c r="U177" i="1" s="1"/>
  <c r="AA177" i="1"/>
  <c r="AC177" i="1"/>
  <c r="AD177" i="1"/>
  <c r="K177" i="1" a="1"/>
  <c r="K177" i="1" s="1"/>
  <c r="Q177" i="1"/>
  <c r="R177" i="1"/>
  <c r="S177" i="1"/>
  <c r="T177" i="1"/>
  <c r="A177" i="1" a="1"/>
  <c r="A177" i="1" s="1"/>
  <c r="H177" i="1"/>
  <c r="AE176" i="1" a="1"/>
  <c r="AE176" i="1" s="1"/>
  <c r="AH176" i="1"/>
  <c r="U176" i="1" a="1"/>
  <c r="U176" i="1" s="1"/>
  <c r="AA176" i="1"/>
  <c r="AB176" i="1"/>
  <c r="K176" i="1" a="1"/>
  <c r="K176" i="1" s="1"/>
  <c r="P176" i="1"/>
  <c r="Q176" i="1"/>
  <c r="R176" i="1"/>
  <c r="S176" i="1"/>
  <c r="T176" i="1"/>
  <c r="A176" i="1" a="1"/>
  <c r="A176" i="1" s="1"/>
  <c r="AE175" i="1" a="1"/>
  <c r="AE175" i="1" s="1"/>
  <c r="AH175" i="1"/>
  <c r="U175" i="1" a="1"/>
  <c r="U175" i="1" s="1"/>
  <c r="Z175" i="1"/>
  <c r="AA175" i="1"/>
  <c r="K175" i="1" a="1"/>
  <c r="K175" i="1" s="1"/>
  <c r="T175" i="1"/>
  <c r="A175" i="1" a="1"/>
  <c r="A175" i="1" s="1"/>
  <c r="AE174" i="1" a="1"/>
  <c r="AE174" i="1" s="1"/>
  <c r="U174" i="1" a="1"/>
  <c r="U174" i="1" s="1"/>
  <c r="Y174" i="1"/>
  <c r="Z174" i="1"/>
  <c r="AA174" i="1"/>
  <c r="AB174" i="1"/>
  <c r="AC174" i="1"/>
  <c r="AD174" i="1"/>
  <c r="K174" i="1" a="1"/>
  <c r="K174" i="1" s="1"/>
  <c r="P174" i="1"/>
  <c r="Q174" i="1"/>
  <c r="T174" i="1"/>
  <c r="A174" i="1" a="1"/>
  <c r="A174" i="1" s="1"/>
  <c r="AE173" i="1" a="1"/>
  <c r="AE173" i="1" s="1"/>
  <c r="U173" i="1" a="1"/>
  <c r="U173" i="1" s="1"/>
  <c r="Z173" i="1"/>
  <c r="AA173" i="1"/>
  <c r="AB173" i="1"/>
  <c r="AC173" i="1"/>
  <c r="AD173" i="1"/>
  <c r="K173" i="1" a="1"/>
  <c r="K173" i="1" s="1"/>
  <c r="N173" i="1"/>
  <c r="O173" i="1"/>
  <c r="S173" i="1"/>
  <c r="A173" i="1" a="1"/>
  <c r="A173" i="1" s="1"/>
  <c r="D173" i="1"/>
  <c r="AE172" i="1" a="1"/>
  <c r="AE172" i="1" s="1"/>
  <c r="AH172" i="1"/>
  <c r="U172" i="1" a="1"/>
  <c r="U172" i="1" s="1"/>
  <c r="K172" i="1" a="1"/>
  <c r="K172" i="1" s="1"/>
  <c r="R172" i="1"/>
  <c r="S172" i="1"/>
  <c r="A172" i="1" a="1"/>
  <c r="A172" i="1" s="1"/>
  <c r="D172" i="1"/>
  <c r="E172" i="1"/>
  <c r="G172" i="1"/>
  <c r="H172" i="1"/>
  <c r="I172" i="1"/>
  <c r="J172" i="1"/>
  <c r="AE171" i="1" a="1"/>
  <c r="AE171" i="1" s="1"/>
  <c r="U171" i="1" a="1"/>
  <c r="U171" i="1" s="1"/>
  <c r="AA171" i="1"/>
  <c r="AB171" i="1"/>
  <c r="AC171" i="1"/>
  <c r="AD171" i="1"/>
  <c r="K171" i="1" a="1"/>
  <c r="K171" i="1" s="1"/>
  <c r="N171" i="1"/>
  <c r="P171" i="1"/>
  <c r="Q171" i="1"/>
  <c r="A171" i="1" a="1"/>
  <c r="A171" i="1" s="1"/>
  <c r="AE170" i="1" a="1"/>
  <c r="AE170" i="1" s="1"/>
  <c r="AF170" i="1"/>
  <c r="AH170" i="1"/>
  <c r="U170" i="1" a="1"/>
  <c r="U170" i="1" s="1"/>
  <c r="AB170" i="1"/>
  <c r="K170" i="1" a="1"/>
  <c r="K170" i="1" s="1"/>
  <c r="S170" i="1"/>
  <c r="T170" i="1"/>
  <c r="A170" i="1" a="1"/>
  <c r="A170" i="1" s="1"/>
  <c r="G170" i="1"/>
  <c r="H170" i="1"/>
  <c r="J170" i="1"/>
  <c r="AE169" i="1" a="1"/>
  <c r="AE169" i="1" s="1"/>
  <c r="U169" i="1" a="1"/>
  <c r="U169" i="1" s="1"/>
  <c r="K169" i="1" a="1"/>
  <c r="K169" i="1" s="1"/>
  <c r="M169" i="1"/>
  <c r="P169" i="1"/>
  <c r="R169" i="1"/>
  <c r="S169" i="1"/>
  <c r="A169" i="1" a="1"/>
  <c r="A169" i="1" s="1"/>
  <c r="G169" i="1"/>
  <c r="I169" i="1"/>
  <c r="J169" i="1"/>
  <c r="AE168" i="1" a="1"/>
  <c r="AE168" i="1" s="1"/>
  <c r="AG168" i="1"/>
  <c r="AH168" i="1"/>
  <c r="U168" i="1" a="1"/>
  <c r="U168" i="1" s="1"/>
  <c r="AB168" i="1"/>
  <c r="AC168" i="1"/>
  <c r="AD168" i="1"/>
  <c r="K168" i="1" a="1"/>
  <c r="K168" i="1" s="1"/>
  <c r="S168" i="1"/>
  <c r="A168" i="1" a="1"/>
  <c r="A168" i="1" s="1"/>
  <c r="AE167" i="1" a="1"/>
  <c r="AE167" i="1" s="1"/>
  <c r="U167" i="1" a="1"/>
  <c r="U167" i="1" s="1"/>
  <c r="K167" i="1" a="1"/>
  <c r="K167" i="1" s="1"/>
  <c r="S167" i="1"/>
  <c r="A167" i="1" a="1"/>
  <c r="A167" i="1" s="1"/>
  <c r="AE166" i="1" a="1"/>
  <c r="AE166" i="1" s="1"/>
  <c r="AH166" i="1"/>
  <c r="U166" i="1" a="1"/>
  <c r="U166" i="1" s="1"/>
  <c r="K166" i="1" a="1"/>
  <c r="K166" i="1" s="1"/>
  <c r="Q166" i="1"/>
  <c r="R166" i="1"/>
  <c r="S166" i="1"/>
  <c r="T166" i="1"/>
  <c r="A166" i="1" a="1"/>
  <c r="A166" i="1" s="1"/>
  <c r="H166" i="1"/>
  <c r="I166" i="1"/>
  <c r="AE165" i="1" a="1"/>
  <c r="AE165" i="1" s="1"/>
  <c r="AH165" i="1"/>
  <c r="U165" i="1" a="1"/>
  <c r="U165" i="1" s="1"/>
  <c r="X165" i="1"/>
  <c r="Y165" i="1"/>
  <c r="Z165" i="1"/>
  <c r="AA165" i="1"/>
  <c r="AB165" i="1"/>
  <c r="AC165" i="1"/>
  <c r="AD165" i="1"/>
  <c r="K165" i="1" a="1"/>
  <c r="K165" i="1" s="1"/>
  <c r="Q165" i="1"/>
  <c r="R165" i="1"/>
  <c r="S165" i="1"/>
  <c r="T165" i="1"/>
  <c r="A165" i="1" a="1"/>
  <c r="A165" i="1" s="1"/>
  <c r="G165" i="1"/>
  <c r="I165" i="1"/>
  <c r="J165" i="1"/>
  <c r="AE164" i="1" a="1"/>
  <c r="AE164" i="1" s="1"/>
  <c r="AH164" i="1"/>
  <c r="U164" i="1" a="1"/>
  <c r="U164" i="1" s="1"/>
  <c r="Z164" i="1"/>
  <c r="AB164" i="1"/>
  <c r="AC164" i="1"/>
  <c r="AD164" i="1"/>
  <c r="K164" i="1" a="1"/>
  <c r="K164" i="1" s="1"/>
  <c r="A164" i="1" a="1"/>
  <c r="A164" i="1" s="1"/>
  <c r="AE163" i="1" a="1"/>
  <c r="AE163" i="1" s="1"/>
  <c r="AG163" i="1"/>
  <c r="AH163" i="1"/>
  <c r="U163" i="1" a="1"/>
  <c r="U163" i="1" s="1"/>
  <c r="Y163" i="1"/>
  <c r="Z163" i="1"/>
  <c r="AB163" i="1"/>
  <c r="AC163" i="1"/>
  <c r="K163" i="1" a="1"/>
  <c r="K163" i="1" s="1"/>
  <c r="R163" i="1"/>
  <c r="T163" i="1"/>
  <c r="A163" i="1" a="1"/>
  <c r="A163" i="1" s="1"/>
  <c r="AE162" i="1" a="1"/>
  <c r="AE162" i="1" s="1"/>
  <c r="AH162" i="1"/>
  <c r="U162" i="1" a="1"/>
  <c r="U162" i="1" s="1"/>
  <c r="X162" i="1"/>
  <c r="Y162" i="1"/>
  <c r="Z162" i="1"/>
  <c r="AA162" i="1"/>
  <c r="AC162" i="1"/>
  <c r="AD162" i="1"/>
  <c r="K162" i="1" a="1"/>
  <c r="K162" i="1" s="1"/>
  <c r="R162" i="1"/>
  <c r="T162" i="1"/>
  <c r="A162" i="1" a="1"/>
  <c r="A162" i="1" s="1"/>
  <c r="G162" i="1"/>
  <c r="H162" i="1"/>
  <c r="I162" i="1"/>
  <c r="J162" i="1"/>
  <c r="AE161" i="1" a="1"/>
  <c r="AE161" i="1" s="1"/>
  <c r="U161" i="1" a="1"/>
  <c r="U161" i="1" s="1"/>
  <c r="Z161" i="1"/>
  <c r="AA161" i="1"/>
  <c r="AB161" i="1"/>
  <c r="AC161" i="1"/>
  <c r="AD161" i="1"/>
  <c r="K161" i="1" a="1"/>
  <c r="K161" i="1" s="1"/>
  <c r="N161" i="1"/>
  <c r="O161" i="1"/>
  <c r="A161" i="1" a="1"/>
  <c r="A161" i="1" s="1"/>
  <c r="G161" i="1"/>
  <c r="I161" i="1"/>
  <c r="AE160" i="1" a="1"/>
  <c r="AE160" i="1" s="1"/>
  <c r="U160" i="1" a="1"/>
  <c r="U160" i="1" s="1"/>
  <c r="AB160" i="1"/>
  <c r="AC160" i="1"/>
  <c r="AD160" i="1"/>
  <c r="K160" i="1" a="1"/>
  <c r="K160" i="1" s="1"/>
  <c r="O160" i="1"/>
  <c r="Q160" i="1"/>
  <c r="R160" i="1"/>
  <c r="A160" i="1" a="1"/>
  <c r="A160" i="1" s="1"/>
  <c r="F160" i="1"/>
  <c r="H160" i="1"/>
  <c r="I160" i="1"/>
  <c r="J160" i="1"/>
  <c r="AE159" i="1" a="1"/>
  <c r="AE159" i="1" s="1"/>
  <c r="U159" i="1" a="1"/>
  <c r="U159" i="1" s="1"/>
  <c r="Y159" i="1"/>
  <c r="Z159" i="1"/>
  <c r="AA159" i="1"/>
  <c r="AB159" i="1"/>
  <c r="AC159" i="1"/>
  <c r="AD159" i="1"/>
  <c r="K159" i="1" a="1"/>
  <c r="K159" i="1" s="1"/>
  <c r="O159" i="1"/>
  <c r="P159" i="1"/>
  <c r="S159" i="1"/>
  <c r="T159" i="1"/>
  <c r="A159" i="1" a="1"/>
  <c r="A159" i="1" s="1"/>
  <c r="H159" i="1"/>
  <c r="I159" i="1"/>
  <c r="J159" i="1"/>
  <c r="AE158" i="1" a="1"/>
  <c r="AE158" i="1" s="1"/>
  <c r="U158" i="1" a="1"/>
  <c r="U158" i="1" s="1"/>
  <c r="AB158" i="1"/>
  <c r="AC158" i="1"/>
  <c r="AD158" i="1"/>
  <c r="K158" i="1" a="1"/>
  <c r="K158" i="1" s="1"/>
  <c r="R158" i="1"/>
  <c r="T158" i="1"/>
  <c r="A158" i="1" a="1"/>
  <c r="A158" i="1" s="1"/>
  <c r="AE157" i="1" a="1"/>
  <c r="AE157" i="1" s="1"/>
  <c r="AH157" i="1"/>
  <c r="U157" i="1" a="1"/>
  <c r="U157" i="1" s="1"/>
  <c r="X157" i="1"/>
  <c r="K157" i="1" a="1"/>
  <c r="K157" i="1" s="1"/>
  <c r="Q157" i="1"/>
  <c r="R157" i="1"/>
  <c r="S157" i="1"/>
  <c r="T157" i="1"/>
  <c r="A157" i="1" a="1"/>
  <c r="A157" i="1" s="1"/>
  <c r="F157" i="1"/>
  <c r="G157" i="1"/>
  <c r="AE156" i="1" a="1"/>
  <c r="AE156" i="1" s="1"/>
  <c r="AH156" i="1"/>
  <c r="U156" i="1" a="1"/>
  <c r="U156" i="1" s="1"/>
  <c r="K156" i="1" a="1"/>
  <c r="K156" i="1" s="1"/>
  <c r="N156" i="1"/>
  <c r="O156" i="1"/>
  <c r="P156" i="1"/>
  <c r="Q156" i="1"/>
  <c r="R156" i="1"/>
  <c r="T156" i="1"/>
  <c r="A156" i="1" a="1"/>
  <c r="A156" i="1" s="1"/>
  <c r="AE155" i="1" a="1"/>
  <c r="AE155" i="1" s="1"/>
  <c r="AG155" i="1"/>
  <c r="AH155" i="1"/>
  <c r="U155" i="1" a="1"/>
  <c r="U155" i="1" s="1"/>
  <c r="Y155" i="1"/>
  <c r="K155" i="1" a="1"/>
  <c r="K155" i="1" s="1"/>
  <c r="P155" i="1"/>
  <c r="Q155" i="1"/>
  <c r="R155" i="1"/>
  <c r="S155" i="1"/>
  <c r="T155" i="1"/>
  <c r="A155" i="1" a="1"/>
  <c r="A155" i="1" s="1"/>
  <c r="H155" i="1"/>
  <c r="I155" i="1"/>
  <c r="AE154" i="1" a="1"/>
  <c r="AE154" i="1" s="1"/>
  <c r="AH154" i="1"/>
  <c r="U154" i="1" a="1"/>
  <c r="U154" i="1" s="1"/>
  <c r="AA154" i="1"/>
  <c r="AC154" i="1"/>
  <c r="AD154" i="1"/>
  <c r="K154" i="1" a="1"/>
  <c r="K154" i="1" s="1"/>
  <c r="A154" i="1" a="1"/>
  <c r="A154" i="1" s="1"/>
  <c r="D154" i="1"/>
  <c r="E154" i="1"/>
  <c r="G154" i="1"/>
  <c r="H154" i="1"/>
  <c r="I154" i="1"/>
  <c r="J154" i="1"/>
  <c r="AE153" i="1" a="1"/>
  <c r="AE153" i="1" s="1"/>
  <c r="U153" i="1" a="1"/>
  <c r="U153" i="1" s="1"/>
  <c r="K153" i="1" a="1"/>
  <c r="K153" i="1" s="1"/>
  <c r="M153" i="1"/>
  <c r="N153" i="1"/>
  <c r="O153" i="1"/>
  <c r="P153" i="1"/>
  <c r="A153" i="1" a="1"/>
  <c r="A153" i="1" s="1"/>
  <c r="F153" i="1"/>
  <c r="G153" i="1"/>
  <c r="H153" i="1"/>
  <c r="I153" i="1"/>
  <c r="J153" i="1"/>
  <c r="AE152" i="1" a="1"/>
  <c r="AE152" i="1" s="1"/>
  <c r="AH152" i="1"/>
  <c r="U152" i="1" a="1"/>
  <c r="U152" i="1" s="1"/>
  <c r="K152" i="1" a="1"/>
  <c r="K152" i="1" s="1"/>
  <c r="O152" i="1"/>
  <c r="A152" i="1" a="1"/>
  <c r="A152" i="1" s="1"/>
  <c r="C152" i="1"/>
  <c r="D152" i="1"/>
  <c r="E152" i="1"/>
  <c r="F152" i="1"/>
  <c r="G152" i="1"/>
  <c r="H152" i="1"/>
  <c r="J152" i="1"/>
  <c r="AE151" i="1" a="1"/>
  <c r="AE151" i="1" s="1"/>
  <c r="U151" i="1" a="1"/>
  <c r="U151" i="1" s="1"/>
  <c r="X151" i="1"/>
  <c r="Y151" i="1"/>
  <c r="Z151" i="1"/>
  <c r="AA151" i="1"/>
  <c r="AB151" i="1"/>
  <c r="AC151" i="1"/>
  <c r="AD151" i="1"/>
  <c r="K151" i="1" a="1"/>
  <c r="K151" i="1" s="1"/>
  <c r="T151" i="1"/>
  <c r="A151" i="1" a="1"/>
  <c r="A151" i="1" s="1"/>
  <c r="D151" i="1"/>
  <c r="E151" i="1"/>
  <c r="F151" i="1"/>
  <c r="G151" i="1"/>
  <c r="I151" i="1"/>
  <c r="J151" i="1"/>
  <c r="AE150" i="1" a="1"/>
  <c r="AE150" i="1" s="1"/>
  <c r="U150" i="1" a="1"/>
  <c r="U150" i="1" s="1"/>
  <c r="W150" i="1"/>
  <c r="X150" i="1"/>
  <c r="Y150" i="1"/>
  <c r="Z150" i="1"/>
  <c r="AA150" i="1"/>
  <c r="AB150" i="1"/>
  <c r="AC150" i="1"/>
  <c r="AD150" i="1"/>
  <c r="K150" i="1" a="1"/>
  <c r="K150" i="1" s="1"/>
  <c r="R150" i="1"/>
  <c r="S150" i="1"/>
  <c r="T150" i="1"/>
  <c r="A150" i="1" a="1"/>
  <c r="A150" i="1" s="1"/>
  <c r="F150" i="1"/>
  <c r="H150" i="1"/>
  <c r="I150" i="1"/>
  <c r="AE149" i="1" a="1"/>
  <c r="AE149" i="1" s="1"/>
  <c r="U149" i="1" a="1"/>
  <c r="U149" i="1" s="1"/>
  <c r="Z149" i="1"/>
  <c r="AA149" i="1"/>
  <c r="AB149" i="1"/>
  <c r="AC149" i="1"/>
  <c r="AD149" i="1"/>
  <c r="K149" i="1" a="1"/>
  <c r="K149" i="1" s="1"/>
  <c r="A149" i="1" a="1"/>
  <c r="A149" i="1" s="1"/>
  <c r="G149" i="1"/>
  <c r="H149" i="1"/>
  <c r="I149" i="1"/>
  <c r="J149" i="1"/>
  <c r="AE148" i="1" a="1"/>
  <c r="AE148" i="1" s="1"/>
  <c r="AH148" i="1"/>
  <c r="U148" i="1" a="1"/>
  <c r="U148" i="1" s="1"/>
  <c r="K148" i="1" a="1"/>
  <c r="K148" i="1" s="1"/>
  <c r="A148" i="1" a="1"/>
  <c r="A148" i="1" s="1"/>
  <c r="G148" i="1"/>
  <c r="H148" i="1"/>
  <c r="I148" i="1"/>
  <c r="J148" i="1"/>
  <c r="AE147" i="1" a="1"/>
  <c r="AE147" i="1" s="1"/>
  <c r="AH147" i="1"/>
  <c r="U147" i="1" a="1"/>
  <c r="U147" i="1" s="1"/>
  <c r="K147" i="1" a="1"/>
  <c r="K147" i="1" s="1"/>
  <c r="O147" i="1"/>
  <c r="A147" i="1" a="1"/>
  <c r="A147" i="1" s="1"/>
  <c r="H147" i="1"/>
  <c r="I147" i="1"/>
  <c r="J147" i="1"/>
  <c r="AE146" i="1" a="1"/>
  <c r="AE146" i="1" s="1"/>
  <c r="U146" i="1" a="1"/>
  <c r="U146" i="1" s="1"/>
  <c r="AA146" i="1"/>
  <c r="AC146" i="1"/>
  <c r="AD146" i="1"/>
  <c r="K146" i="1" a="1"/>
  <c r="K146" i="1" s="1"/>
  <c r="Q146" i="1"/>
  <c r="S146" i="1"/>
  <c r="T146" i="1"/>
  <c r="A146" i="1" a="1"/>
  <c r="A146" i="1" s="1"/>
  <c r="AE145" i="1" a="1"/>
  <c r="AE145" i="1" s="1"/>
  <c r="AH145" i="1"/>
  <c r="U145" i="1" a="1"/>
  <c r="U145" i="1" s="1"/>
  <c r="W145" i="1"/>
  <c r="Y145" i="1"/>
  <c r="Z145" i="1"/>
  <c r="AA145" i="1"/>
  <c r="AB145" i="1"/>
  <c r="AD145" i="1"/>
  <c r="K145" i="1" a="1"/>
  <c r="K145" i="1" s="1"/>
  <c r="A145" i="1" a="1"/>
  <c r="A145" i="1" s="1"/>
  <c r="E145" i="1"/>
  <c r="F145" i="1"/>
  <c r="G145" i="1"/>
  <c r="H145" i="1"/>
  <c r="I145" i="1"/>
  <c r="J145" i="1"/>
  <c r="AE144" i="1" a="1"/>
  <c r="AE144" i="1" s="1"/>
  <c r="U144" i="1" a="1"/>
  <c r="U144" i="1" s="1"/>
  <c r="W144" i="1"/>
  <c r="X144" i="1"/>
  <c r="Y144" i="1"/>
  <c r="Z144" i="1"/>
  <c r="AA144" i="1"/>
  <c r="AB144" i="1"/>
  <c r="AD144" i="1"/>
  <c r="K144" i="1" a="1"/>
  <c r="K144" i="1" s="1"/>
  <c r="A144" i="1" a="1"/>
  <c r="A144" i="1" s="1"/>
  <c r="F144" i="1"/>
  <c r="G144" i="1"/>
  <c r="H144" i="1"/>
  <c r="I144" i="1"/>
  <c r="J144" i="1"/>
  <c r="AE143" i="1" a="1"/>
  <c r="AE143" i="1" s="1"/>
  <c r="U143" i="1" a="1"/>
  <c r="U143" i="1" s="1"/>
  <c r="Y143" i="1"/>
  <c r="Z143" i="1"/>
  <c r="AA143" i="1"/>
  <c r="AB143" i="1"/>
  <c r="AC143" i="1"/>
  <c r="AD143" i="1"/>
  <c r="K143" i="1" a="1"/>
  <c r="K143" i="1" s="1"/>
  <c r="O143" i="1"/>
  <c r="P143" i="1"/>
  <c r="A143" i="1" a="1"/>
  <c r="A143" i="1" s="1"/>
  <c r="F143" i="1"/>
  <c r="G143" i="1"/>
  <c r="H143" i="1"/>
  <c r="I143" i="1"/>
  <c r="J143" i="1"/>
  <c r="AE142" i="1" a="1"/>
  <c r="AE142" i="1" s="1"/>
  <c r="U142" i="1" a="1"/>
  <c r="U142" i="1" s="1"/>
  <c r="Y142" i="1"/>
  <c r="Z142" i="1"/>
  <c r="AA142" i="1"/>
  <c r="AB142" i="1"/>
  <c r="AC142" i="1"/>
  <c r="AD142" i="1"/>
  <c r="K142" i="1" a="1"/>
  <c r="K142" i="1" s="1"/>
  <c r="Q142" i="1"/>
  <c r="R142" i="1"/>
  <c r="A142" i="1" a="1"/>
  <c r="A142" i="1" s="1"/>
  <c r="G142" i="1"/>
  <c r="H142" i="1"/>
  <c r="I142" i="1"/>
  <c r="J142" i="1"/>
  <c r="AE141" i="1" a="1"/>
  <c r="AE141" i="1" s="1"/>
  <c r="U141" i="1" a="1"/>
  <c r="U141" i="1" s="1"/>
  <c r="K141" i="1" a="1"/>
  <c r="K141" i="1" s="1"/>
  <c r="R141" i="1"/>
  <c r="T141" i="1"/>
  <c r="A141" i="1" a="1"/>
  <c r="A141" i="1" s="1"/>
  <c r="AE140" i="1" a="1"/>
  <c r="AE140" i="1" s="1"/>
  <c r="U140" i="1" a="1"/>
  <c r="U140" i="1" s="1"/>
  <c r="K140" i="1" a="1"/>
  <c r="K140" i="1" s="1"/>
  <c r="P140" i="1"/>
  <c r="Q140" i="1"/>
  <c r="R140" i="1"/>
  <c r="S140" i="1"/>
  <c r="A140" i="1" a="1"/>
  <c r="A140" i="1" s="1"/>
  <c r="AE139" i="1" a="1"/>
  <c r="AE139" i="1" s="1"/>
  <c r="U139" i="1" a="1"/>
  <c r="U139" i="1" s="1"/>
  <c r="X139" i="1"/>
  <c r="Y139" i="1"/>
  <c r="Z139" i="1"/>
  <c r="AA139" i="1"/>
  <c r="K139" i="1" a="1"/>
  <c r="K139" i="1" s="1"/>
  <c r="P139" i="1"/>
  <c r="Q139" i="1"/>
  <c r="R139" i="1"/>
  <c r="S139" i="1"/>
  <c r="T139" i="1"/>
  <c r="A139" i="1" a="1"/>
  <c r="A139" i="1" s="1"/>
  <c r="E139" i="1"/>
  <c r="G139" i="1"/>
  <c r="H139" i="1"/>
  <c r="AE138" i="1" a="1"/>
  <c r="AE138" i="1" s="1"/>
  <c r="AH138" i="1"/>
  <c r="U138" i="1" a="1"/>
  <c r="U138" i="1" s="1"/>
  <c r="W138" i="1"/>
  <c r="X138" i="1"/>
  <c r="Y138" i="1"/>
  <c r="Z138" i="1"/>
  <c r="AA138" i="1"/>
  <c r="AB138" i="1"/>
  <c r="K138" i="1" a="1"/>
  <c r="K138" i="1" s="1"/>
  <c r="M138" i="1"/>
  <c r="N138" i="1"/>
  <c r="O138" i="1"/>
  <c r="P138" i="1"/>
  <c r="Q138" i="1"/>
  <c r="R138" i="1"/>
  <c r="S138" i="1"/>
  <c r="A138" i="1" a="1"/>
  <c r="A138" i="1" s="1"/>
  <c r="AE137" i="1" a="1"/>
  <c r="AE137" i="1" s="1"/>
  <c r="AG137" i="1"/>
  <c r="AH137" i="1"/>
  <c r="U137" i="1" a="1"/>
  <c r="U137" i="1" s="1"/>
  <c r="K137" i="1" a="1"/>
  <c r="K137" i="1" s="1"/>
  <c r="Q137" i="1"/>
  <c r="R137" i="1"/>
  <c r="S137" i="1"/>
  <c r="T137" i="1"/>
  <c r="A137" i="1" a="1"/>
  <c r="A137" i="1" s="1"/>
  <c r="D137" i="1"/>
  <c r="E137" i="1"/>
  <c r="I137" i="1"/>
  <c r="J137" i="1"/>
  <c r="AE136" i="1" a="1"/>
  <c r="AE136" i="1" s="1"/>
  <c r="AH136" i="1"/>
  <c r="U136" i="1" a="1"/>
  <c r="U136" i="1" s="1"/>
  <c r="K136" i="1" a="1"/>
  <c r="K136" i="1" s="1"/>
  <c r="Q136" i="1"/>
  <c r="R136" i="1"/>
  <c r="S136" i="1"/>
  <c r="T136" i="1"/>
  <c r="A136" i="1" a="1"/>
  <c r="A136" i="1" s="1"/>
  <c r="E136" i="1"/>
  <c r="F136" i="1"/>
  <c r="AE135" i="1" a="1"/>
  <c r="AE135" i="1" s="1"/>
  <c r="AH135" i="1"/>
  <c r="U135" i="1" a="1"/>
  <c r="U135" i="1" s="1"/>
  <c r="X135" i="1"/>
  <c r="Z135" i="1"/>
  <c r="K135" i="1" a="1"/>
  <c r="K135" i="1" s="1"/>
  <c r="N135" i="1"/>
  <c r="O135" i="1"/>
  <c r="P135" i="1"/>
  <c r="Q135" i="1"/>
  <c r="R135" i="1"/>
  <c r="S135" i="1"/>
  <c r="A135" i="1" a="1"/>
  <c r="A135" i="1" s="1"/>
  <c r="AE134" i="1" a="1"/>
  <c r="AE134" i="1" s="1"/>
  <c r="AF134" i="1"/>
  <c r="AG134" i="1"/>
  <c r="AH134" i="1"/>
  <c r="U134" i="1" a="1"/>
  <c r="U134" i="1" s="1"/>
  <c r="K134" i="1" a="1"/>
  <c r="K134" i="1" s="1"/>
  <c r="O134" i="1"/>
  <c r="Q134" i="1"/>
  <c r="R134" i="1"/>
  <c r="A134" i="1" a="1"/>
  <c r="A134" i="1" s="1"/>
  <c r="D134" i="1"/>
  <c r="E134" i="1"/>
  <c r="F134" i="1"/>
  <c r="G134" i="1"/>
  <c r="H134" i="1"/>
  <c r="I134" i="1"/>
  <c r="J134" i="1"/>
  <c r="AE133" i="1" a="1"/>
  <c r="AE133" i="1" s="1"/>
  <c r="U133" i="1" a="1"/>
  <c r="U133" i="1" s="1"/>
  <c r="X133" i="1"/>
  <c r="Y133" i="1"/>
  <c r="Z133" i="1"/>
  <c r="AA133" i="1"/>
  <c r="AB133" i="1"/>
  <c r="AC133" i="1"/>
  <c r="AD133" i="1"/>
  <c r="K133" i="1" a="1"/>
  <c r="K133" i="1" s="1"/>
  <c r="R133" i="1"/>
  <c r="S133" i="1"/>
  <c r="A133" i="1" a="1"/>
  <c r="A133" i="1" s="1"/>
  <c r="H133" i="1"/>
  <c r="I133" i="1"/>
  <c r="J133" i="1"/>
  <c r="AE132" i="1" a="1"/>
  <c r="AE132" i="1" s="1"/>
  <c r="AG132" i="1"/>
  <c r="AH132" i="1"/>
  <c r="U132" i="1" a="1"/>
  <c r="U132" i="1" s="1"/>
  <c r="Y132" i="1"/>
  <c r="K132" i="1" a="1"/>
  <c r="M132" i="1" s="1"/>
  <c r="K132" i="1"/>
  <c r="L132" i="1"/>
  <c r="N132" i="1"/>
  <c r="O132" i="1"/>
  <c r="P132" i="1"/>
  <c r="R132" i="1"/>
  <c r="S132" i="1"/>
  <c r="A132" i="1" a="1"/>
  <c r="A132" i="1" s="1"/>
  <c r="E132" i="1"/>
  <c r="F132" i="1"/>
  <c r="G132" i="1"/>
  <c r="H132" i="1"/>
  <c r="I132" i="1"/>
  <c r="J132" i="1"/>
  <c r="AE131" i="1" a="1"/>
  <c r="AE131" i="1" s="1"/>
  <c r="U131" i="1" a="1"/>
  <c r="U131" i="1" s="1"/>
  <c r="AB131" i="1"/>
  <c r="AC131" i="1"/>
  <c r="AD131" i="1"/>
  <c r="K131" i="1" a="1"/>
  <c r="K131" i="1" s="1"/>
  <c r="N131" i="1"/>
  <c r="P131" i="1"/>
  <c r="Q131" i="1"/>
  <c r="A131" i="1" a="1"/>
  <c r="A131" i="1" s="1"/>
  <c r="F131" i="1"/>
  <c r="G131" i="1"/>
  <c r="H131" i="1"/>
  <c r="I131" i="1"/>
  <c r="J131" i="1"/>
  <c r="AE130" i="1" a="1"/>
  <c r="AE130" i="1" s="1"/>
  <c r="U130" i="1" a="1"/>
  <c r="U130" i="1" s="1"/>
  <c r="W130" i="1"/>
  <c r="X130" i="1"/>
  <c r="Y130" i="1"/>
  <c r="Z130" i="1"/>
  <c r="AA130" i="1"/>
  <c r="AB130" i="1"/>
  <c r="AD130" i="1"/>
  <c r="K130" i="1" a="1"/>
  <c r="K130" i="1" s="1"/>
  <c r="A130" i="1" a="1"/>
  <c r="A130" i="1" s="1"/>
  <c r="E130" i="1"/>
  <c r="G130" i="1"/>
  <c r="AE129" i="1" a="1"/>
  <c r="AE129" i="1" s="1"/>
  <c r="AH129" i="1"/>
  <c r="U129" i="1" a="1"/>
  <c r="U129" i="1" s="1"/>
  <c r="AA129" i="1"/>
  <c r="AB129" i="1"/>
  <c r="AC129" i="1"/>
  <c r="AD129" i="1"/>
  <c r="K129" i="1" a="1"/>
  <c r="K129" i="1" s="1"/>
  <c r="S129" i="1"/>
  <c r="T129" i="1"/>
  <c r="A129" i="1" a="1"/>
  <c r="A129" i="1" s="1"/>
  <c r="H129" i="1"/>
  <c r="I129" i="1"/>
  <c r="J129" i="1"/>
  <c r="AE128" i="1" a="1"/>
  <c r="AE128" i="1" s="1"/>
  <c r="AH128" i="1"/>
  <c r="U128" i="1" a="1"/>
  <c r="U128" i="1" s="1"/>
  <c r="X128" i="1"/>
  <c r="K128" i="1" a="1"/>
  <c r="K128" i="1" s="1"/>
  <c r="N128" i="1"/>
  <c r="O128" i="1"/>
  <c r="P128" i="1"/>
  <c r="Q128" i="1"/>
  <c r="S128" i="1"/>
  <c r="T128" i="1"/>
  <c r="A128" i="1" a="1"/>
  <c r="A128" i="1" s="1"/>
  <c r="I128" i="1"/>
  <c r="AE127" i="1" a="1"/>
  <c r="AE127" i="1" s="1"/>
  <c r="AH127" i="1"/>
  <c r="U127" i="1" a="1"/>
  <c r="U127" i="1" s="1"/>
  <c r="K127" i="1" a="1"/>
  <c r="K127" i="1" s="1"/>
  <c r="Q127" i="1"/>
  <c r="R127" i="1"/>
  <c r="S127" i="1"/>
  <c r="T127" i="1"/>
  <c r="A127" i="1" a="1"/>
  <c r="A127" i="1" s="1"/>
  <c r="H127" i="1"/>
  <c r="I127" i="1"/>
  <c r="AE126" i="1" a="1"/>
  <c r="AE126" i="1" s="1"/>
  <c r="AH126" i="1"/>
  <c r="U126" i="1" a="1"/>
  <c r="U126" i="1" s="1"/>
  <c r="AA126" i="1"/>
  <c r="AB126" i="1"/>
  <c r="AC126" i="1"/>
  <c r="AD126" i="1"/>
  <c r="K126" i="1" a="1"/>
  <c r="K126" i="1" s="1"/>
  <c r="A126" i="1" a="1"/>
  <c r="A126" i="1" s="1"/>
  <c r="D126" i="1"/>
  <c r="E126" i="1"/>
  <c r="F126" i="1"/>
  <c r="G126" i="1"/>
  <c r="I126" i="1"/>
  <c r="J126" i="1"/>
  <c r="AE125" i="1" a="1"/>
  <c r="AE125" i="1" s="1"/>
  <c r="U125" i="1" a="1"/>
  <c r="U125" i="1" s="1"/>
  <c r="W125" i="1"/>
  <c r="X125" i="1"/>
  <c r="Y125" i="1"/>
  <c r="Z125" i="1"/>
  <c r="AA125" i="1"/>
  <c r="AB125" i="1"/>
  <c r="AC125" i="1"/>
  <c r="AD125" i="1"/>
  <c r="K125" i="1" a="1"/>
  <c r="K125" i="1" s="1"/>
  <c r="S125" i="1"/>
  <c r="T125" i="1"/>
  <c r="A125" i="1" a="1"/>
  <c r="A125" i="1" s="1"/>
  <c r="AE124" i="1" a="1"/>
  <c r="AE124" i="1" s="1"/>
  <c r="AH124" i="1"/>
  <c r="U124" i="1" a="1"/>
  <c r="U124" i="1" s="1"/>
  <c r="W124" i="1"/>
  <c r="X124" i="1"/>
  <c r="Y124" i="1"/>
  <c r="AB124" i="1"/>
  <c r="AC124" i="1"/>
  <c r="AD124" i="1"/>
  <c r="K124" i="1" a="1"/>
  <c r="K124" i="1" s="1"/>
  <c r="O124" i="1"/>
  <c r="P124" i="1"/>
  <c r="Q124" i="1"/>
  <c r="A124" i="1" a="1"/>
  <c r="A124" i="1" s="1"/>
  <c r="G124" i="1"/>
  <c r="H124" i="1"/>
  <c r="I124" i="1"/>
  <c r="J124" i="1"/>
  <c r="AE123" i="1" a="1"/>
  <c r="AE123" i="1" s="1"/>
  <c r="AH123" i="1"/>
  <c r="U123" i="1" a="1"/>
  <c r="U123" i="1" s="1"/>
  <c r="W123" i="1"/>
  <c r="X123" i="1"/>
  <c r="AB123" i="1"/>
  <c r="AC123" i="1"/>
  <c r="AD123" i="1"/>
  <c r="K123" i="1" a="1"/>
  <c r="K123" i="1" s="1"/>
  <c r="R123" i="1"/>
  <c r="S123" i="1"/>
  <c r="T123" i="1"/>
  <c r="A123" i="1" a="1"/>
  <c r="A123" i="1" s="1"/>
  <c r="I123" i="1"/>
  <c r="J123" i="1"/>
  <c r="AE122" i="1" a="1"/>
  <c r="AE122" i="1" s="1"/>
  <c r="AG122" i="1"/>
  <c r="AH122" i="1"/>
  <c r="U122" i="1" a="1"/>
  <c r="U122" i="1" s="1"/>
  <c r="X122" i="1"/>
  <c r="Y122" i="1"/>
  <c r="K122" i="1" a="1"/>
  <c r="K122" i="1" s="1"/>
  <c r="N122" i="1"/>
  <c r="O122" i="1"/>
  <c r="P122" i="1"/>
  <c r="Q122" i="1"/>
  <c r="A122" i="1" a="1"/>
  <c r="A122" i="1" s="1"/>
  <c r="E122" i="1"/>
  <c r="F122" i="1"/>
  <c r="G122" i="1"/>
  <c r="H122" i="1"/>
  <c r="I122" i="1"/>
  <c r="J122" i="1"/>
  <c r="AE121" i="1" a="1"/>
  <c r="AE121" i="1" s="1"/>
  <c r="AH121" i="1"/>
  <c r="U121" i="1" a="1"/>
  <c r="U121" i="1" s="1"/>
  <c r="K121" i="1" a="1"/>
  <c r="K121" i="1" s="1"/>
  <c r="A121" i="1" a="1"/>
  <c r="A121" i="1" s="1"/>
  <c r="F121" i="1"/>
  <c r="G121" i="1"/>
  <c r="H121" i="1"/>
  <c r="I121" i="1"/>
  <c r="J121" i="1"/>
  <c r="AE120" i="1" a="1"/>
  <c r="AE120" i="1" s="1"/>
  <c r="AG120" i="1"/>
  <c r="AH120" i="1"/>
  <c r="U120" i="1" a="1"/>
  <c r="U120" i="1" s="1"/>
  <c r="Z120" i="1"/>
  <c r="AA120" i="1"/>
  <c r="AB120" i="1"/>
  <c r="AC120" i="1"/>
  <c r="AD120" i="1"/>
  <c r="K120" i="1" a="1"/>
  <c r="K120" i="1" s="1"/>
  <c r="T120" i="1"/>
  <c r="A120" i="1" a="1"/>
  <c r="A120" i="1" s="1"/>
  <c r="AE119" i="1" a="1"/>
  <c r="AE119" i="1" s="1"/>
  <c r="AH119" i="1"/>
  <c r="U119" i="1" a="1"/>
  <c r="U119" i="1" s="1"/>
  <c r="X119" i="1"/>
  <c r="Y119" i="1"/>
  <c r="Z119" i="1"/>
  <c r="AB119" i="1"/>
  <c r="AC119" i="1"/>
  <c r="K119" i="1" a="1"/>
  <c r="K119" i="1" s="1"/>
  <c r="P119" i="1"/>
  <c r="Q119" i="1"/>
  <c r="R119" i="1"/>
  <c r="S119" i="1"/>
  <c r="T119" i="1"/>
  <c r="A119" i="1" a="1"/>
  <c r="A119" i="1" s="1"/>
  <c r="AE118" i="1" a="1"/>
  <c r="AE118" i="1" s="1"/>
  <c r="U118" i="1" a="1"/>
  <c r="U118" i="1" s="1"/>
  <c r="X118" i="1"/>
  <c r="Y118" i="1"/>
  <c r="Z118" i="1"/>
  <c r="AA118" i="1"/>
  <c r="AB118" i="1"/>
  <c r="AD118" i="1"/>
  <c r="K118" i="1" a="1"/>
  <c r="K118" i="1" s="1"/>
  <c r="A118" i="1" a="1"/>
  <c r="A118" i="1" s="1"/>
  <c r="E118" i="1"/>
  <c r="F118" i="1"/>
  <c r="G118" i="1"/>
  <c r="AE117" i="1" a="1"/>
  <c r="AE117" i="1" s="1"/>
  <c r="AG117" i="1"/>
  <c r="AH117" i="1"/>
  <c r="U117" i="1" a="1"/>
  <c r="U117" i="1" s="1"/>
  <c r="W117" i="1"/>
  <c r="X117" i="1"/>
  <c r="Y117" i="1"/>
  <c r="AA117" i="1"/>
  <c r="AB117" i="1"/>
  <c r="K117" i="1" a="1"/>
  <c r="K117" i="1" s="1"/>
  <c r="O117" i="1"/>
  <c r="P117" i="1"/>
  <c r="Q117" i="1"/>
  <c r="R117" i="1"/>
  <c r="S117" i="1"/>
  <c r="T117" i="1"/>
  <c r="A117" i="1" a="1"/>
  <c r="A117" i="1" s="1"/>
  <c r="AE116" i="1" a="1"/>
  <c r="AE116" i="1" s="1"/>
  <c r="AH116" i="1"/>
  <c r="U116" i="1" a="1"/>
  <c r="U116" i="1" s="1"/>
  <c r="W116" i="1"/>
  <c r="X116" i="1"/>
  <c r="Y116" i="1"/>
  <c r="Z116" i="1"/>
  <c r="AB116" i="1"/>
  <c r="AC116" i="1"/>
  <c r="K116" i="1" a="1"/>
  <c r="K116" i="1" s="1"/>
  <c r="Q116" i="1"/>
  <c r="R116" i="1"/>
  <c r="S116" i="1"/>
  <c r="T116" i="1"/>
  <c r="A116" i="1" a="1"/>
  <c r="A116" i="1" s="1"/>
  <c r="F116" i="1"/>
  <c r="G116" i="1"/>
  <c r="AE115" i="1" a="1"/>
  <c r="AE115" i="1" s="1"/>
  <c r="U115" i="1" a="1"/>
  <c r="U115" i="1" s="1"/>
  <c r="W115" i="1"/>
  <c r="X115" i="1"/>
  <c r="Y115" i="1"/>
  <c r="Z115" i="1"/>
  <c r="AA115" i="1"/>
  <c r="AC115" i="1"/>
  <c r="AD115" i="1"/>
  <c r="K115" i="1" a="1"/>
  <c r="K115" i="1" s="1"/>
  <c r="P115" i="1"/>
  <c r="Q115" i="1"/>
  <c r="R115" i="1"/>
  <c r="S115" i="1"/>
  <c r="T115" i="1"/>
  <c r="A115" i="1" a="1"/>
  <c r="A115" i="1" s="1"/>
  <c r="AE114" i="1" a="1"/>
  <c r="AE114" i="1" s="1"/>
  <c r="U114" i="1" a="1"/>
  <c r="U114" i="1" s="1"/>
  <c r="X114" i="1"/>
  <c r="Z114" i="1"/>
  <c r="AA114" i="1"/>
  <c r="AB114" i="1"/>
  <c r="AC114" i="1"/>
  <c r="AD114" i="1"/>
  <c r="K114" i="1" a="1"/>
  <c r="K114" i="1" s="1"/>
  <c r="O114" i="1"/>
  <c r="P114" i="1"/>
  <c r="A114" i="1" a="1"/>
  <c r="A114" i="1" s="1"/>
  <c r="F114" i="1"/>
  <c r="G114" i="1"/>
  <c r="H114" i="1"/>
  <c r="I114" i="1"/>
  <c r="J114" i="1"/>
  <c r="AE113" i="1" a="1"/>
  <c r="AE113" i="1" s="1"/>
  <c r="U113" i="1" a="1"/>
  <c r="U113" i="1" s="1"/>
  <c r="AB113" i="1"/>
  <c r="AD113" i="1"/>
  <c r="K113" i="1" a="1"/>
  <c r="K113" i="1" s="1"/>
  <c r="P113" i="1"/>
  <c r="Q113" i="1"/>
  <c r="R113" i="1"/>
  <c r="S113" i="1"/>
  <c r="A113" i="1" a="1"/>
  <c r="A113" i="1" s="1"/>
  <c r="AE112" i="1" a="1"/>
  <c r="AE112" i="1" s="1"/>
  <c r="AH112" i="1"/>
  <c r="U112" i="1" a="1"/>
  <c r="U112" i="1" s="1"/>
  <c r="X112" i="1"/>
  <c r="Y112" i="1"/>
  <c r="K112" i="1" a="1"/>
  <c r="K112" i="1" s="1"/>
  <c r="N112" i="1"/>
  <c r="O112" i="1"/>
  <c r="P112" i="1"/>
  <c r="Q112" i="1"/>
  <c r="R112" i="1"/>
  <c r="T112" i="1"/>
  <c r="A112" i="1" a="1"/>
  <c r="A112" i="1" s="1"/>
  <c r="AE111" i="1" a="1"/>
  <c r="AE111" i="1" s="1"/>
  <c r="U111" i="1" a="1"/>
  <c r="U111" i="1" s="1"/>
  <c r="W111" i="1"/>
  <c r="X111" i="1"/>
  <c r="Y111" i="1"/>
  <c r="Z111" i="1"/>
  <c r="K111" i="1" a="1"/>
  <c r="K111" i="1" s="1"/>
  <c r="M111" i="1"/>
  <c r="N111" i="1"/>
  <c r="O111" i="1"/>
  <c r="P111" i="1"/>
  <c r="Q111" i="1"/>
  <c r="R111" i="1"/>
  <c r="T111" i="1"/>
  <c r="A111" i="1" a="1"/>
  <c r="A111" i="1" s="1"/>
  <c r="AE110" i="1" a="1"/>
  <c r="AE110" i="1" s="1"/>
  <c r="AG110" i="1"/>
  <c r="AH110" i="1"/>
  <c r="U110" i="1" a="1"/>
  <c r="U110" i="1" s="1"/>
  <c r="AB110" i="1"/>
  <c r="AC110" i="1"/>
  <c r="AD110" i="1"/>
  <c r="K110" i="1" a="1"/>
  <c r="K110" i="1" s="1"/>
  <c r="R110" i="1"/>
  <c r="S110" i="1"/>
  <c r="T110" i="1"/>
  <c r="A110" i="1" a="1"/>
  <c r="A110" i="1" s="1"/>
  <c r="AE109" i="1" a="1"/>
  <c r="AE109" i="1" s="1"/>
  <c r="AG109" i="1"/>
  <c r="U109" i="1" a="1"/>
  <c r="U109" i="1" s="1"/>
  <c r="AA109" i="1"/>
  <c r="AB109" i="1"/>
  <c r="AC109" i="1"/>
  <c r="AD109" i="1"/>
  <c r="K109" i="1" a="1"/>
  <c r="K109" i="1" s="1"/>
  <c r="N109" i="1"/>
  <c r="O109" i="1"/>
  <c r="A109" i="1" a="1"/>
  <c r="A109" i="1" s="1"/>
  <c r="F109" i="1"/>
  <c r="G109" i="1"/>
  <c r="H109" i="1"/>
  <c r="I109" i="1"/>
  <c r="AE108" i="1" a="1"/>
  <c r="AE108" i="1" s="1"/>
  <c r="U108" i="1" a="1"/>
  <c r="U108" i="1" s="1"/>
  <c r="X108" i="1"/>
  <c r="Y108" i="1"/>
  <c r="Z108" i="1"/>
  <c r="AA108" i="1"/>
  <c r="AB108" i="1"/>
  <c r="AC108" i="1"/>
  <c r="AD108" i="1"/>
  <c r="K108" i="1" a="1"/>
  <c r="K108" i="1" s="1"/>
  <c r="A108" i="1" a="1"/>
  <c r="A108" i="1" s="1"/>
  <c r="D108" i="1"/>
  <c r="E108" i="1"/>
  <c r="F108" i="1"/>
  <c r="G108" i="1"/>
  <c r="H108" i="1"/>
  <c r="I108" i="1"/>
  <c r="J108" i="1"/>
  <c r="AE107" i="1" a="1"/>
  <c r="AE107" i="1" s="1"/>
  <c r="U107" i="1" a="1"/>
  <c r="U107" i="1" s="1"/>
  <c r="Y107" i="1"/>
  <c r="Z107" i="1"/>
  <c r="AA107" i="1"/>
  <c r="AB107" i="1"/>
  <c r="AC107" i="1"/>
  <c r="AD107" i="1"/>
  <c r="K107" i="1" a="1"/>
  <c r="K107" i="1" s="1"/>
  <c r="A107" i="1" a="1"/>
  <c r="A107" i="1" s="1"/>
  <c r="I107" i="1"/>
  <c r="J107" i="1"/>
  <c r="AE106" i="1" a="1"/>
  <c r="AE106" i="1" s="1"/>
  <c r="AG106" i="1"/>
  <c r="AH106" i="1"/>
  <c r="U106" i="1" a="1"/>
  <c r="U106" i="1" s="1"/>
  <c r="AC106" i="1"/>
  <c r="AD106" i="1"/>
  <c r="K106" i="1" a="1"/>
  <c r="K106" i="1" s="1"/>
  <c r="R106" i="1"/>
  <c r="S106" i="1"/>
  <c r="T106" i="1"/>
  <c r="A106" i="1" a="1"/>
  <c r="A106" i="1" s="1"/>
  <c r="AE105" i="1" a="1"/>
  <c r="AE105" i="1" s="1"/>
  <c r="AF105" i="1"/>
  <c r="AG105" i="1"/>
  <c r="AH105" i="1"/>
  <c r="U105" i="1" a="1"/>
  <c r="U105" i="1" s="1"/>
  <c r="Y105" i="1"/>
  <c r="Z105" i="1"/>
  <c r="AA105" i="1"/>
  <c r="K105" i="1" a="1"/>
  <c r="K105" i="1" s="1"/>
  <c r="O105" i="1"/>
  <c r="Q105" i="1"/>
  <c r="R105" i="1"/>
  <c r="S105" i="1"/>
  <c r="T105" i="1"/>
  <c r="A105" i="1" a="1"/>
  <c r="A105" i="1" s="1"/>
  <c r="J105" i="1"/>
  <c r="AE104" i="1" a="1"/>
  <c r="AE104" i="1" s="1"/>
  <c r="U104" i="1" a="1"/>
  <c r="U104" i="1" s="1"/>
  <c r="Z104" i="1"/>
  <c r="AA104" i="1"/>
  <c r="AB104" i="1"/>
  <c r="AC104" i="1"/>
  <c r="AD104" i="1"/>
  <c r="K104" i="1" a="1"/>
  <c r="K104" i="1" s="1"/>
  <c r="P104" i="1"/>
  <c r="A104" i="1" a="1"/>
  <c r="A104" i="1" s="1"/>
  <c r="J104" i="1"/>
  <c r="AE103" i="1" a="1"/>
  <c r="AE103" i="1" s="1"/>
  <c r="AG103" i="1"/>
  <c r="AH103" i="1"/>
  <c r="U103" i="1" a="1"/>
  <c r="U103" i="1" s="1"/>
  <c r="Y103" i="1"/>
  <c r="Z103" i="1"/>
  <c r="K103" i="1" a="1"/>
  <c r="K103" i="1" s="1"/>
  <c r="O103" i="1"/>
  <c r="P103" i="1"/>
  <c r="Q103" i="1"/>
  <c r="R103" i="1"/>
  <c r="S103" i="1"/>
  <c r="T103" i="1"/>
  <c r="A103" i="1" a="1"/>
  <c r="A103" i="1" s="1"/>
  <c r="H103" i="1"/>
  <c r="J103" i="1"/>
  <c r="AE102" i="1" a="1"/>
  <c r="AE102" i="1" s="1"/>
  <c r="AF102" i="1"/>
  <c r="AH102" i="1"/>
  <c r="U102" i="1" a="1"/>
  <c r="U102" i="1" s="1"/>
  <c r="Y102" i="1"/>
  <c r="Z102" i="1"/>
  <c r="K102" i="1" a="1"/>
  <c r="K102" i="1" s="1"/>
  <c r="O102" i="1"/>
  <c r="P102" i="1"/>
  <c r="Q102" i="1"/>
  <c r="R102" i="1"/>
  <c r="S102" i="1"/>
  <c r="A102" i="1" a="1"/>
  <c r="A102" i="1" s="1"/>
  <c r="J102" i="1"/>
  <c r="AE101" i="1" a="1"/>
  <c r="AE101" i="1" s="1"/>
  <c r="AH101" i="1"/>
  <c r="U101" i="1" a="1"/>
  <c r="U101" i="1" s="1"/>
  <c r="Y101" i="1"/>
  <c r="Z101" i="1"/>
  <c r="AA101" i="1"/>
  <c r="AB101" i="1"/>
  <c r="K101" i="1" a="1"/>
  <c r="K101" i="1" s="1"/>
  <c r="N101" i="1"/>
  <c r="O101" i="1"/>
  <c r="P101" i="1"/>
  <c r="Q101" i="1"/>
  <c r="R101" i="1"/>
  <c r="S101" i="1"/>
  <c r="T101" i="1"/>
  <c r="A101" i="1" a="1"/>
  <c r="A101" i="1" s="1"/>
  <c r="AE100" i="1" a="1"/>
  <c r="AE100" i="1" s="1"/>
  <c r="AG100" i="1"/>
  <c r="AH100" i="1"/>
  <c r="U100" i="1" a="1"/>
  <c r="U100" i="1" s="1"/>
  <c r="X100" i="1"/>
  <c r="Y100" i="1"/>
  <c r="Z100" i="1"/>
  <c r="AA100" i="1"/>
  <c r="AB100" i="1"/>
  <c r="K100" i="1" a="1"/>
  <c r="K100" i="1" s="1"/>
  <c r="O100" i="1"/>
  <c r="P100" i="1"/>
  <c r="Q100" i="1"/>
  <c r="R100" i="1"/>
  <c r="S100" i="1"/>
  <c r="T100" i="1"/>
  <c r="A100" i="1" a="1"/>
  <c r="A100" i="1" s="1"/>
  <c r="D100" i="1"/>
  <c r="I100" i="1"/>
  <c r="J100" i="1"/>
  <c r="AE99" i="1" a="1"/>
  <c r="AE99" i="1" s="1"/>
  <c r="AF99" i="1"/>
  <c r="AG99" i="1"/>
  <c r="AH99" i="1"/>
  <c r="U99" i="1" a="1"/>
  <c r="U99" i="1" s="1"/>
  <c r="K99" i="1" a="1"/>
  <c r="K99" i="1" s="1"/>
  <c r="N99" i="1"/>
  <c r="O99" i="1"/>
  <c r="A99" i="1" a="1"/>
  <c r="A99" i="1" s="1"/>
  <c r="I99" i="1"/>
  <c r="J99" i="1"/>
  <c r="AE98" i="1" a="1"/>
  <c r="AE98" i="1" s="1"/>
  <c r="AH98" i="1"/>
  <c r="U98" i="1" a="1"/>
  <c r="U98" i="1" s="1"/>
  <c r="Y98" i="1"/>
  <c r="Z98" i="1"/>
  <c r="K98" i="1" a="1"/>
  <c r="K98" i="1" s="1"/>
  <c r="Q98" i="1"/>
  <c r="R98" i="1"/>
  <c r="S98" i="1"/>
  <c r="T98" i="1"/>
  <c r="A98" i="1" a="1"/>
  <c r="A98" i="1" s="1"/>
  <c r="AE97" i="1" a="1"/>
  <c r="AE97" i="1" s="1"/>
  <c r="AG97" i="1"/>
  <c r="AH97" i="1"/>
  <c r="U97" i="1" a="1"/>
  <c r="U97" i="1" s="1"/>
  <c r="Y97" i="1"/>
  <c r="Z97" i="1"/>
  <c r="K97" i="1" a="1"/>
  <c r="K97" i="1" s="1"/>
  <c r="N97" i="1"/>
  <c r="O97" i="1"/>
  <c r="P97" i="1"/>
  <c r="Q97" i="1"/>
  <c r="R97" i="1"/>
  <c r="A97" i="1" a="1"/>
  <c r="A97" i="1" s="1"/>
  <c r="F97" i="1"/>
  <c r="H97" i="1"/>
  <c r="I97" i="1"/>
  <c r="J97" i="1"/>
  <c r="AE96" i="1" a="1"/>
  <c r="AE96" i="1" s="1"/>
  <c r="AG96" i="1"/>
  <c r="AH96" i="1"/>
  <c r="U96" i="1" a="1"/>
  <c r="U96" i="1" s="1"/>
  <c r="K96" i="1" a="1"/>
  <c r="K96" i="1" s="1"/>
  <c r="N96" i="1"/>
  <c r="O96" i="1"/>
  <c r="P96" i="1"/>
  <c r="A96" i="1" a="1"/>
  <c r="A96" i="1" s="1"/>
  <c r="H96" i="1"/>
  <c r="I96" i="1"/>
  <c r="J96" i="1"/>
  <c r="AE95" i="1" a="1"/>
  <c r="AE95" i="1" s="1"/>
  <c r="AH95" i="1"/>
  <c r="U95" i="1" a="1"/>
  <c r="U95" i="1" s="1"/>
  <c r="Z95" i="1"/>
  <c r="AA95" i="1"/>
  <c r="K95" i="1" a="1"/>
  <c r="K95" i="1" s="1"/>
  <c r="N95" i="1"/>
  <c r="O95" i="1"/>
  <c r="P95" i="1"/>
  <c r="Q95" i="1"/>
  <c r="R95" i="1"/>
  <c r="S95" i="1"/>
  <c r="T95" i="1"/>
  <c r="A95" i="1" a="1"/>
  <c r="A95" i="1" s="1"/>
  <c r="AE94" i="1" a="1"/>
  <c r="AE94" i="1" s="1"/>
  <c r="AH94" i="1"/>
  <c r="U94" i="1" a="1"/>
  <c r="U94" i="1" s="1"/>
  <c r="X94" i="1"/>
  <c r="Y94" i="1"/>
  <c r="Z94" i="1"/>
  <c r="AA94" i="1"/>
  <c r="AB94" i="1"/>
  <c r="K94" i="1" a="1"/>
  <c r="K94" i="1" s="1"/>
  <c r="O94" i="1"/>
  <c r="P94" i="1"/>
  <c r="Q94" i="1"/>
  <c r="R94" i="1"/>
  <c r="S94" i="1"/>
  <c r="T94" i="1"/>
  <c r="A94" i="1" a="1"/>
  <c r="A94" i="1" s="1"/>
  <c r="F94" i="1"/>
  <c r="AE93" i="1" a="1"/>
  <c r="AE93" i="1" s="1"/>
  <c r="AH93" i="1"/>
  <c r="U93" i="1" a="1"/>
  <c r="U93" i="1" s="1"/>
  <c r="W93" i="1"/>
  <c r="X93" i="1"/>
  <c r="Y93" i="1"/>
  <c r="Z93" i="1"/>
  <c r="AA93" i="1"/>
  <c r="K93" i="1" a="1"/>
  <c r="K93" i="1" s="1"/>
  <c r="S93" i="1"/>
  <c r="T93" i="1"/>
  <c r="A93" i="1" a="1"/>
  <c r="A93" i="1" s="1"/>
  <c r="F93" i="1"/>
  <c r="G93" i="1"/>
  <c r="H93" i="1"/>
  <c r="AE92" i="1" a="1"/>
  <c r="AE92" i="1" s="1"/>
  <c r="AH92" i="1"/>
  <c r="U92" i="1" a="1"/>
  <c r="U92" i="1" s="1"/>
  <c r="AA92" i="1"/>
  <c r="AB92" i="1"/>
  <c r="AC92" i="1"/>
  <c r="AD92" i="1"/>
  <c r="K92" i="1" a="1"/>
  <c r="K92" i="1" s="1"/>
  <c r="S92" i="1"/>
  <c r="T92" i="1"/>
  <c r="A92" i="1" a="1"/>
  <c r="A92" i="1" s="1"/>
  <c r="AE91" i="1" a="1"/>
  <c r="AE91" i="1" s="1"/>
  <c r="AG91" i="1"/>
  <c r="U91" i="1" a="1"/>
  <c r="U91" i="1" s="1"/>
  <c r="AD91" i="1"/>
  <c r="K91" i="1" a="1"/>
  <c r="K91" i="1" s="1"/>
  <c r="P91" i="1"/>
  <c r="Q91" i="1"/>
  <c r="R91" i="1"/>
  <c r="S91" i="1"/>
  <c r="T91" i="1"/>
  <c r="A91" i="1" a="1"/>
  <c r="A91" i="1" s="1"/>
  <c r="AE90" i="1" a="1"/>
  <c r="AE90" i="1" s="1"/>
  <c r="AH90" i="1"/>
  <c r="U90" i="1" a="1"/>
  <c r="U90" i="1" s="1"/>
  <c r="Y90" i="1"/>
  <c r="Z90" i="1"/>
  <c r="AA90" i="1"/>
  <c r="AB90" i="1"/>
  <c r="K90" i="1" a="1"/>
  <c r="K90" i="1" s="1"/>
  <c r="R90" i="1"/>
  <c r="T90" i="1"/>
  <c r="A90" i="1" a="1"/>
  <c r="A90" i="1" s="1"/>
  <c r="D90" i="1"/>
  <c r="E90" i="1"/>
  <c r="F90" i="1"/>
  <c r="G90" i="1"/>
  <c r="H90" i="1"/>
  <c r="I90" i="1"/>
  <c r="AE89" i="1" a="1"/>
  <c r="AE89" i="1" s="1"/>
  <c r="AH89" i="1"/>
  <c r="U89" i="1" a="1"/>
  <c r="U89" i="1" s="1"/>
  <c r="X89" i="1"/>
  <c r="Y89" i="1"/>
  <c r="Z89" i="1"/>
  <c r="AA89" i="1"/>
  <c r="AB89" i="1"/>
  <c r="AC89" i="1"/>
  <c r="AD89" i="1"/>
  <c r="K89" i="1" a="1"/>
  <c r="K89" i="1" s="1"/>
  <c r="A89" i="1" a="1"/>
  <c r="A89" i="1" s="1"/>
  <c r="F89" i="1"/>
  <c r="G89" i="1"/>
  <c r="H89" i="1"/>
  <c r="I89" i="1"/>
  <c r="J89" i="1"/>
  <c r="AE88" i="1" a="1"/>
  <c r="AE88" i="1" s="1"/>
  <c r="U88" i="1" a="1"/>
  <c r="U88" i="1" s="1"/>
  <c r="Z88" i="1"/>
  <c r="AA88" i="1"/>
  <c r="AB88" i="1"/>
  <c r="AC88" i="1"/>
  <c r="AD88" i="1"/>
  <c r="K88" i="1" a="1"/>
  <c r="K88" i="1" s="1"/>
  <c r="N88" i="1"/>
  <c r="S88" i="1"/>
  <c r="T88" i="1"/>
  <c r="A88" i="1" a="1"/>
  <c r="A88" i="1" s="1"/>
  <c r="D88" i="1"/>
  <c r="E88" i="1"/>
  <c r="F88" i="1"/>
  <c r="G88" i="1"/>
  <c r="H88" i="1"/>
  <c r="AE87" i="1" a="1"/>
  <c r="AE87" i="1" s="1"/>
  <c r="AH87" i="1"/>
  <c r="U87" i="1" a="1"/>
  <c r="U87" i="1" s="1"/>
  <c r="AA87" i="1"/>
  <c r="AB87" i="1"/>
  <c r="AC87" i="1"/>
  <c r="AD87" i="1"/>
  <c r="K87" i="1" a="1"/>
  <c r="K87" i="1" s="1"/>
  <c r="M87" i="1"/>
  <c r="R87" i="1"/>
  <c r="S87" i="1"/>
  <c r="T87" i="1"/>
  <c r="A87" i="1" a="1"/>
  <c r="A87" i="1" s="1"/>
  <c r="G87" i="1"/>
  <c r="I87" i="1"/>
  <c r="J87" i="1"/>
  <c r="AE86" i="1" a="1"/>
  <c r="AE86" i="1" s="1"/>
  <c r="U86" i="1" a="1"/>
  <c r="U86" i="1" s="1"/>
  <c r="Y86" i="1"/>
  <c r="Z86" i="1"/>
  <c r="AA86" i="1"/>
  <c r="AB86" i="1"/>
  <c r="AC86" i="1"/>
  <c r="AD86" i="1"/>
  <c r="K86" i="1" a="1"/>
  <c r="K86" i="1" s="1"/>
  <c r="A86" i="1" a="1"/>
  <c r="A86" i="1" s="1"/>
  <c r="H86" i="1"/>
  <c r="I86" i="1"/>
  <c r="J86" i="1"/>
  <c r="AE85" i="1" a="1"/>
  <c r="AE85" i="1" s="1"/>
  <c r="AG85" i="1"/>
  <c r="AH85" i="1"/>
  <c r="U85" i="1" a="1"/>
  <c r="U85" i="1" s="1"/>
  <c r="K85" i="1" a="1"/>
  <c r="K85" i="1" s="1"/>
  <c r="P85" i="1"/>
  <c r="A85" i="1" a="1"/>
  <c r="A85" i="1" s="1"/>
  <c r="F85" i="1"/>
  <c r="G85" i="1"/>
  <c r="H85" i="1"/>
  <c r="I85" i="1"/>
  <c r="J85" i="1"/>
  <c r="AE84" i="1" a="1"/>
  <c r="AE84" i="1" s="1"/>
  <c r="AG84" i="1"/>
  <c r="AH84" i="1"/>
  <c r="U84" i="1" a="1"/>
  <c r="U84" i="1" s="1"/>
  <c r="AB84" i="1"/>
  <c r="AC84" i="1"/>
  <c r="K84" i="1" a="1"/>
  <c r="K84" i="1" s="1"/>
  <c r="N84" i="1"/>
  <c r="O84" i="1"/>
  <c r="P84" i="1"/>
  <c r="Q84" i="1"/>
  <c r="R84" i="1"/>
  <c r="S84" i="1"/>
  <c r="T84" i="1"/>
  <c r="A84" i="1" a="1"/>
  <c r="A84" i="1" s="1"/>
  <c r="AE83" i="1" a="1"/>
  <c r="AE83" i="1" s="1"/>
  <c r="AH83" i="1"/>
  <c r="U83" i="1" a="1"/>
  <c r="U83" i="1" s="1"/>
  <c r="V83" i="1"/>
  <c r="W83" i="1"/>
  <c r="X83" i="1"/>
  <c r="Y83" i="1"/>
  <c r="Z83" i="1"/>
  <c r="AA83" i="1"/>
  <c r="AB83" i="1"/>
  <c r="AC83" i="1"/>
  <c r="K83" i="1" a="1"/>
  <c r="K83" i="1" s="1"/>
  <c r="P83" i="1"/>
  <c r="Q83" i="1"/>
  <c r="R83" i="1"/>
  <c r="S83" i="1"/>
  <c r="T83" i="1"/>
  <c r="A83" i="1" a="1"/>
  <c r="A83" i="1" s="1"/>
  <c r="G83" i="1"/>
  <c r="AE82" i="1" a="1"/>
  <c r="AE82" i="1" s="1"/>
  <c r="AG82" i="1"/>
  <c r="AH82" i="1"/>
  <c r="U82" i="1" a="1"/>
  <c r="U82" i="1" s="1"/>
  <c r="Y82" i="1"/>
  <c r="Z82" i="1"/>
  <c r="AA82" i="1"/>
  <c r="AB82" i="1"/>
  <c r="AC82" i="1"/>
  <c r="K82" i="1" a="1"/>
  <c r="K82" i="1" s="1"/>
  <c r="Q82" i="1"/>
  <c r="R82" i="1"/>
  <c r="S82" i="1"/>
  <c r="T82" i="1"/>
  <c r="A82" i="1" a="1"/>
  <c r="A82" i="1" s="1"/>
  <c r="AE81" i="1" a="1"/>
  <c r="AE81" i="1" s="1"/>
  <c r="AH81" i="1"/>
  <c r="U81" i="1" a="1"/>
  <c r="U81" i="1" s="1"/>
  <c r="W81" i="1"/>
  <c r="X81" i="1"/>
  <c r="Y81" i="1"/>
  <c r="Z81" i="1"/>
  <c r="AA81" i="1"/>
  <c r="K81" i="1" a="1"/>
  <c r="K81" i="1" s="1"/>
  <c r="P81" i="1"/>
  <c r="Q81" i="1"/>
  <c r="R81" i="1"/>
  <c r="S81" i="1"/>
  <c r="T81" i="1"/>
  <c r="A81" i="1" a="1"/>
  <c r="A81" i="1" s="1"/>
  <c r="AE80" i="1" a="1"/>
  <c r="AE80" i="1" s="1"/>
  <c r="AH80" i="1"/>
  <c r="U80" i="1" a="1"/>
  <c r="U80" i="1" s="1"/>
  <c r="V80" i="1"/>
  <c r="W80" i="1"/>
  <c r="X80" i="1"/>
  <c r="Y80" i="1"/>
  <c r="Z80" i="1"/>
  <c r="AA80" i="1"/>
  <c r="K80" i="1" a="1"/>
  <c r="K80" i="1" s="1"/>
  <c r="R80" i="1"/>
  <c r="S80" i="1"/>
  <c r="T80" i="1"/>
  <c r="A80" i="1" a="1"/>
  <c r="A80" i="1" s="1"/>
  <c r="F80" i="1"/>
  <c r="AE79" i="1" a="1"/>
  <c r="AE79" i="1" s="1"/>
  <c r="AG79" i="1"/>
  <c r="AH79" i="1"/>
  <c r="U79" i="1" a="1"/>
  <c r="U79" i="1" s="1"/>
  <c r="AD79" i="1"/>
  <c r="K79" i="1" a="1"/>
  <c r="K79" i="1" s="1"/>
  <c r="R79" i="1"/>
  <c r="S79" i="1"/>
  <c r="A79" i="1" a="1"/>
  <c r="A79" i="1" s="1"/>
  <c r="H79" i="1"/>
  <c r="I79" i="1"/>
  <c r="J79" i="1"/>
  <c r="AE78" i="1" a="1"/>
  <c r="AE78" i="1" s="1"/>
  <c r="AG78" i="1"/>
  <c r="U78" i="1" a="1"/>
  <c r="U78" i="1" s="1"/>
  <c r="AB78" i="1"/>
  <c r="AC78" i="1"/>
  <c r="AD78" i="1"/>
  <c r="K78" i="1" a="1"/>
  <c r="K78" i="1" s="1"/>
  <c r="R78" i="1"/>
  <c r="S78" i="1"/>
  <c r="T78" i="1"/>
  <c r="A78" i="1" a="1"/>
  <c r="A78" i="1" s="1"/>
  <c r="AE77" i="1" a="1"/>
  <c r="AE77" i="1" s="1"/>
  <c r="U77" i="1" a="1"/>
  <c r="U77" i="1" s="1"/>
  <c r="X77" i="1"/>
  <c r="Y77" i="1"/>
  <c r="Z77" i="1"/>
  <c r="AA77" i="1"/>
  <c r="K77" i="1" a="1"/>
  <c r="K77" i="1" s="1"/>
  <c r="O77" i="1"/>
  <c r="P77" i="1"/>
  <c r="Q77" i="1"/>
  <c r="R77" i="1"/>
  <c r="S77" i="1"/>
  <c r="T77" i="1"/>
  <c r="A77" i="1" a="1"/>
  <c r="A77" i="1" s="1"/>
  <c r="E77" i="1"/>
  <c r="F77" i="1"/>
  <c r="AE76" i="1" a="1"/>
  <c r="AE76" i="1" s="1"/>
  <c r="AG76" i="1"/>
  <c r="AH76" i="1"/>
  <c r="U76" i="1" a="1"/>
  <c r="U76" i="1" s="1"/>
  <c r="Y76" i="1"/>
  <c r="Z76" i="1"/>
  <c r="K76" i="1" a="1"/>
  <c r="K76" i="1" s="1"/>
  <c r="O76" i="1"/>
  <c r="P76" i="1"/>
  <c r="Q76" i="1"/>
  <c r="R76" i="1"/>
  <c r="S76" i="1"/>
  <c r="T76" i="1"/>
  <c r="A76" i="1" a="1"/>
  <c r="A76" i="1" s="1"/>
  <c r="AE75" i="1" a="1"/>
  <c r="AE75" i="1" s="1"/>
  <c r="U75" i="1" a="1"/>
  <c r="U75" i="1" s="1"/>
  <c r="Y75" i="1"/>
  <c r="Z75" i="1"/>
  <c r="AA75" i="1"/>
  <c r="AB75" i="1"/>
  <c r="K75" i="1" a="1"/>
  <c r="K75" i="1" s="1"/>
  <c r="P75" i="1"/>
  <c r="Q75" i="1"/>
  <c r="R75" i="1"/>
  <c r="S75" i="1"/>
  <c r="T75" i="1"/>
  <c r="A75" i="1" a="1"/>
  <c r="A75" i="1" s="1"/>
  <c r="G75" i="1"/>
  <c r="H75" i="1"/>
  <c r="AE74" i="1" a="1"/>
  <c r="AE74" i="1" s="1"/>
  <c r="AG74" i="1"/>
  <c r="U74" i="1" a="1"/>
  <c r="U74" i="1" s="1"/>
  <c r="W74" i="1"/>
  <c r="X74" i="1"/>
  <c r="Y74" i="1"/>
  <c r="Z74" i="1"/>
  <c r="K74" i="1" a="1"/>
  <c r="K74" i="1" s="1"/>
  <c r="Q74" i="1"/>
  <c r="R74" i="1"/>
  <c r="S74" i="1"/>
  <c r="T74" i="1"/>
  <c r="A74" i="1" a="1"/>
  <c r="A74" i="1" s="1"/>
  <c r="F74" i="1"/>
  <c r="G74" i="1"/>
  <c r="H74" i="1"/>
  <c r="AE73" i="1" a="1"/>
  <c r="AE73" i="1" s="1"/>
  <c r="AG73" i="1"/>
  <c r="U73" i="1" a="1"/>
  <c r="U73" i="1" s="1"/>
  <c r="X73" i="1"/>
  <c r="Y73" i="1"/>
  <c r="Z73" i="1"/>
  <c r="AA73" i="1"/>
  <c r="K73" i="1" a="1"/>
  <c r="K73" i="1" s="1"/>
  <c r="Q73" i="1"/>
  <c r="S73" i="1"/>
  <c r="T73" i="1"/>
  <c r="A73" i="1" a="1"/>
  <c r="A73" i="1" s="1"/>
  <c r="H73" i="1"/>
  <c r="I73" i="1"/>
  <c r="J73" i="1"/>
  <c r="AE72" i="1" a="1"/>
  <c r="AE72" i="1" s="1"/>
  <c r="U72" i="1" a="1"/>
  <c r="U72" i="1" s="1"/>
  <c r="Y72" i="1"/>
  <c r="Z72" i="1"/>
  <c r="AA72" i="1"/>
  <c r="AB72" i="1"/>
  <c r="AC72" i="1"/>
  <c r="K72" i="1" a="1"/>
  <c r="K72" i="1" s="1"/>
  <c r="A72" i="1" a="1"/>
  <c r="A72" i="1" s="1"/>
  <c r="I72" i="1"/>
  <c r="J72" i="1"/>
  <c r="AE71" i="1" a="1"/>
  <c r="AE71" i="1" s="1"/>
  <c r="AH71" i="1"/>
  <c r="U71" i="1" a="1"/>
  <c r="U71" i="1" s="1"/>
  <c r="X71" i="1"/>
  <c r="Y71" i="1"/>
  <c r="K71" i="1" a="1"/>
  <c r="K71" i="1" s="1"/>
  <c r="N71" i="1"/>
  <c r="O71" i="1"/>
  <c r="P71" i="1"/>
  <c r="Q71" i="1"/>
  <c r="A71" i="1" a="1"/>
  <c r="A71" i="1" s="1"/>
  <c r="I71" i="1"/>
  <c r="J71" i="1"/>
  <c r="AE70" i="1" a="1"/>
  <c r="AE70" i="1" s="1"/>
  <c r="AH70" i="1"/>
  <c r="U70" i="1" a="1"/>
  <c r="U70" i="1" s="1"/>
  <c r="X70" i="1"/>
  <c r="Y70" i="1"/>
  <c r="Z70" i="1"/>
  <c r="K70" i="1" a="1"/>
  <c r="K70" i="1" s="1"/>
  <c r="N70" i="1"/>
  <c r="P70" i="1"/>
  <c r="Q70" i="1"/>
  <c r="R70" i="1"/>
  <c r="S70" i="1"/>
  <c r="T70" i="1"/>
  <c r="A70" i="1" a="1"/>
  <c r="A70" i="1" s="1"/>
  <c r="J70" i="1"/>
  <c r="AE69" i="1" a="1"/>
  <c r="AE69" i="1" s="1"/>
  <c r="U69" i="1" a="1"/>
  <c r="U69" i="1" s="1"/>
  <c r="AB69" i="1"/>
  <c r="AC69" i="1"/>
  <c r="AD69" i="1"/>
  <c r="K69" i="1" a="1"/>
  <c r="K69" i="1" s="1"/>
  <c r="A69" i="1" a="1"/>
  <c r="A69" i="1" s="1"/>
  <c r="D69" i="1"/>
  <c r="E69" i="1"/>
  <c r="F69" i="1"/>
  <c r="AE68" i="1" a="1"/>
  <c r="AE68" i="1" s="1"/>
  <c r="AH68" i="1"/>
  <c r="U68" i="1" a="1"/>
  <c r="U68" i="1" s="1"/>
  <c r="X68" i="1"/>
  <c r="Y68" i="1"/>
  <c r="Z68" i="1"/>
  <c r="AA68" i="1"/>
  <c r="AB68" i="1"/>
  <c r="AC68" i="1"/>
  <c r="K68" i="1" a="1"/>
  <c r="K68" i="1" s="1"/>
  <c r="Q68" i="1"/>
  <c r="R68" i="1"/>
  <c r="S68" i="1"/>
  <c r="T68" i="1"/>
  <c r="A68" i="1" a="1"/>
  <c r="A68" i="1" s="1"/>
  <c r="AE67" i="1" a="1"/>
  <c r="AE67" i="1" s="1"/>
  <c r="AG67" i="1"/>
  <c r="U67" i="1" a="1"/>
  <c r="U67" i="1" s="1"/>
  <c r="AA67" i="1"/>
  <c r="AB67" i="1"/>
  <c r="AC67" i="1"/>
  <c r="AD67" i="1"/>
  <c r="K67" i="1" a="1"/>
  <c r="K67" i="1" s="1"/>
  <c r="M67" i="1"/>
  <c r="N67" i="1"/>
  <c r="O67" i="1"/>
  <c r="A67" i="1" a="1"/>
  <c r="A67" i="1" s="1"/>
  <c r="D67" i="1"/>
  <c r="E67" i="1"/>
  <c r="F67" i="1"/>
  <c r="G67" i="1"/>
  <c r="AE66" i="1" a="1"/>
  <c r="AE66" i="1" s="1"/>
  <c r="U66" i="1" a="1"/>
  <c r="U66" i="1" s="1"/>
  <c r="Y66" i="1"/>
  <c r="Z66" i="1"/>
  <c r="AA66" i="1"/>
  <c r="AB66" i="1"/>
  <c r="AC66" i="1"/>
  <c r="AD66" i="1"/>
  <c r="K66" i="1" a="1"/>
  <c r="K66" i="1" s="1"/>
  <c r="A66" i="1" a="1"/>
  <c r="A66" i="1" s="1"/>
  <c r="H66" i="1"/>
  <c r="I66" i="1"/>
  <c r="J66" i="1"/>
  <c r="AE65" i="1" a="1"/>
  <c r="AE65" i="1" s="1"/>
  <c r="AH65" i="1"/>
  <c r="U65" i="1" a="1"/>
  <c r="U65" i="1" s="1"/>
  <c r="W65" i="1"/>
  <c r="AA65" i="1"/>
  <c r="AB65" i="1"/>
  <c r="AC65" i="1"/>
  <c r="AD65" i="1"/>
  <c r="K65" i="1" a="1"/>
  <c r="K65" i="1" s="1"/>
  <c r="R65" i="1"/>
  <c r="S65" i="1"/>
  <c r="T65" i="1"/>
  <c r="A65" i="1" a="1"/>
  <c r="A65" i="1" s="1"/>
  <c r="AE64" i="1" a="1"/>
  <c r="AE64" i="1" s="1"/>
  <c r="U64" i="1" a="1"/>
  <c r="U64" i="1" s="1"/>
  <c r="Y64" i="1"/>
  <c r="Z64" i="1"/>
  <c r="AA64" i="1"/>
  <c r="K64" i="1" a="1"/>
  <c r="K64" i="1" s="1"/>
  <c r="O64" i="1"/>
  <c r="P64" i="1"/>
  <c r="Q64" i="1"/>
  <c r="R64" i="1"/>
  <c r="S64" i="1"/>
  <c r="T64" i="1"/>
  <c r="A64" i="1" a="1"/>
  <c r="A64" i="1" s="1"/>
  <c r="AE63" i="1" a="1"/>
  <c r="AE63" i="1" s="1"/>
  <c r="AG63" i="1"/>
  <c r="AH63" i="1"/>
  <c r="U63" i="1" a="1"/>
  <c r="U63" i="1" s="1"/>
  <c r="AA63" i="1"/>
  <c r="AB63" i="1"/>
  <c r="K63" i="1" a="1"/>
  <c r="K63" i="1" s="1"/>
  <c r="P63" i="1"/>
  <c r="R63" i="1"/>
  <c r="S63" i="1"/>
  <c r="T63" i="1"/>
  <c r="A63" i="1" a="1"/>
  <c r="A63" i="1" s="1"/>
  <c r="F63" i="1"/>
  <c r="G63" i="1"/>
  <c r="H63" i="1"/>
  <c r="I63" i="1"/>
  <c r="J63" i="1"/>
  <c r="AE62" i="1" a="1"/>
  <c r="AE62" i="1" s="1"/>
  <c r="U62" i="1" a="1"/>
  <c r="U62" i="1" s="1"/>
  <c r="Z62" i="1"/>
  <c r="AA62" i="1"/>
  <c r="AB62" i="1"/>
  <c r="AC62" i="1"/>
  <c r="AD62" i="1"/>
  <c r="K62" i="1" a="1"/>
  <c r="K62" i="1" s="1"/>
  <c r="A62" i="1" a="1"/>
  <c r="A62" i="1" s="1"/>
  <c r="H62" i="1"/>
  <c r="I62" i="1"/>
  <c r="J62" i="1"/>
  <c r="AE61" i="1" a="1"/>
  <c r="AE61" i="1" s="1"/>
  <c r="AG61" i="1"/>
  <c r="AH61" i="1"/>
  <c r="U61" i="1" a="1"/>
  <c r="U61" i="1" s="1"/>
  <c r="K61" i="1" a="1"/>
  <c r="K61" i="1" s="1"/>
  <c r="P61" i="1"/>
  <c r="A61" i="1" a="1"/>
  <c r="A61" i="1" s="1"/>
  <c r="H61" i="1"/>
  <c r="I61" i="1"/>
  <c r="J61" i="1"/>
  <c r="AE60" i="1" a="1"/>
  <c r="AE60" i="1" s="1"/>
  <c r="AH60" i="1"/>
  <c r="U60" i="1" a="1"/>
  <c r="U60" i="1" s="1"/>
  <c r="W60" i="1"/>
  <c r="X60" i="1"/>
  <c r="K60" i="1" a="1"/>
  <c r="K60" i="1" s="1"/>
  <c r="N60" i="1"/>
  <c r="O60" i="1"/>
  <c r="P60" i="1"/>
  <c r="A60" i="1" a="1"/>
  <c r="A60" i="1" s="1"/>
  <c r="G60" i="1"/>
  <c r="H60" i="1"/>
  <c r="I60" i="1"/>
  <c r="J60" i="1"/>
  <c r="AE59" i="1" a="1"/>
  <c r="AE59" i="1" s="1"/>
  <c r="AF59" i="1"/>
  <c r="AG59" i="1"/>
  <c r="AH59" i="1"/>
  <c r="U59" i="1" a="1"/>
  <c r="U59" i="1" s="1"/>
  <c r="AB59" i="1"/>
  <c r="AC59" i="1"/>
  <c r="AD59" i="1"/>
  <c r="K59" i="1" a="1"/>
  <c r="K59" i="1" s="1"/>
  <c r="N59" i="1"/>
  <c r="A59" i="1" a="1"/>
  <c r="A59" i="1" s="1"/>
  <c r="F59" i="1"/>
  <c r="G59" i="1"/>
  <c r="H59" i="1"/>
  <c r="I59" i="1"/>
  <c r="J59" i="1"/>
  <c r="AE58" i="1" a="1"/>
  <c r="AE58" i="1" s="1"/>
  <c r="U58" i="1" a="1"/>
  <c r="U58" i="1" s="1"/>
  <c r="AA58" i="1"/>
  <c r="AB58" i="1"/>
  <c r="AC58" i="1"/>
  <c r="AD58" i="1"/>
  <c r="K58" i="1" a="1"/>
  <c r="K58" i="1" s="1"/>
  <c r="A58" i="1" a="1"/>
  <c r="A58" i="1" s="1"/>
  <c r="E58" i="1"/>
  <c r="F58" i="1"/>
  <c r="G58" i="1"/>
  <c r="H58" i="1"/>
  <c r="I58" i="1"/>
  <c r="J58" i="1"/>
  <c r="AE57" i="1" a="1"/>
  <c r="AE57" i="1" s="1"/>
  <c r="U57" i="1" a="1"/>
  <c r="U57" i="1" s="1"/>
  <c r="AA57" i="1"/>
  <c r="AB57" i="1"/>
  <c r="AC57" i="1"/>
  <c r="AD57" i="1"/>
  <c r="K57" i="1" a="1"/>
  <c r="K57" i="1" s="1"/>
  <c r="A57" i="1" a="1"/>
  <c r="A57" i="1" s="1"/>
  <c r="E57" i="1"/>
  <c r="F57" i="1"/>
  <c r="G57" i="1"/>
  <c r="H57" i="1"/>
  <c r="I57" i="1"/>
  <c r="J57" i="1"/>
  <c r="AE56" i="1" a="1"/>
  <c r="AE56" i="1" s="1"/>
  <c r="U56" i="1" a="1"/>
  <c r="U56" i="1" s="1"/>
  <c r="X56" i="1"/>
  <c r="Y56" i="1"/>
  <c r="Z56" i="1"/>
  <c r="AA56" i="1"/>
  <c r="AB56" i="1"/>
  <c r="K56" i="1" a="1"/>
  <c r="K56" i="1" s="1"/>
  <c r="O56" i="1"/>
  <c r="Q56" i="1"/>
  <c r="R56" i="1"/>
  <c r="S56" i="1"/>
  <c r="T56" i="1"/>
  <c r="A56" i="1" a="1"/>
  <c r="A56" i="1" s="1"/>
  <c r="F56" i="1"/>
  <c r="G56" i="1"/>
  <c r="H56" i="1"/>
  <c r="AE55" i="1" a="1"/>
  <c r="AE55" i="1" s="1"/>
  <c r="AG55" i="1"/>
  <c r="U55" i="1" a="1"/>
  <c r="U55" i="1" s="1"/>
  <c r="W55" i="1"/>
  <c r="X55" i="1"/>
  <c r="Y55" i="1"/>
  <c r="Z55" i="1"/>
  <c r="K55" i="1" a="1"/>
  <c r="K55" i="1" s="1"/>
  <c r="R55" i="1"/>
  <c r="S55" i="1"/>
  <c r="T55" i="1"/>
  <c r="A55" i="1" a="1"/>
  <c r="A55" i="1" s="1"/>
  <c r="G55" i="1"/>
  <c r="H55" i="1"/>
  <c r="I55" i="1"/>
  <c r="J55" i="1"/>
  <c r="AE54" i="1" a="1"/>
  <c r="AE54" i="1" s="1"/>
  <c r="U54" i="1" a="1"/>
  <c r="U54" i="1" s="1"/>
  <c r="Z54" i="1"/>
  <c r="AA54" i="1"/>
  <c r="AB54" i="1"/>
  <c r="AC54" i="1"/>
  <c r="AD54" i="1"/>
  <c r="K54" i="1" a="1"/>
  <c r="K54" i="1" s="1"/>
  <c r="T54" i="1"/>
  <c r="A54" i="1" a="1"/>
  <c r="A54" i="1" s="1"/>
  <c r="C54" i="1"/>
  <c r="D54" i="1"/>
  <c r="E54" i="1"/>
  <c r="F54" i="1"/>
  <c r="G54" i="1"/>
  <c r="H54" i="1"/>
  <c r="I54" i="1"/>
  <c r="J54" i="1"/>
  <c r="AE53" i="1" a="1"/>
  <c r="AE53" i="1" s="1"/>
  <c r="U53" i="1" a="1"/>
  <c r="U53" i="1" s="1"/>
  <c r="X53" i="1"/>
  <c r="Y53" i="1"/>
  <c r="Z53" i="1"/>
  <c r="AA53" i="1"/>
  <c r="AB53" i="1"/>
  <c r="K53" i="1" a="1"/>
  <c r="K53" i="1" s="1"/>
  <c r="R53" i="1"/>
  <c r="S53" i="1"/>
  <c r="T53" i="1"/>
  <c r="A53" i="1" a="1"/>
  <c r="A53" i="1" s="1"/>
  <c r="E53" i="1"/>
  <c r="F53" i="1"/>
  <c r="G53" i="1"/>
  <c r="H53" i="1"/>
  <c r="I53" i="1"/>
  <c r="J53" i="1"/>
  <c r="AE52" i="1" a="1"/>
  <c r="AE52" i="1" s="1"/>
  <c r="U52" i="1" a="1"/>
  <c r="U52" i="1" s="1"/>
  <c r="Z52" i="1"/>
  <c r="AA52" i="1"/>
  <c r="AB52" i="1"/>
  <c r="AC52" i="1"/>
  <c r="AD52" i="1"/>
  <c r="K52" i="1" a="1"/>
  <c r="K52" i="1" s="1"/>
  <c r="S52" i="1"/>
  <c r="A52" i="1" a="1"/>
  <c r="A52" i="1" s="1"/>
  <c r="H52" i="1"/>
  <c r="I52" i="1"/>
  <c r="J52" i="1"/>
  <c r="AE51" i="1" a="1"/>
  <c r="AE51" i="1" s="1"/>
  <c r="AH51" i="1"/>
  <c r="U51" i="1" a="1"/>
  <c r="U51" i="1" s="1"/>
  <c r="K51" i="1" a="1"/>
  <c r="K51" i="1" s="1"/>
  <c r="A51" i="1" a="1"/>
  <c r="A51" i="1" s="1"/>
  <c r="F51" i="1"/>
  <c r="AE50" i="1" a="1"/>
  <c r="AE50" i="1" s="1"/>
  <c r="U50" i="1" a="1"/>
  <c r="U50" i="1" s="1"/>
  <c r="X50" i="1"/>
  <c r="Z50" i="1"/>
  <c r="AA50" i="1"/>
  <c r="AB50" i="1"/>
  <c r="AC50" i="1"/>
  <c r="AD50" i="1"/>
  <c r="K50" i="1" a="1"/>
  <c r="K50" i="1" s="1"/>
  <c r="P50" i="1"/>
  <c r="Q50" i="1"/>
  <c r="R50" i="1"/>
  <c r="A50" i="1" a="1"/>
  <c r="A50" i="1" s="1"/>
  <c r="E50" i="1"/>
  <c r="F50" i="1"/>
  <c r="G50" i="1"/>
  <c r="AE49" i="1" a="1"/>
  <c r="AE49" i="1" s="1"/>
  <c r="AG49" i="1"/>
  <c r="AH49" i="1"/>
  <c r="U49" i="1" a="1"/>
  <c r="U49" i="1" s="1"/>
  <c r="W49" i="1"/>
  <c r="X49" i="1"/>
  <c r="Y49" i="1"/>
  <c r="Z49" i="1"/>
  <c r="AA49" i="1"/>
  <c r="AB49" i="1"/>
  <c r="AC49" i="1"/>
  <c r="AD49" i="1"/>
  <c r="K49" i="1" a="1"/>
  <c r="K49" i="1" s="1"/>
  <c r="A49" i="1" a="1"/>
  <c r="A49" i="1" s="1"/>
  <c r="G49" i="1"/>
  <c r="H49" i="1"/>
  <c r="I49" i="1"/>
  <c r="AE48" i="1" a="1"/>
  <c r="AE48" i="1" s="1"/>
  <c r="AH48" i="1"/>
  <c r="U48" i="1" a="1"/>
  <c r="U48" i="1" s="1"/>
  <c r="Y48" i="1"/>
  <c r="Z48" i="1"/>
  <c r="AA48" i="1"/>
  <c r="AB48" i="1"/>
  <c r="AC48" i="1"/>
  <c r="AD48" i="1"/>
  <c r="K48" i="1" a="1"/>
  <c r="K48" i="1" s="1"/>
  <c r="O48" i="1"/>
  <c r="P48" i="1"/>
  <c r="Q48" i="1"/>
  <c r="A48" i="1" a="1"/>
  <c r="A48" i="1" s="1"/>
  <c r="J48" i="1"/>
  <c r="AE47" i="1" a="1"/>
  <c r="AE47" i="1" s="1"/>
  <c r="U47" i="1" a="1"/>
  <c r="U47" i="1" s="1"/>
  <c r="K47" i="1" a="1"/>
  <c r="K47" i="1" s="1"/>
  <c r="Q47" i="1"/>
  <c r="R47" i="1"/>
  <c r="S47" i="1"/>
  <c r="T47" i="1"/>
  <c r="A47" i="1" a="1"/>
  <c r="A47" i="1" s="1"/>
  <c r="C47" i="1"/>
  <c r="D47" i="1"/>
  <c r="E47" i="1"/>
  <c r="F47" i="1"/>
  <c r="G47" i="1"/>
  <c r="H47" i="1"/>
  <c r="AE46" i="1" a="1"/>
  <c r="AE46" i="1" s="1"/>
  <c r="AG46" i="1"/>
  <c r="U46" i="1" a="1"/>
  <c r="U46" i="1" s="1"/>
  <c r="Y46" i="1"/>
  <c r="K46" i="1" a="1"/>
  <c r="K46" i="1" s="1"/>
  <c r="Q46" i="1"/>
  <c r="R46" i="1"/>
  <c r="S46" i="1"/>
  <c r="T46" i="1"/>
  <c r="A46" i="1" a="1"/>
  <c r="A46" i="1" s="1"/>
  <c r="G46" i="1"/>
  <c r="H46" i="1"/>
  <c r="I46" i="1"/>
  <c r="J46" i="1"/>
  <c r="AE45" i="1" a="1"/>
  <c r="AE45" i="1" s="1"/>
  <c r="U45" i="1" a="1"/>
  <c r="U45" i="1" s="1"/>
  <c r="Y45" i="1"/>
  <c r="Z45" i="1"/>
  <c r="AB45" i="1"/>
  <c r="AC45" i="1"/>
  <c r="AD45" i="1"/>
  <c r="K45" i="1" a="1"/>
  <c r="K45" i="1" s="1"/>
  <c r="R45" i="1"/>
  <c r="S45" i="1"/>
  <c r="T45" i="1"/>
  <c r="A45" i="1" a="1"/>
  <c r="A45" i="1" s="1"/>
  <c r="AE44" i="1" a="1"/>
  <c r="AE44" i="1" s="1"/>
  <c r="AH44" i="1"/>
  <c r="U44" i="1" a="1"/>
  <c r="U44" i="1" s="1"/>
  <c r="W44" i="1"/>
  <c r="X44" i="1"/>
  <c r="Y44" i="1"/>
  <c r="Z44" i="1"/>
  <c r="K44" i="1" a="1"/>
  <c r="K44" i="1" s="1"/>
  <c r="N44" i="1"/>
  <c r="O44" i="1"/>
  <c r="P44" i="1"/>
  <c r="A44" i="1" a="1"/>
  <c r="A44" i="1" s="1"/>
  <c r="G44" i="1"/>
  <c r="H44" i="1"/>
  <c r="I44" i="1"/>
  <c r="J44" i="1"/>
  <c r="AE43" i="1" a="1"/>
  <c r="AE43" i="1" s="1"/>
  <c r="AH43" i="1"/>
  <c r="U43" i="1" a="1"/>
  <c r="U43" i="1" s="1"/>
  <c r="AA43" i="1"/>
  <c r="AB43" i="1"/>
  <c r="AC43" i="1"/>
  <c r="AD43" i="1"/>
  <c r="K43" i="1" a="1"/>
  <c r="K43" i="1" s="1"/>
  <c r="P43" i="1"/>
  <c r="Q43" i="1"/>
  <c r="R43" i="1"/>
  <c r="S43" i="1"/>
  <c r="A43" i="1" a="1"/>
  <c r="A43" i="1" s="1"/>
  <c r="F43" i="1"/>
  <c r="G43" i="1"/>
  <c r="H43" i="1"/>
  <c r="I43" i="1"/>
  <c r="J43" i="1"/>
  <c r="AE42" i="1" a="1"/>
  <c r="AE42" i="1" s="1"/>
  <c r="AH42" i="1"/>
  <c r="U42" i="1" a="1"/>
  <c r="U42" i="1" s="1"/>
  <c r="W42" i="1"/>
  <c r="X42" i="1"/>
  <c r="Y42" i="1"/>
  <c r="Z42" i="1"/>
  <c r="K42" i="1" a="1"/>
  <c r="K42" i="1" s="1"/>
  <c r="M42" i="1"/>
  <c r="N42" i="1"/>
  <c r="O42" i="1"/>
  <c r="A42" i="1" a="1"/>
  <c r="A42" i="1" s="1"/>
  <c r="G42" i="1"/>
  <c r="H42" i="1"/>
  <c r="I42" i="1"/>
  <c r="J42" i="1"/>
  <c r="AE41" i="1" a="1"/>
  <c r="AE41" i="1" s="1"/>
  <c r="AH41" i="1"/>
  <c r="U41" i="1" a="1"/>
  <c r="U41" i="1" s="1"/>
  <c r="X41" i="1"/>
  <c r="Y41" i="1"/>
  <c r="Z41" i="1"/>
  <c r="K41" i="1" a="1"/>
  <c r="K41" i="1" s="1"/>
  <c r="N41" i="1"/>
  <c r="O41" i="1"/>
  <c r="P41" i="1"/>
  <c r="A41" i="1" a="1"/>
  <c r="A41" i="1" s="1"/>
  <c r="D41" i="1"/>
  <c r="E41" i="1"/>
  <c r="F41" i="1"/>
  <c r="G41" i="1"/>
  <c r="H41" i="1"/>
  <c r="I41" i="1"/>
  <c r="J41" i="1"/>
  <c r="AE40" i="1" a="1"/>
  <c r="AE40" i="1" s="1"/>
  <c r="AG40" i="1"/>
  <c r="AH40" i="1"/>
  <c r="U40" i="1" a="1"/>
  <c r="U40" i="1" s="1"/>
  <c r="K40" i="1" a="1"/>
  <c r="K40" i="1" s="1"/>
  <c r="S40" i="1"/>
  <c r="T40" i="1"/>
  <c r="A40" i="1" a="1"/>
  <c r="A40" i="1" s="1"/>
  <c r="E40" i="1"/>
  <c r="F40" i="1"/>
  <c r="G40" i="1"/>
  <c r="H40" i="1"/>
  <c r="I40" i="1"/>
  <c r="J40" i="1"/>
  <c r="AE39" i="1" a="1"/>
  <c r="AE39" i="1" s="1"/>
  <c r="AH39" i="1"/>
  <c r="U39" i="1" a="1"/>
  <c r="U39" i="1" s="1"/>
  <c r="K39" i="1" a="1"/>
  <c r="K39" i="1" s="1"/>
  <c r="A39" i="1" a="1"/>
  <c r="A39" i="1" s="1"/>
  <c r="D39" i="1"/>
  <c r="E39" i="1"/>
  <c r="F39" i="1"/>
  <c r="G39" i="1"/>
  <c r="H39" i="1"/>
  <c r="I39" i="1"/>
  <c r="J39" i="1"/>
  <c r="AE38" i="1" a="1"/>
  <c r="AE38" i="1" s="1"/>
  <c r="AH38" i="1"/>
  <c r="U38" i="1" a="1"/>
  <c r="U38" i="1" s="1"/>
  <c r="X38" i="1"/>
  <c r="Y38" i="1"/>
  <c r="K38" i="1" a="1"/>
  <c r="K38" i="1" s="1"/>
  <c r="O38" i="1"/>
  <c r="A38" i="1" a="1"/>
  <c r="A38" i="1" s="1"/>
  <c r="I38" i="1"/>
  <c r="J38" i="1"/>
  <c r="AE37" i="1" a="1"/>
  <c r="AE37" i="1" s="1"/>
  <c r="AH37" i="1"/>
  <c r="U37" i="1" a="1"/>
  <c r="U37" i="1" s="1"/>
  <c r="X37" i="1"/>
  <c r="Y37" i="1"/>
  <c r="Z37" i="1"/>
  <c r="AA37" i="1"/>
  <c r="AB37" i="1"/>
  <c r="K37" i="1" a="1"/>
  <c r="K37" i="1" s="1"/>
  <c r="R37" i="1"/>
  <c r="S37" i="1"/>
  <c r="T37" i="1"/>
  <c r="A37" i="1" a="1"/>
  <c r="A37" i="1" s="1"/>
  <c r="AE36" i="1" a="1"/>
  <c r="AE36" i="1" s="1"/>
  <c r="AG36" i="1"/>
  <c r="AH36" i="1"/>
  <c r="U36" i="1" a="1"/>
  <c r="U36" i="1" s="1"/>
  <c r="AC36" i="1"/>
  <c r="AD36" i="1"/>
  <c r="K36" i="1" a="1"/>
  <c r="K36" i="1" s="1"/>
  <c r="Q36" i="1"/>
  <c r="R36" i="1"/>
  <c r="S36" i="1"/>
  <c r="T36" i="1"/>
  <c r="A36" i="1" a="1"/>
  <c r="A36" i="1" s="1"/>
  <c r="G36" i="1"/>
  <c r="AE35" i="1" a="1"/>
  <c r="AE35" i="1" s="1"/>
  <c r="AG35" i="1"/>
  <c r="AH35" i="1"/>
  <c r="U35" i="1" a="1"/>
  <c r="U35" i="1" s="1"/>
  <c r="X35" i="1"/>
  <c r="K35" i="1" a="1"/>
  <c r="K35" i="1" s="1"/>
  <c r="N35" i="1"/>
  <c r="O35" i="1"/>
  <c r="P35" i="1"/>
  <c r="Q35" i="1"/>
  <c r="R35" i="1"/>
  <c r="S35" i="1"/>
  <c r="T35" i="1"/>
  <c r="A35" i="1" a="1"/>
  <c r="A35" i="1" s="1"/>
  <c r="F35" i="1"/>
  <c r="AE34" i="1" a="1"/>
  <c r="AE34" i="1" s="1"/>
  <c r="AG34" i="1"/>
  <c r="AH34" i="1"/>
  <c r="U34" i="1" a="1"/>
  <c r="U34" i="1" s="1"/>
  <c r="AD34" i="1"/>
  <c r="K34" i="1" a="1"/>
  <c r="K34" i="1" s="1"/>
  <c r="A34" i="1" a="1"/>
  <c r="A34" i="1" s="1"/>
  <c r="H34" i="1"/>
  <c r="AE33" i="1" a="1"/>
  <c r="AE33" i="1" s="1"/>
  <c r="U33" i="1" a="1"/>
  <c r="U33" i="1" s="1"/>
  <c r="K33" i="1" a="1"/>
  <c r="K33" i="1" s="1"/>
  <c r="T33" i="1"/>
  <c r="A33" i="1" a="1"/>
  <c r="A33" i="1" s="1"/>
  <c r="I33" i="1"/>
  <c r="AE32" i="1" a="1"/>
  <c r="AE32" i="1" s="1"/>
  <c r="AH32" i="1"/>
  <c r="U32" i="1" a="1"/>
  <c r="U32" i="1" s="1"/>
  <c r="Z32" i="1"/>
  <c r="K32" i="1" a="1"/>
  <c r="K32" i="1" s="1"/>
  <c r="P32" i="1"/>
  <c r="S32" i="1"/>
  <c r="T32" i="1"/>
  <c r="A32" i="1" a="1"/>
  <c r="A32" i="1" s="1"/>
  <c r="H32" i="1"/>
  <c r="AE31" i="1" a="1"/>
  <c r="AE31" i="1" s="1"/>
  <c r="U31" i="1" a="1"/>
  <c r="U31" i="1" s="1"/>
  <c r="W31" i="1"/>
  <c r="K31" i="1" a="1"/>
  <c r="K31" i="1" s="1"/>
  <c r="P31" i="1"/>
  <c r="S31" i="1"/>
  <c r="T31" i="1"/>
  <c r="A31" i="1" a="1"/>
  <c r="A31" i="1" s="1"/>
  <c r="J31" i="1"/>
  <c r="AE30" i="1" a="1"/>
  <c r="AE30" i="1" s="1"/>
  <c r="U30" i="1" a="1"/>
  <c r="U30" i="1" s="1"/>
  <c r="K30" i="1" a="1"/>
  <c r="K30" i="1" s="1"/>
  <c r="S30" i="1"/>
  <c r="A30" i="1" a="1"/>
  <c r="A30" i="1" s="1"/>
  <c r="E30" i="1"/>
  <c r="F30" i="1"/>
  <c r="G30" i="1"/>
  <c r="I30" i="1"/>
  <c r="AE29" i="1" a="1"/>
  <c r="AE29" i="1" s="1"/>
  <c r="AF29" i="1"/>
  <c r="AG29" i="1"/>
  <c r="U29" i="1" a="1"/>
  <c r="U29" i="1" s="1"/>
  <c r="K29" i="1" a="1"/>
  <c r="K29" i="1" s="1"/>
  <c r="R29" i="1"/>
  <c r="S29" i="1"/>
  <c r="A29" i="1" a="1"/>
  <c r="A29" i="1" s="1"/>
  <c r="I29" i="1"/>
  <c r="AE28" i="1" a="1"/>
  <c r="AE28" i="1" s="1"/>
  <c r="U28" i="1" a="1"/>
  <c r="U28" i="1" s="1"/>
  <c r="W28" i="1"/>
  <c r="Y28" i="1"/>
  <c r="AA28" i="1"/>
  <c r="K28" i="1" a="1"/>
  <c r="K28" i="1" s="1"/>
  <c r="S28" i="1"/>
  <c r="T28" i="1"/>
  <c r="A28" i="1" a="1"/>
  <c r="A28" i="1" s="1"/>
  <c r="E28" i="1"/>
  <c r="G28" i="1"/>
  <c r="H28" i="1"/>
  <c r="I28" i="1"/>
  <c r="J28" i="1"/>
  <c r="AE27" i="1" a="1"/>
  <c r="AE27" i="1" s="1"/>
  <c r="AH27" i="1"/>
  <c r="U27" i="1" a="1"/>
  <c r="U27" i="1" s="1"/>
  <c r="W27" i="1"/>
  <c r="X27" i="1"/>
  <c r="Y27" i="1"/>
  <c r="AA27" i="1"/>
  <c r="AC27" i="1"/>
  <c r="K27" i="1" a="1"/>
  <c r="K27" i="1" s="1"/>
  <c r="T27" i="1"/>
  <c r="A27" i="1" a="1"/>
  <c r="A27" i="1" s="1"/>
  <c r="F27" i="1"/>
  <c r="H27" i="1"/>
  <c r="I27" i="1"/>
  <c r="J27" i="1"/>
  <c r="AE26" i="1" a="1"/>
  <c r="AE26" i="1" s="1"/>
  <c r="U26" i="1" a="1"/>
  <c r="U26" i="1" s="1"/>
  <c r="X26" i="1"/>
  <c r="AA26" i="1"/>
  <c r="K26" i="1" a="1"/>
  <c r="K26" i="1" s="1"/>
  <c r="A26" i="1" a="1"/>
  <c r="A26" i="1" s="1"/>
  <c r="F26" i="1"/>
  <c r="G26" i="1"/>
  <c r="H26" i="1"/>
  <c r="I26" i="1"/>
  <c r="AE25" i="1" a="1"/>
  <c r="AE25" i="1" s="1"/>
  <c r="AG25" i="1"/>
  <c r="U25" i="1" a="1"/>
  <c r="U25" i="1" s="1"/>
  <c r="W25" i="1"/>
  <c r="X25" i="1"/>
  <c r="Y25" i="1"/>
  <c r="AA25" i="1"/>
  <c r="AD25" i="1"/>
  <c r="K25" i="1" a="1"/>
  <c r="K25" i="1" s="1"/>
  <c r="S25" i="1"/>
  <c r="T25" i="1"/>
  <c r="A25" i="1" a="1"/>
  <c r="A25" i="1" s="1"/>
  <c r="C25" i="1"/>
  <c r="F25" i="1"/>
  <c r="H25" i="1"/>
  <c r="I25" i="1"/>
  <c r="J25" i="1"/>
  <c r="AE24" i="1" a="1"/>
  <c r="AE24" i="1" s="1"/>
  <c r="U24" i="1" a="1"/>
  <c r="U24" i="1" s="1"/>
  <c r="AA24" i="1"/>
  <c r="AC24" i="1"/>
  <c r="K24" i="1" a="1"/>
  <c r="K24" i="1" s="1"/>
  <c r="A24" i="1" a="1"/>
  <c r="A24" i="1" s="1"/>
  <c r="H24" i="1"/>
  <c r="I24" i="1"/>
  <c r="J24" i="1"/>
  <c r="AE23" i="1" a="1"/>
  <c r="AE23" i="1" s="1"/>
  <c r="U23" i="1" a="1"/>
  <c r="U23" i="1" s="1"/>
  <c r="K23" i="1" a="1"/>
  <c r="K23" i="1" s="1"/>
  <c r="O23" i="1"/>
  <c r="R23" i="1"/>
  <c r="A23" i="1" a="1"/>
  <c r="A23" i="1" s="1"/>
  <c r="E23" i="1"/>
  <c r="H23" i="1"/>
  <c r="I23" i="1"/>
  <c r="J23" i="1"/>
  <c r="AE22" i="1" a="1"/>
  <c r="AE22" i="1" s="1"/>
  <c r="AH22" i="1"/>
  <c r="U22" i="1" a="1"/>
  <c r="U22" i="1" s="1"/>
  <c r="AA22" i="1"/>
  <c r="AD22" i="1"/>
  <c r="K22" i="1" a="1"/>
  <c r="K22" i="1" s="1"/>
  <c r="Q22" i="1"/>
  <c r="A22" i="1" a="1"/>
  <c r="A22" i="1" s="1"/>
  <c r="AE21" i="1" a="1"/>
  <c r="AE21" i="1" s="1"/>
  <c r="AH21" i="1"/>
  <c r="U21" i="1" a="1"/>
  <c r="U21" i="1" s="1"/>
  <c r="AB21" i="1"/>
  <c r="K21" i="1" a="1"/>
  <c r="K21" i="1" s="1"/>
  <c r="A21" i="1" a="1"/>
  <c r="A21" i="1" s="1"/>
  <c r="I21" i="1"/>
  <c r="AE20" i="1" a="1"/>
  <c r="AE20" i="1" s="1"/>
  <c r="U20" i="1" a="1"/>
  <c r="U20" i="1" s="1"/>
  <c r="AA20" i="1"/>
  <c r="K20" i="1" a="1"/>
  <c r="K20" i="1" s="1"/>
  <c r="Q20" i="1"/>
  <c r="A20" i="1" a="1"/>
  <c r="A20" i="1" s="1"/>
  <c r="J20" i="1"/>
  <c r="AE19" i="1" a="1"/>
  <c r="AE19" i="1" s="1"/>
  <c r="AH19" i="1"/>
  <c r="U19" i="1" a="1"/>
  <c r="U19" i="1" s="1"/>
  <c r="AC19" i="1"/>
  <c r="K19" i="1" a="1"/>
  <c r="K19" i="1" s="1"/>
  <c r="P19" i="1"/>
  <c r="Q19" i="1"/>
  <c r="R19" i="1"/>
  <c r="T19" i="1"/>
  <c r="A19" i="1" a="1"/>
  <c r="A19" i="1" s="1"/>
  <c r="E19" i="1"/>
  <c r="F19" i="1"/>
  <c r="G19" i="1"/>
  <c r="H19" i="1"/>
  <c r="I19" i="1"/>
  <c r="J19" i="1"/>
  <c r="AE18" i="1" a="1"/>
  <c r="AE18" i="1" s="1"/>
  <c r="U18" i="1" a="1"/>
  <c r="U18" i="1" s="1"/>
  <c r="AB18" i="1"/>
  <c r="K18" i="1" a="1"/>
  <c r="K18" i="1" s="1"/>
  <c r="A18" i="1" a="1"/>
  <c r="A18" i="1" s="1"/>
  <c r="I18" i="1"/>
  <c r="J18" i="1"/>
  <c r="AE17" i="1" a="1"/>
  <c r="AE17" i="1" s="1"/>
  <c r="U17" i="1" a="1"/>
  <c r="U17" i="1" s="1"/>
  <c r="Y17" i="1"/>
  <c r="K17" i="1" a="1"/>
  <c r="K17" i="1" s="1"/>
  <c r="P17" i="1"/>
  <c r="Q17" i="1"/>
  <c r="S17" i="1"/>
  <c r="T17" i="1"/>
  <c r="A17" i="1" a="1"/>
  <c r="A17" i="1" s="1"/>
  <c r="AE16" i="1" a="1"/>
  <c r="AE16" i="1" s="1"/>
  <c r="U16" i="1" a="1"/>
  <c r="U16" i="1" s="1"/>
  <c r="W16" i="1"/>
  <c r="X16" i="1"/>
  <c r="Z16" i="1"/>
  <c r="K16" i="1" a="1"/>
  <c r="K16" i="1" s="1"/>
  <c r="A16" i="1" a="1"/>
  <c r="A16" i="1" s="1"/>
  <c r="I16" i="1"/>
  <c r="AE15" i="1" a="1"/>
  <c r="AE15" i="1" s="1"/>
  <c r="AG15" i="1"/>
  <c r="U15" i="1" a="1"/>
  <c r="U15" i="1" s="1"/>
  <c r="K15" i="1" a="1"/>
  <c r="K15" i="1" s="1"/>
  <c r="A15" i="1" a="1"/>
  <c r="A15" i="1" s="1"/>
  <c r="AE14" i="1" a="1"/>
  <c r="AE14" i="1" s="1"/>
  <c r="U14" i="1" a="1"/>
  <c r="U14" i="1" s="1"/>
  <c r="Y14" i="1"/>
  <c r="AB14" i="1"/>
  <c r="AD14" i="1"/>
  <c r="K14" i="1" a="1"/>
  <c r="K14" i="1" s="1"/>
  <c r="A14" i="1" a="1"/>
  <c r="A14" i="1" s="1"/>
  <c r="AE13" i="1" a="1"/>
  <c r="AE13" i="1" s="1"/>
  <c r="AH13" i="1"/>
  <c r="U13" i="1" a="1"/>
  <c r="U13" i="1" s="1"/>
  <c r="AB13" i="1"/>
  <c r="K13" i="1" a="1"/>
  <c r="K13" i="1" s="1"/>
  <c r="A13" i="1" a="1"/>
  <c r="A13" i="1" s="1"/>
  <c r="H13" i="1"/>
  <c r="J13" i="1"/>
  <c r="AE12" i="1" a="1"/>
  <c r="AE12" i="1" s="1"/>
  <c r="U12" i="1" a="1"/>
  <c r="U12" i="1" s="1"/>
  <c r="K12" i="1" a="1"/>
  <c r="K12" i="1" s="1"/>
  <c r="A12" i="1" a="1"/>
  <c r="A12" i="1" s="1"/>
  <c r="AE11" i="1" a="1"/>
  <c r="AE11" i="1" s="1"/>
  <c r="U11" i="1" a="1"/>
  <c r="U11" i="1" s="1"/>
  <c r="Z11" i="1"/>
  <c r="AB11" i="1"/>
  <c r="AC11" i="1"/>
  <c r="K11" i="1" a="1"/>
  <c r="K11" i="1" s="1"/>
  <c r="A11" i="1" a="1"/>
  <c r="A11" i="1" s="1"/>
  <c r="AE10" i="1" a="1"/>
  <c r="AE10" i="1" s="1"/>
  <c r="U10" i="1" a="1"/>
  <c r="U10" i="1" s="1"/>
  <c r="K10" i="1" a="1"/>
  <c r="K10" i="1" s="1"/>
  <c r="A10" i="1" a="1"/>
  <c r="A10" i="1" s="1"/>
  <c r="AE9" i="1" a="1"/>
  <c r="AE9" i="1" s="1"/>
  <c r="U9" i="1" a="1"/>
  <c r="U9" i="1" s="1"/>
  <c r="AA9" i="1"/>
  <c r="K9" i="1" a="1"/>
  <c r="K9" i="1" s="1"/>
  <c r="A9" i="1" a="1"/>
  <c r="A9" i="1" s="1"/>
  <c r="AE8" i="1" a="1"/>
  <c r="AE8" i="1" s="1"/>
  <c r="U8" i="1" a="1"/>
  <c r="U8" i="1" s="1"/>
  <c r="K8" i="1" a="1"/>
  <c r="K8" i="1" s="1"/>
  <c r="A8" i="1" a="1"/>
  <c r="A8" i="1" s="1"/>
  <c r="AE7" i="1" a="1"/>
  <c r="AE7" i="1" s="1"/>
  <c r="U7" i="1" a="1"/>
  <c r="U7" i="1" s="1"/>
  <c r="K7" i="1" a="1"/>
  <c r="K7" i="1" s="1"/>
  <c r="A7" i="1" a="1"/>
  <c r="A7" i="1" s="1"/>
  <c r="AE6" i="1" a="1"/>
  <c r="AE6" i="1" s="1"/>
  <c r="U6" i="1" a="1"/>
  <c r="U6" i="1" s="1"/>
  <c r="K6" i="1" a="1"/>
  <c r="K6" i="1" s="1"/>
  <c r="A6" i="1" a="1"/>
  <c r="A6" i="1" s="1"/>
  <c r="AE5" i="1" a="1"/>
  <c r="AE5" i="1" s="1"/>
  <c r="U5" i="1" a="1"/>
  <c r="U5" i="1" s="1"/>
  <c r="K5" i="1" a="1"/>
  <c r="K5" i="1" s="1"/>
  <c r="A5" i="1" a="1"/>
  <c r="A5" i="1" s="1"/>
  <c r="AE4" i="1" a="1"/>
  <c r="AF4" i="1" s="1"/>
  <c r="AE4" i="1"/>
  <c r="U4" i="1" a="1"/>
  <c r="U4" i="1" s="1"/>
  <c r="K4" i="1" a="1"/>
  <c r="K4" i="1" s="1"/>
  <c r="A4" i="1" a="1"/>
  <c r="A4" i="1" s="1"/>
  <c r="AE3" i="1" a="1"/>
  <c r="AE3" i="1" s="1"/>
  <c r="U3" i="1" a="1"/>
  <c r="U3" i="1" s="1"/>
  <c r="K3" i="1" a="1"/>
  <c r="K3" i="1" s="1"/>
  <c r="A3" i="1" a="1"/>
  <c r="A3" i="1" s="1"/>
  <c r="AE2" i="1" a="1"/>
  <c r="AE2" i="1" s="1"/>
  <c r="U2" i="1" a="1"/>
  <c r="U2" i="1" s="1"/>
  <c r="K2" i="1" a="1"/>
  <c r="K2" i="1" s="1"/>
  <c r="A2" i="1" a="1"/>
  <c r="A2" i="1" s="1"/>
  <c r="D932" i="1" l="1"/>
  <c r="S934" i="1"/>
  <c r="T935" i="1"/>
  <c r="J937" i="1"/>
  <c r="R938" i="1"/>
  <c r="P939" i="1"/>
  <c r="AB940" i="1"/>
  <c r="AA941" i="1"/>
  <c r="Y942" i="1"/>
  <c r="Z943" i="1"/>
  <c r="AA944" i="1"/>
  <c r="AA945" i="1"/>
  <c r="Z946" i="1"/>
  <c r="Z947" i="1"/>
  <c r="Z948" i="1"/>
  <c r="AA949" i="1"/>
  <c r="Z950" i="1"/>
  <c r="Y951" i="1"/>
  <c r="H953" i="1"/>
  <c r="I954" i="1"/>
  <c r="G955" i="1"/>
  <c r="H956" i="1"/>
  <c r="T957" i="1"/>
  <c r="N958" i="1"/>
  <c r="Z960" i="1"/>
  <c r="Z961" i="1"/>
  <c r="Y962" i="1"/>
  <c r="AA963" i="1"/>
  <c r="Y964" i="1"/>
  <c r="AG965" i="1"/>
  <c r="AH967" i="1"/>
  <c r="J969" i="1"/>
  <c r="T933" i="1"/>
  <c r="S935" i="1"/>
  <c r="O939" i="1"/>
  <c r="X942" i="1"/>
  <c r="Y943" i="1"/>
  <c r="Y947" i="1"/>
  <c r="Z949" i="1"/>
  <c r="Y950" i="1"/>
  <c r="X951" i="1"/>
  <c r="F955" i="1"/>
  <c r="AD959" i="1"/>
  <c r="Y960" i="1"/>
  <c r="S933" i="1"/>
  <c r="R935" i="1"/>
  <c r="X943" i="1"/>
  <c r="X947" i="1"/>
  <c r="Y949" i="1"/>
  <c r="X950" i="1"/>
  <c r="W951" i="1"/>
  <c r="E955" i="1"/>
  <c r="AC959" i="1"/>
  <c r="X960" i="1"/>
  <c r="X963" i="1"/>
  <c r="Q933" i="1"/>
  <c r="AG942" i="1"/>
  <c r="AG948" i="1"/>
  <c r="AH951" i="1"/>
  <c r="AA959" i="1"/>
  <c r="AH960" i="1"/>
  <c r="W963" i="1"/>
  <c r="AG964" i="1"/>
  <c r="H966" i="1"/>
  <c r="E967" i="1"/>
  <c r="H968" i="1"/>
  <c r="F969" i="1"/>
  <c r="P933" i="1"/>
  <c r="Z959" i="1"/>
  <c r="AG960" i="1"/>
  <c r="P932" i="1"/>
  <c r="O933" i="1"/>
  <c r="AD934" i="1"/>
  <c r="AB935" i="1"/>
  <c r="I947" i="1"/>
  <c r="J949" i="1"/>
  <c r="I951" i="1"/>
  <c r="J952" i="1"/>
  <c r="S953" i="1"/>
  <c r="P954" i="1"/>
  <c r="Q956" i="1"/>
  <c r="AC957" i="1"/>
  <c r="Y959" i="1"/>
  <c r="AF960" i="1"/>
  <c r="F966" i="1"/>
  <c r="F968" i="1"/>
  <c r="AA938" i="1"/>
  <c r="I942" i="1"/>
  <c r="G947" i="1"/>
  <c r="I948" i="1"/>
  <c r="H949" i="1"/>
  <c r="AA957" i="1"/>
  <c r="J961" i="1"/>
  <c r="T966" i="1"/>
  <c r="T968" i="1"/>
  <c r="AB931" i="1"/>
  <c r="AD932" i="1"/>
  <c r="AC933" i="1"/>
  <c r="AA934" i="1"/>
  <c r="AD937" i="1"/>
  <c r="Z938" i="1"/>
  <c r="X939" i="1"/>
  <c r="H941" i="1"/>
  <c r="H942" i="1"/>
  <c r="G943" i="1"/>
  <c r="F944" i="1"/>
  <c r="H945" i="1"/>
  <c r="H946" i="1"/>
  <c r="F947" i="1"/>
  <c r="H948" i="1"/>
  <c r="G949" i="1"/>
  <c r="H950" i="1"/>
  <c r="F951" i="1"/>
  <c r="T952" i="1"/>
  <c r="P953" i="1"/>
  <c r="AD954" i="1"/>
  <c r="AD956" i="1"/>
  <c r="Z957" i="1"/>
  <c r="I961" i="1"/>
  <c r="E962" i="1"/>
  <c r="F963" i="1"/>
  <c r="J964" i="1"/>
  <c r="G965" i="1"/>
  <c r="S966" i="1"/>
  <c r="S968" i="1"/>
  <c r="AA931" i="1"/>
  <c r="AC932" i="1"/>
  <c r="AB933" i="1"/>
  <c r="Z934" i="1"/>
  <c r="J936" i="1"/>
  <c r="Y938" i="1"/>
  <c r="G941" i="1"/>
  <c r="G942" i="1"/>
  <c r="E944" i="1"/>
  <c r="G945" i="1"/>
  <c r="G946" i="1"/>
  <c r="E947" i="1"/>
  <c r="G948" i="1"/>
  <c r="F949" i="1"/>
  <c r="G950" i="1"/>
  <c r="E951" i="1"/>
  <c r="S952" i="1"/>
  <c r="O953" i="1"/>
  <c r="AC954" i="1"/>
  <c r="AC956" i="1"/>
  <c r="Y957" i="1"/>
  <c r="AH958" i="1"/>
  <c r="J960" i="1"/>
  <c r="H961" i="1"/>
  <c r="D962" i="1"/>
  <c r="E963" i="1"/>
  <c r="R966" i="1"/>
  <c r="R968" i="1"/>
  <c r="P969" i="1"/>
  <c r="AB932" i="1"/>
  <c r="T943" i="1"/>
  <c r="D947" i="1"/>
  <c r="F948" i="1"/>
  <c r="E949" i="1"/>
  <c r="D951" i="1"/>
  <c r="R952" i="1"/>
  <c r="AB954" i="1"/>
  <c r="AB956" i="1"/>
  <c r="I960" i="1"/>
  <c r="G961" i="1"/>
  <c r="D963" i="1"/>
  <c r="H964" i="1"/>
  <c r="T965" i="1"/>
  <c r="Q966" i="1"/>
  <c r="P967" i="1"/>
  <c r="Q968" i="1"/>
  <c r="O969" i="1"/>
  <c r="AA932" i="1"/>
  <c r="AA954" i="1"/>
  <c r="AA956" i="1"/>
  <c r="S965" i="1"/>
  <c r="P966" i="1"/>
  <c r="O967" i="1"/>
  <c r="P968" i="1"/>
  <c r="N969" i="1"/>
  <c r="Z932" i="1"/>
  <c r="R943" i="1"/>
  <c r="D945" i="1"/>
  <c r="S946" i="1"/>
  <c r="T947" i="1"/>
  <c r="T948" i="1"/>
  <c r="T949" i="1"/>
  <c r="S950" i="1"/>
  <c r="AD952" i="1"/>
  <c r="Z954" i="1"/>
  <c r="Z956" i="1"/>
  <c r="I959" i="1"/>
  <c r="T963" i="1"/>
  <c r="R965" i="1"/>
  <c r="Y932" i="1"/>
  <c r="X933" i="1"/>
  <c r="AH934" i="1"/>
  <c r="AH938" i="1"/>
  <c r="T940" i="1"/>
  <c r="T941" i="1"/>
  <c r="R942" i="1"/>
  <c r="Q943" i="1"/>
  <c r="T944" i="1"/>
  <c r="R946" i="1"/>
  <c r="S947" i="1"/>
  <c r="S948" i="1"/>
  <c r="S949" i="1"/>
  <c r="R950" i="1"/>
  <c r="S951" i="1"/>
  <c r="AC952" i="1"/>
  <c r="AB953" i="1"/>
  <c r="Y954" i="1"/>
  <c r="AA955" i="1"/>
  <c r="Y956" i="1"/>
  <c r="J958" i="1"/>
  <c r="H959" i="1"/>
  <c r="T960" i="1"/>
  <c r="R962" i="1"/>
  <c r="S963" i="1"/>
  <c r="Q965" i="1"/>
  <c r="AD966" i="1"/>
  <c r="AD969" i="1"/>
  <c r="X932" i="1"/>
  <c r="T936" i="1"/>
  <c r="AH937" i="1"/>
  <c r="S940" i="1"/>
  <c r="S941" i="1"/>
  <c r="Q942" i="1"/>
  <c r="P943" i="1"/>
  <c r="S944" i="1"/>
  <c r="T945" i="1"/>
  <c r="Q946" i="1"/>
  <c r="R947" i="1"/>
  <c r="R948" i="1"/>
  <c r="R949" i="1"/>
  <c r="Q950" i="1"/>
  <c r="R951" i="1"/>
  <c r="AB952" i="1"/>
  <c r="AA953" i="1"/>
  <c r="X954" i="1"/>
  <c r="Z955" i="1"/>
  <c r="X956" i="1"/>
  <c r="I958" i="1"/>
  <c r="G959" i="1"/>
  <c r="S960" i="1"/>
  <c r="R961" i="1"/>
  <c r="Q962" i="1"/>
  <c r="R963" i="1"/>
  <c r="R964" i="1"/>
  <c r="P965" i="1"/>
  <c r="AC966" i="1"/>
  <c r="AD967" i="1"/>
  <c r="AC969" i="1"/>
  <c r="S936" i="1"/>
  <c r="J939" i="1"/>
  <c r="R941" i="1"/>
  <c r="O943" i="1"/>
  <c r="R944" i="1"/>
  <c r="S945" i="1"/>
  <c r="P946" i="1"/>
  <c r="Q947" i="1"/>
  <c r="Q948" i="1"/>
  <c r="Q949" i="1"/>
  <c r="P950" i="1"/>
  <c r="W956" i="1"/>
  <c r="H958" i="1"/>
  <c r="F959" i="1"/>
  <c r="Q963" i="1"/>
  <c r="AB966" i="1"/>
  <c r="AC967" i="1"/>
  <c r="AB969" i="1"/>
  <c r="R936" i="1"/>
  <c r="I939" i="1"/>
  <c r="Q941" i="1"/>
  <c r="N943" i="1"/>
  <c r="Q944" i="1"/>
  <c r="R945" i="1"/>
  <c r="O946" i="1"/>
  <c r="P947" i="1"/>
  <c r="P948" i="1"/>
  <c r="P949" i="1"/>
  <c r="AH954" i="1"/>
  <c r="Q960" i="1"/>
  <c r="P961" i="1"/>
  <c r="O962" i="1"/>
  <c r="P963" i="1"/>
  <c r="P964" i="1"/>
  <c r="AD965" i="1"/>
  <c r="AA966" i="1"/>
  <c r="AB967" i="1"/>
  <c r="AA969" i="1"/>
  <c r="J932" i="1"/>
  <c r="I934" i="1"/>
  <c r="H935" i="1"/>
  <c r="Q936" i="1"/>
  <c r="I938" i="1"/>
  <c r="H939" i="1"/>
  <c r="P941" i="1"/>
  <c r="M943" i="1"/>
  <c r="P944" i="1"/>
  <c r="Q945" i="1"/>
  <c r="N946" i="1"/>
  <c r="O947" i="1"/>
  <c r="O948" i="1"/>
  <c r="O949" i="1"/>
  <c r="N950" i="1"/>
  <c r="Y952" i="1"/>
  <c r="X953" i="1"/>
  <c r="AG954" i="1"/>
  <c r="W955" i="1"/>
  <c r="AH956" i="1"/>
  <c r="T958" i="1"/>
  <c r="T959" i="1"/>
  <c r="P960" i="1"/>
  <c r="O963" i="1"/>
  <c r="AC965" i="1"/>
  <c r="Z966" i="1"/>
  <c r="AA967" i="1"/>
  <c r="Z968" i="1"/>
  <c r="Z969" i="1"/>
  <c r="I932" i="1"/>
  <c r="O941" i="1"/>
  <c r="AD942" i="1"/>
  <c r="O944" i="1"/>
  <c r="N949" i="1"/>
  <c r="AD951" i="1"/>
  <c r="AF954" i="1"/>
  <c r="S958" i="1"/>
  <c r="S959" i="1"/>
  <c r="AD962" i="1"/>
  <c r="N963" i="1"/>
  <c r="AD964" i="1"/>
  <c r="AB965" i="1"/>
  <c r="Y966" i="1"/>
  <c r="Z967" i="1"/>
  <c r="Y968" i="1"/>
  <c r="Y969" i="1"/>
  <c r="H932" i="1"/>
  <c r="T939" i="1"/>
  <c r="AC942" i="1"/>
  <c r="AD943" i="1"/>
  <c r="AD946" i="1"/>
  <c r="AD947" i="1"/>
  <c r="AD948" i="1"/>
  <c r="AD950" i="1"/>
  <c r="AC951" i="1"/>
  <c r="R958" i="1"/>
  <c r="AD960" i="1"/>
  <c r="AD961" i="1"/>
  <c r="AC962" i="1"/>
  <c r="AC964" i="1"/>
  <c r="G932" i="1"/>
  <c r="H933" i="1"/>
  <c r="F934" i="1"/>
  <c r="E935" i="1"/>
  <c r="S939" i="1"/>
  <c r="AD941" i="1"/>
  <c r="AB942" i="1"/>
  <c r="AC943" i="1"/>
  <c r="AD944" i="1"/>
  <c r="AD945" i="1"/>
  <c r="AC946" i="1"/>
  <c r="AC947" i="1"/>
  <c r="AC948" i="1"/>
  <c r="AD949" i="1"/>
  <c r="AC950" i="1"/>
  <c r="AB951" i="1"/>
  <c r="AG953" i="1"/>
  <c r="J955" i="1"/>
  <c r="I957" i="1"/>
  <c r="Q958" i="1"/>
  <c r="Q959" i="1"/>
  <c r="AC960" i="1"/>
  <c r="AC961" i="1"/>
  <c r="AB962" i="1"/>
  <c r="AD963" i="1"/>
  <c r="AB964" i="1"/>
  <c r="Z965" i="1"/>
  <c r="AH966" i="1"/>
  <c r="X967" i="1"/>
  <c r="AH969" i="1"/>
  <c r="F932" i="1"/>
  <c r="G933" i="1"/>
  <c r="D935" i="1"/>
  <c r="T938" i="1"/>
  <c r="R939" i="1"/>
  <c r="AD940" i="1"/>
  <c r="AC941" i="1"/>
  <c r="AA942" i="1"/>
  <c r="AB943" i="1"/>
  <c r="AC944" i="1"/>
  <c r="AC945" i="1"/>
  <c r="AB946" i="1"/>
  <c r="AB947" i="1"/>
  <c r="AB948" i="1"/>
  <c r="AC949" i="1"/>
  <c r="AB950" i="1"/>
  <c r="AA951" i="1"/>
  <c r="J953" i="1"/>
  <c r="I955" i="1"/>
  <c r="J956" i="1"/>
  <c r="H957" i="1"/>
  <c r="P958" i="1"/>
  <c r="P959" i="1"/>
  <c r="AB960" i="1"/>
  <c r="AB961" i="1"/>
  <c r="AA962" i="1"/>
  <c r="AC963" i="1"/>
  <c r="AA964" i="1"/>
  <c r="W967" i="1"/>
  <c r="AH968" i="1"/>
  <c r="AG969" i="1"/>
  <c r="E932" i="1"/>
  <c r="F933" i="1"/>
  <c r="T934" i="1"/>
  <c r="S938" i="1"/>
  <c r="Q939" i="1"/>
  <c r="AC940" i="1"/>
  <c r="AB941" i="1"/>
  <c r="Z942" i="1"/>
  <c r="AA943" i="1"/>
  <c r="AB944" i="1"/>
  <c r="AB945" i="1"/>
  <c r="AA946" i="1"/>
  <c r="AA947" i="1"/>
  <c r="AA948" i="1"/>
  <c r="AB949" i="1"/>
  <c r="AA950" i="1"/>
  <c r="Z951" i="1"/>
  <c r="I953" i="1"/>
  <c r="J954" i="1"/>
  <c r="H955" i="1"/>
  <c r="I956" i="1"/>
  <c r="O958" i="1"/>
  <c r="O959" i="1"/>
  <c r="AA960" i="1"/>
  <c r="AA961" i="1"/>
  <c r="Z962" i="1"/>
  <c r="AB963" i="1"/>
  <c r="Z964" i="1"/>
  <c r="AH965" i="1"/>
  <c r="J967" i="1"/>
  <c r="J867" i="1"/>
  <c r="E868" i="1"/>
  <c r="E871" i="1"/>
  <c r="M886" i="1"/>
  <c r="W892" i="1"/>
  <c r="AG897" i="1"/>
  <c r="J900" i="1"/>
  <c r="J901" i="1"/>
  <c r="R902" i="1"/>
  <c r="Q903" i="1"/>
  <c r="AA906" i="1"/>
  <c r="G910" i="1"/>
  <c r="S911" i="1"/>
  <c r="E913" i="1"/>
  <c r="S914" i="1"/>
  <c r="I917" i="1"/>
  <c r="AG917" i="1"/>
  <c r="I919" i="1"/>
  <c r="H920" i="1"/>
  <c r="J923" i="1"/>
  <c r="J924" i="1"/>
  <c r="H925" i="1"/>
  <c r="H926" i="1"/>
  <c r="J927" i="1"/>
  <c r="J928" i="1"/>
  <c r="G929" i="1"/>
  <c r="E930" i="1"/>
  <c r="S931" i="1"/>
  <c r="H866" i="1"/>
  <c r="E870" i="1"/>
  <c r="R872" i="1"/>
  <c r="O873" i="1"/>
  <c r="Z874" i="1"/>
  <c r="G877" i="1"/>
  <c r="R878" i="1"/>
  <c r="O879" i="1"/>
  <c r="P880" i="1"/>
  <c r="AA881" i="1"/>
  <c r="Y882" i="1"/>
  <c r="Y883" i="1"/>
  <c r="Y884" i="1"/>
  <c r="AA885" i="1"/>
  <c r="Z887" i="1"/>
  <c r="X888" i="1"/>
  <c r="AB889" i="1"/>
  <c r="AH892" i="1"/>
  <c r="H897" i="1"/>
  <c r="H899" i="1"/>
  <c r="G900" i="1"/>
  <c r="G901" i="1"/>
  <c r="O902" i="1"/>
  <c r="X906" i="1"/>
  <c r="H909" i="1"/>
  <c r="S910" i="1"/>
  <c r="P911" i="1"/>
  <c r="R912" i="1"/>
  <c r="P914" i="1"/>
  <c r="F917" i="1"/>
  <c r="F919" i="1"/>
  <c r="H922" i="1"/>
  <c r="G923" i="1"/>
  <c r="G924" i="1"/>
  <c r="E926" i="1"/>
  <c r="G927" i="1"/>
  <c r="S930" i="1"/>
  <c r="P931" i="1"/>
  <c r="O880" i="1"/>
  <c r="X883" i="1"/>
  <c r="X884" i="1"/>
  <c r="O911" i="1"/>
  <c r="O914" i="1"/>
  <c r="G922" i="1"/>
  <c r="D926" i="1"/>
  <c r="F927" i="1"/>
  <c r="R930" i="1"/>
  <c r="O931" i="1"/>
  <c r="F899" i="1"/>
  <c r="M902" i="1"/>
  <c r="E923" i="1"/>
  <c r="C927" i="1"/>
  <c r="N931" i="1"/>
  <c r="O878" i="1"/>
  <c r="AG882" i="1"/>
  <c r="AH884" i="1"/>
  <c r="P910" i="1"/>
  <c r="T866" i="1"/>
  <c r="AD872" i="1"/>
  <c r="S897" i="1"/>
  <c r="J906" i="1"/>
  <c r="S866" i="1"/>
  <c r="N867" i="1"/>
  <c r="O868" i="1"/>
  <c r="P869" i="1"/>
  <c r="R870" i="1"/>
  <c r="AC872" i="1"/>
  <c r="AA873" i="1"/>
  <c r="G876" i="1"/>
  <c r="AD878" i="1"/>
  <c r="AA879" i="1"/>
  <c r="AB880" i="1"/>
  <c r="J883" i="1"/>
  <c r="J885" i="1"/>
  <c r="AH885" i="1"/>
  <c r="Y886" i="1"/>
  <c r="J889" i="1"/>
  <c r="H890" i="1"/>
  <c r="F892" i="1"/>
  <c r="H894" i="1"/>
  <c r="R897" i="1"/>
  <c r="S899" i="1"/>
  <c r="T900" i="1"/>
  <c r="I906" i="1"/>
  <c r="AD910" i="1"/>
  <c r="AB911" i="1"/>
  <c r="AD912" i="1"/>
  <c r="S917" i="1"/>
  <c r="Q919" i="1"/>
  <c r="R922" i="1"/>
  <c r="S923" i="1"/>
  <c r="Q925" i="1"/>
  <c r="R926" i="1"/>
  <c r="P928" i="1"/>
  <c r="R866" i="1"/>
  <c r="M868" i="1"/>
  <c r="O869" i="1"/>
  <c r="AD871" i="1"/>
  <c r="AB872" i="1"/>
  <c r="J875" i="1"/>
  <c r="F876" i="1"/>
  <c r="P877" i="1"/>
  <c r="AC878" i="1"/>
  <c r="Z879" i="1"/>
  <c r="AA880" i="1"/>
  <c r="I883" i="1"/>
  <c r="J884" i="1"/>
  <c r="I885" i="1"/>
  <c r="AG885" i="1"/>
  <c r="X886" i="1"/>
  <c r="J888" i="1"/>
  <c r="I889" i="1"/>
  <c r="G890" i="1"/>
  <c r="E892" i="1"/>
  <c r="F893" i="1"/>
  <c r="G894" i="1"/>
  <c r="E895" i="1"/>
  <c r="D896" i="1"/>
  <c r="Q897" i="1"/>
  <c r="T898" i="1"/>
  <c r="R899" i="1"/>
  <c r="S900" i="1"/>
  <c r="P901" i="1"/>
  <c r="AB902" i="1"/>
  <c r="X903" i="1"/>
  <c r="H906" i="1"/>
  <c r="J907" i="1"/>
  <c r="T908" i="1"/>
  <c r="AC910" i="1"/>
  <c r="AA911" i="1"/>
  <c r="AC912" i="1"/>
  <c r="AD913" i="1"/>
  <c r="R917" i="1"/>
  <c r="N918" i="1"/>
  <c r="P919" i="1"/>
  <c r="Q922" i="1"/>
  <c r="R923" i="1"/>
  <c r="P925" i="1"/>
  <c r="Q926" i="1"/>
  <c r="S927" i="1"/>
  <c r="O928" i="1"/>
  <c r="AD929" i="1"/>
  <c r="Q866" i="1"/>
  <c r="AD867" i="1"/>
  <c r="AD870" i="1"/>
  <c r="AC871" i="1"/>
  <c r="AA872" i="1"/>
  <c r="I875" i="1"/>
  <c r="AB878" i="1"/>
  <c r="Y879" i="1"/>
  <c r="Z880" i="1"/>
  <c r="J882" i="1"/>
  <c r="H883" i="1"/>
  <c r="I884" i="1"/>
  <c r="H885" i="1"/>
  <c r="I888" i="1"/>
  <c r="H889" i="1"/>
  <c r="F890" i="1"/>
  <c r="T891" i="1"/>
  <c r="F894" i="1"/>
  <c r="P897" i="1"/>
  <c r="S898" i="1"/>
  <c r="Q899" i="1"/>
  <c r="R900" i="1"/>
  <c r="J905" i="1"/>
  <c r="G906" i="1"/>
  <c r="I907" i="1"/>
  <c r="S908" i="1"/>
  <c r="AB910" i="1"/>
  <c r="Z911" i="1"/>
  <c r="AB912" i="1"/>
  <c r="AC913" i="1"/>
  <c r="Q917" i="1"/>
  <c r="O919" i="1"/>
  <c r="P922" i="1"/>
  <c r="Q923" i="1"/>
  <c r="O925" i="1"/>
  <c r="P926" i="1"/>
  <c r="AC929" i="1"/>
  <c r="P866" i="1"/>
  <c r="AC867" i="1"/>
  <c r="AD868" i="1"/>
  <c r="AD869" i="1"/>
  <c r="AC870" i="1"/>
  <c r="AB871" i="1"/>
  <c r="Z872" i="1"/>
  <c r="H875" i="1"/>
  <c r="T876" i="1"/>
  <c r="AA878" i="1"/>
  <c r="X879" i="1"/>
  <c r="Y880" i="1"/>
  <c r="I882" i="1"/>
  <c r="G883" i="1"/>
  <c r="H884" i="1"/>
  <c r="G885" i="1"/>
  <c r="J886" i="1"/>
  <c r="AH886" i="1"/>
  <c r="H888" i="1"/>
  <c r="G889" i="1"/>
  <c r="E890" i="1"/>
  <c r="S891" i="1"/>
  <c r="T892" i="1"/>
  <c r="E894" i="1"/>
  <c r="T896" i="1"/>
  <c r="O897" i="1"/>
  <c r="R898" i="1"/>
  <c r="P899" i="1"/>
  <c r="Q900" i="1"/>
  <c r="AD901" i="1"/>
  <c r="AH903" i="1"/>
  <c r="I905" i="1"/>
  <c r="F906" i="1"/>
  <c r="H907" i="1"/>
  <c r="R908" i="1"/>
  <c r="AA910" i="1"/>
  <c r="Y911" i="1"/>
  <c r="AA912" i="1"/>
  <c r="AB913" i="1"/>
  <c r="T916" i="1"/>
  <c r="P917" i="1"/>
  <c r="N919" i="1"/>
  <c r="O922" i="1"/>
  <c r="P923" i="1"/>
  <c r="N925" i="1"/>
  <c r="O926" i="1"/>
  <c r="Q927" i="1"/>
  <c r="AD928" i="1"/>
  <c r="AB929" i="1"/>
  <c r="Y930" i="1"/>
  <c r="O866" i="1"/>
  <c r="AB867" i="1"/>
  <c r="AC868" i="1"/>
  <c r="AC869" i="1"/>
  <c r="AB870" i="1"/>
  <c r="AA871" i="1"/>
  <c r="Y872" i="1"/>
  <c r="J874" i="1"/>
  <c r="G875" i="1"/>
  <c r="S876" i="1"/>
  <c r="AD877" i="1"/>
  <c r="Z878" i="1"/>
  <c r="X880" i="1"/>
  <c r="H882" i="1"/>
  <c r="G884" i="1"/>
  <c r="F885" i="1"/>
  <c r="I886" i="1"/>
  <c r="F889" i="1"/>
  <c r="R891" i="1"/>
  <c r="S892" i="1"/>
  <c r="T895" i="1"/>
  <c r="S896" i="1"/>
  <c r="N897" i="1"/>
  <c r="Q898" i="1"/>
  <c r="O899" i="1"/>
  <c r="P900" i="1"/>
  <c r="E906" i="1"/>
  <c r="Q908" i="1"/>
  <c r="Z910" i="1"/>
  <c r="Z912" i="1"/>
  <c r="AA913" i="1"/>
  <c r="S916" i="1"/>
  <c r="P927" i="1"/>
  <c r="AC928" i="1"/>
  <c r="AA929" i="1"/>
  <c r="N866" i="1"/>
  <c r="AA867" i="1"/>
  <c r="AB868" i="1"/>
  <c r="AB869" i="1"/>
  <c r="AA870" i="1"/>
  <c r="Z871" i="1"/>
  <c r="X872" i="1"/>
  <c r="I874" i="1"/>
  <c r="F875" i="1"/>
  <c r="R876" i="1"/>
  <c r="AC877" i="1"/>
  <c r="Y878" i="1"/>
  <c r="AH879" i="1"/>
  <c r="G882" i="1"/>
  <c r="F884" i="1"/>
  <c r="E885" i="1"/>
  <c r="H886" i="1"/>
  <c r="J887" i="1"/>
  <c r="E889" i="1"/>
  <c r="T890" i="1"/>
  <c r="Q891" i="1"/>
  <c r="R892" i="1"/>
  <c r="S895" i="1"/>
  <c r="R896" i="1"/>
  <c r="M897" i="1"/>
  <c r="P898" i="1"/>
  <c r="J904" i="1"/>
  <c r="D906" i="1"/>
  <c r="P908" i="1"/>
  <c r="Y910" i="1"/>
  <c r="Y912" i="1"/>
  <c r="Z913" i="1"/>
  <c r="J915" i="1"/>
  <c r="R916" i="1"/>
  <c r="AB928" i="1"/>
  <c r="Z929" i="1"/>
  <c r="Z867" i="1"/>
  <c r="AA868" i="1"/>
  <c r="AA869" i="1"/>
  <c r="Z870" i="1"/>
  <c r="Y871" i="1"/>
  <c r="H874" i="1"/>
  <c r="E875" i="1"/>
  <c r="Q876" i="1"/>
  <c r="X878" i="1"/>
  <c r="AH880" i="1"/>
  <c r="E884" i="1"/>
  <c r="D885" i="1"/>
  <c r="G886" i="1"/>
  <c r="I887" i="1"/>
  <c r="D889" i="1"/>
  <c r="S890" i="1"/>
  <c r="P891" i="1"/>
  <c r="R895" i="1"/>
  <c r="Q896" i="1"/>
  <c r="O898" i="1"/>
  <c r="Y913" i="1"/>
  <c r="I915" i="1"/>
  <c r="Q916" i="1"/>
  <c r="T921" i="1"/>
  <c r="AA928" i="1"/>
  <c r="Y929" i="1"/>
  <c r="AH930" i="1"/>
  <c r="Y867" i="1"/>
  <c r="Z868" i="1"/>
  <c r="Z869" i="1"/>
  <c r="Y870" i="1"/>
  <c r="X871" i="1"/>
  <c r="D875" i="1"/>
  <c r="W878" i="1"/>
  <c r="C885" i="1"/>
  <c r="F886" i="1"/>
  <c r="C889" i="1"/>
  <c r="H904" i="1"/>
  <c r="S905" i="1"/>
  <c r="AG911" i="1"/>
  <c r="AH912" i="1"/>
  <c r="H915" i="1"/>
  <c r="AD895" i="1"/>
  <c r="G904" i="1"/>
  <c r="R905" i="1"/>
  <c r="R907" i="1"/>
  <c r="AG912" i="1"/>
  <c r="W913" i="1"/>
  <c r="G915" i="1"/>
  <c r="R921" i="1"/>
  <c r="Y928" i="1"/>
  <c r="AH929" i="1"/>
  <c r="X869" i="1"/>
  <c r="AH870" i="1"/>
  <c r="AH871" i="1"/>
  <c r="AH878" i="1"/>
  <c r="T886" i="1"/>
  <c r="T889" i="1"/>
  <c r="P890" i="1"/>
  <c r="AD891" i="1"/>
  <c r="AD892" i="1"/>
  <c r="AC895" i="1"/>
  <c r="Q905" i="1"/>
  <c r="J912" i="1"/>
  <c r="AF912" i="1"/>
  <c r="F915" i="1"/>
  <c r="X928" i="1"/>
  <c r="AG929" i="1"/>
  <c r="S886" i="1"/>
  <c r="S889" i="1"/>
  <c r="AC891" i="1"/>
  <c r="AC892" i="1"/>
  <c r="AB895" i="1"/>
  <c r="AD907" i="1"/>
  <c r="Y865" i="1"/>
  <c r="Z866" i="1"/>
  <c r="J868" i="1"/>
  <c r="AG868" i="1"/>
  <c r="AH869" i="1"/>
  <c r="J871" i="1"/>
  <c r="J872" i="1"/>
  <c r="J873" i="1"/>
  <c r="S874" i="1"/>
  <c r="R875" i="1"/>
  <c r="AA876" i="1"/>
  <c r="J879" i="1"/>
  <c r="F880" i="1"/>
  <c r="P882" i="1"/>
  <c r="O883" i="1"/>
  <c r="Q884" i="1"/>
  <c r="R885" i="1"/>
  <c r="R886" i="1"/>
  <c r="S887" i="1"/>
  <c r="O888" i="1"/>
  <c r="R889" i="1"/>
  <c r="AD890" i="1"/>
  <c r="AB891" i="1"/>
  <c r="AB892" i="1"/>
  <c r="AA895" i="1"/>
  <c r="AA896" i="1"/>
  <c r="Z897" i="1"/>
  <c r="AA898" i="1"/>
  <c r="Y899" i="1"/>
  <c r="Y900" i="1"/>
  <c r="F902" i="1"/>
  <c r="D903" i="1"/>
  <c r="S904" i="1"/>
  <c r="AD905" i="1"/>
  <c r="P906" i="1"/>
  <c r="AC907" i="1"/>
  <c r="AA908" i="1"/>
  <c r="G911" i="1"/>
  <c r="H912" i="1"/>
  <c r="J913" i="1"/>
  <c r="AG913" i="1"/>
  <c r="AC921" i="1"/>
  <c r="X922" i="1"/>
  <c r="Y923" i="1"/>
  <c r="X925" i="1"/>
  <c r="X926" i="1"/>
  <c r="Y927" i="1"/>
  <c r="AH928" i="1"/>
  <c r="J930" i="1"/>
  <c r="G931" i="1"/>
  <c r="X865" i="1"/>
  <c r="Y866" i="1"/>
  <c r="I868" i="1"/>
  <c r="AG869" i="1"/>
  <c r="I871" i="1"/>
  <c r="I872" i="1"/>
  <c r="I873" i="1"/>
  <c r="R874" i="1"/>
  <c r="Q875" i="1"/>
  <c r="Z876" i="1"/>
  <c r="J878" i="1"/>
  <c r="I879" i="1"/>
  <c r="E880" i="1"/>
  <c r="T881" i="1"/>
  <c r="O882" i="1"/>
  <c r="N883" i="1"/>
  <c r="Q886" i="1"/>
  <c r="R887" i="1"/>
  <c r="Q889" i="1"/>
  <c r="AC890" i="1"/>
  <c r="AA891" i="1"/>
  <c r="AA892" i="1"/>
  <c r="AD893" i="1"/>
  <c r="AD894" i="1"/>
  <c r="Z895" i="1"/>
  <c r="Y897" i="1"/>
  <c r="R904" i="1"/>
  <c r="AC905" i="1"/>
  <c r="AB907" i="1"/>
  <c r="F911" i="1"/>
  <c r="G912" i="1"/>
  <c r="I913" i="1"/>
  <c r="AH919" i="1"/>
  <c r="AB921" i="1"/>
  <c r="X923" i="1"/>
  <c r="AH924" i="1"/>
  <c r="W926" i="1"/>
  <c r="X927" i="1"/>
  <c r="I930" i="1"/>
  <c r="F931" i="1"/>
  <c r="W865" i="1"/>
  <c r="H868" i="1"/>
  <c r="J869" i="1"/>
  <c r="H871" i="1"/>
  <c r="H872" i="1"/>
  <c r="P874" i="1"/>
  <c r="Y876" i="1"/>
  <c r="I878" i="1"/>
  <c r="D880" i="1"/>
  <c r="P885" i="1"/>
  <c r="P886" i="1"/>
  <c r="Q887" i="1"/>
  <c r="AD888" i="1"/>
  <c r="P889" i="1"/>
  <c r="AB890" i="1"/>
  <c r="Z891" i="1"/>
  <c r="Z892" i="1"/>
  <c r="AC893" i="1"/>
  <c r="AC894" i="1"/>
  <c r="Y895" i="1"/>
  <c r="X897" i="1"/>
  <c r="Y898" i="1"/>
  <c r="AH899" i="1"/>
  <c r="T903" i="1"/>
  <c r="Q904" i="1"/>
  <c r="AB905" i="1"/>
  <c r="AD906" i="1"/>
  <c r="AA907" i="1"/>
  <c r="Y908" i="1"/>
  <c r="J910" i="1"/>
  <c r="E911" i="1"/>
  <c r="F912" i="1"/>
  <c r="H913" i="1"/>
  <c r="J914" i="1"/>
  <c r="J929" i="1"/>
  <c r="H930" i="1"/>
  <c r="E931" i="1"/>
  <c r="V865" i="1"/>
  <c r="AH866" i="1"/>
  <c r="G868" i="1"/>
  <c r="I869" i="1"/>
  <c r="J870" i="1"/>
  <c r="G871" i="1"/>
  <c r="G872" i="1"/>
  <c r="AD875" i="1"/>
  <c r="H878" i="1"/>
  <c r="T879" i="1"/>
  <c r="AD882" i="1"/>
  <c r="AD883" i="1"/>
  <c r="AD884" i="1"/>
  <c r="O886" i="1"/>
  <c r="AC888" i="1"/>
  <c r="O889" i="1"/>
  <c r="AA890" i="1"/>
  <c r="Y891" i="1"/>
  <c r="Y892" i="1"/>
  <c r="AB893" i="1"/>
  <c r="AB894" i="1"/>
  <c r="X895" i="1"/>
  <c r="AH896" i="1"/>
  <c r="X898" i="1"/>
  <c r="AG899" i="1"/>
  <c r="AH900" i="1"/>
  <c r="T902" i="1"/>
  <c r="S903" i="1"/>
  <c r="P904" i="1"/>
  <c r="AA905" i="1"/>
  <c r="AC906" i="1"/>
  <c r="Z907" i="1"/>
  <c r="I910" i="1"/>
  <c r="E912" i="1"/>
  <c r="G913" i="1"/>
  <c r="Q915" i="1"/>
  <c r="J920" i="1"/>
  <c r="Z921" i="1"/>
  <c r="AG922" i="1"/>
  <c r="AH923" i="1"/>
  <c r="J925" i="1"/>
  <c r="J926" i="1"/>
  <c r="AH926" i="1"/>
  <c r="I929" i="1"/>
  <c r="G930" i="1"/>
  <c r="F868" i="1"/>
  <c r="H869" i="1"/>
  <c r="I870" i="1"/>
  <c r="F871" i="1"/>
  <c r="F872" i="1"/>
  <c r="AD874" i="1"/>
  <c r="AC875" i="1"/>
  <c r="G878" i="1"/>
  <c r="S879" i="1"/>
  <c r="T880" i="1"/>
  <c r="AC882" i="1"/>
  <c r="AC883" i="1"/>
  <c r="AC884" i="1"/>
  <c r="N886" i="1"/>
  <c r="AD887" i="1"/>
  <c r="AB888" i="1"/>
  <c r="N889" i="1"/>
  <c r="Z890" i="1"/>
  <c r="X891" i="1"/>
  <c r="X892" i="1"/>
  <c r="AA893" i="1"/>
  <c r="AA894" i="1"/>
  <c r="W895" i="1"/>
  <c r="AG896" i="1"/>
  <c r="AH897" i="1"/>
  <c r="S902" i="1"/>
  <c r="R903" i="1"/>
  <c r="Z905" i="1"/>
  <c r="AB906" i="1"/>
  <c r="Y907" i="1"/>
  <c r="H910" i="1"/>
  <c r="T911" i="1"/>
  <c r="D912" i="1"/>
  <c r="F913" i="1"/>
  <c r="T914" i="1"/>
  <c r="J917" i="1"/>
  <c r="AH917" i="1"/>
  <c r="J919" i="1"/>
  <c r="I920" i="1"/>
  <c r="I925" i="1"/>
  <c r="I926" i="1"/>
  <c r="H929" i="1"/>
  <c r="F930" i="1"/>
  <c r="T931" i="1"/>
  <c r="AB799" i="1"/>
  <c r="AD800" i="1"/>
  <c r="O801" i="1"/>
  <c r="AB802" i="1"/>
  <c r="Y804" i="1"/>
  <c r="W805" i="1"/>
  <c r="D808" i="1"/>
  <c r="E810" i="1"/>
  <c r="P813" i="1"/>
  <c r="R814" i="1"/>
  <c r="R815" i="1"/>
  <c r="P816" i="1"/>
  <c r="T817" i="1"/>
  <c r="S818" i="1"/>
  <c r="O820" i="1"/>
  <c r="AA821" i="1"/>
  <c r="AD822" i="1"/>
  <c r="AB823" i="1"/>
  <c r="AG824" i="1"/>
  <c r="I828" i="1"/>
  <c r="J829" i="1"/>
  <c r="G830" i="1"/>
  <c r="G831" i="1"/>
  <c r="I832" i="1"/>
  <c r="A834" i="1"/>
  <c r="E835" i="1"/>
  <c r="S836" i="1"/>
  <c r="P837" i="1"/>
  <c r="P838" i="1"/>
  <c r="Q839" i="1"/>
  <c r="S840" i="1"/>
  <c r="N841" i="1"/>
  <c r="AD842" i="1"/>
  <c r="AC843" i="1"/>
  <c r="AB845" i="1"/>
  <c r="AA847" i="1"/>
  <c r="AH848" i="1"/>
  <c r="S853" i="1"/>
  <c r="O855" i="1"/>
  <c r="P856" i="1"/>
  <c r="AC857" i="1"/>
  <c r="AC858" i="1"/>
  <c r="AD859" i="1"/>
  <c r="Y861" i="1"/>
  <c r="V864" i="1"/>
  <c r="Y799" i="1"/>
  <c r="AA800" i="1"/>
  <c r="Y802" i="1"/>
  <c r="AH804" i="1"/>
  <c r="S808" i="1"/>
  <c r="O809" i="1"/>
  <c r="O815" i="1"/>
  <c r="Q817" i="1"/>
  <c r="X821" i="1"/>
  <c r="AA822" i="1"/>
  <c r="H827" i="1"/>
  <c r="F828" i="1"/>
  <c r="G829" i="1"/>
  <c r="D830" i="1"/>
  <c r="F832" i="1"/>
  <c r="R833" i="1"/>
  <c r="P836" i="1"/>
  <c r="N839" i="1"/>
  <c r="P840" i="1"/>
  <c r="AA842" i="1"/>
  <c r="Z843" i="1"/>
  <c r="Y845" i="1"/>
  <c r="Y846" i="1"/>
  <c r="AH847" i="1"/>
  <c r="J849" i="1"/>
  <c r="R850" i="1"/>
  <c r="Q851" i="1"/>
  <c r="Q852" i="1"/>
  <c r="Z857" i="1"/>
  <c r="Z858" i="1"/>
  <c r="AA859" i="1"/>
  <c r="T807" i="1"/>
  <c r="Z822" i="1"/>
  <c r="F829" i="1"/>
  <c r="Q833" i="1"/>
  <c r="O836" i="1"/>
  <c r="O840" i="1"/>
  <c r="Z842" i="1"/>
  <c r="Y843" i="1"/>
  <c r="X845" i="1"/>
  <c r="Q850" i="1"/>
  <c r="P851" i="1"/>
  <c r="Y858" i="1"/>
  <c r="Z859" i="1"/>
  <c r="Y860" i="1"/>
  <c r="J865" i="1"/>
  <c r="Y800" i="1"/>
  <c r="AH802" i="1"/>
  <c r="S807" i="1"/>
  <c r="Q808" i="1"/>
  <c r="P812" i="1"/>
  <c r="Y822" i="1"/>
  <c r="E829" i="1"/>
  <c r="P833" i="1"/>
  <c r="Y842" i="1"/>
  <c r="X843" i="1"/>
  <c r="W845" i="1"/>
  <c r="P850" i="1"/>
  <c r="O851" i="1"/>
  <c r="O852" i="1"/>
  <c r="AH857" i="1"/>
  <c r="X858" i="1"/>
  <c r="Y859" i="1"/>
  <c r="I865" i="1"/>
  <c r="X800" i="1"/>
  <c r="R807" i="1"/>
  <c r="P808" i="1"/>
  <c r="AD809" i="1"/>
  <c r="X822" i="1"/>
  <c r="O833" i="1"/>
  <c r="W843" i="1"/>
  <c r="O850" i="1"/>
  <c r="AG857" i="1"/>
  <c r="W858" i="1"/>
  <c r="X859" i="1"/>
  <c r="H865" i="1"/>
  <c r="AC809" i="1"/>
  <c r="AH800" i="1"/>
  <c r="X801" i="1"/>
  <c r="F806" i="1"/>
  <c r="AD807" i="1"/>
  <c r="AD808" i="1"/>
  <c r="AB809" i="1"/>
  <c r="AC812" i="1"/>
  <c r="Y813" i="1"/>
  <c r="Z814" i="1"/>
  <c r="Y818" i="1"/>
  <c r="AH822" i="1"/>
  <c r="E824" i="1"/>
  <c r="E826" i="1"/>
  <c r="S829" i="1"/>
  <c r="Q830" i="1"/>
  <c r="P831" i="1"/>
  <c r="AD833" i="1"/>
  <c r="AB836" i="1"/>
  <c r="X837" i="1"/>
  <c r="Z838" i="1"/>
  <c r="AA839" i="1"/>
  <c r="AB840" i="1"/>
  <c r="X841" i="1"/>
  <c r="AG842" i="1"/>
  <c r="AH843" i="1"/>
  <c r="G848" i="1"/>
  <c r="Q849" i="1"/>
  <c r="AD850" i="1"/>
  <c r="AC851" i="1"/>
  <c r="AC852" i="1"/>
  <c r="Y853" i="1"/>
  <c r="W854" i="1"/>
  <c r="Y856" i="1"/>
  <c r="J858" i="1"/>
  <c r="AH858" i="1"/>
  <c r="AH859" i="1"/>
  <c r="G862" i="1"/>
  <c r="E863" i="1"/>
  <c r="E864" i="1"/>
  <c r="J800" i="1"/>
  <c r="AG800" i="1"/>
  <c r="D804" i="1"/>
  <c r="T805" i="1"/>
  <c r="AC807" i="1"/>
  <c r="AC808" i="1"/>
  <c r="AA809" i="1"/>
  <c r="AD810" i="1"/>
  <c r="AD811" i="1"/>
  <c r="X813" i="1"/>
  <c r="Y814" i="1"/>
  <c r="AH819" i="1"/>
  <c r="J822" i="1"/>
  <c r="T825" i="1"/>
  <c r="AC833" i="1"/>
  <c r="AD834" i="1"/>
  <c r="AD835" i="1"/>
  <c r="AA836" i="1"/>
  <c r="J846" i="1"/>
  <c r="AC850" i="1"/>
  <c r="AB851" i="1"/>
  <c r="AB852" i="1"/>
  <c r="I858" i="1"/>
  <c r="I800" i="1"/>
  <c r="AH801" i="1"/>
  <c r="T803" i="1"/>
  <c r="S805" i="1"/>
  <c r="AB807" i="1"/>
  <c r="AB808" i="1"/>
  <c r="Z809" i="1"/>
  <c r="AC810" i="1"/>
  <c r="AC811" i="1"/>
  <c r="AA812" i="1"/>
  <c r="W813" i="1"/>
  <c r="X814" i="1"/>
  <c r="AH818" i="1"/>
  <c r="AG819" i="1"/>
  <c r="AF820" i="1"/>
  <c r="I822" i="1"/>
  <c r="S825" i="1"/>
  <c r="Q829" i="1"/>
  <c r="N831" i="1"/>
  <c r="AB833" i="1"/>
  <c r="AC834" i="1"/>
  <c r="AC835" i="1"/>
  <c r="Z836" i="1"/>
  <c r="AH837" i="1"/>
  <c r="X838" i="1"/>
  <c r="Y839" i="1"/>
  <c r="Z840" i="1"/>
  <c r="AH841" i="1"/>
  <c r="J843" i="1"/>
  <c r="J844" i="1"/>
  <c r="I846" i="1"/>
  <c r="AB850" i="1"/>
  <c r="AA851" i="1"/>
  <c r="AA852" i="1"/>
  <c r="H858" i="1"/>
  <c r="J860" i="1"/>
  <c r="T863" i="1"/>
  <c r="T864" i="1"/>
  <c r="H800" i="1"/>
  <c r="S803" i="1"/>
  <c r="R805" i="1"/>
  <c r="T806" i="1"/>
  <c r="AA807" i="1"/>
  <c r="AA808" i="1"/>
  <c r="Y809" i="1"/>
  <c r="AB810" i="1"/>
  <c r="AB811" i="1"/>
  <c r="H822" i="1"/>
  <c r="T824" i="1"/>
  <c r="R825" i="1"/>
  <c r="T826" i="1"/>
  <c r="AA833" i="1"/>
  <c r="AB834" i="1"/>
  <c r="AB835" i="1"/>
  <c r="Y836" i="1"/>
  <c r="I843" i="1"/>
  <c r="I844" i="1"/>
  <c r="H846" i="1"/>
  <c r="T848" i="1"/>
  <c r="AA850" i="1"/>
  <c r="Z851" i="1"/>
  <c r="Z852" i="1"/>
  <c r="G858" i="1"/>
  <c r="J859" i="1"/>
  <c r="I860" i="1"/>
  <c r="T862" i="1"/>
  <c r="S863" i="1"/>
  <c r="S864" i="1"/>
  <c r="Q865" i="1"/>
  <c r="G800" i="1"/>
  <c r="I801" i="1"/>
  <c r="J802" i="1"/>
  <c r="R803" i="1"/>
  <c r="S804" i="1"/>
  <c r="Q805" i="1"/>
  <c r="S806" i="1"/>
  <c r="Z807" i="1"/>
  <c r="Z808" i="1"/>
  <c r="X809" i="1"/>
  <c r="AA810" i="1"/>
  <c r="AA811" i="1"/>
  <c r="AH813" i="1"/>
  <c r="J819" i="1"/>
  <c r="J820" i="1"/>
  <c r="J821" i="1"/>
  <c r="G822" i="1"/>
  <c r="I823" i="1"/>
  <c r="S824" i="1"/>
  <c r="Q825" i="1"/>
  <c r="S826" i="1"/>
  <c r="N828" i="1"/>
  <c r="AD829" i="1"/>
  <c r="AC830" i="1"/>
  <c r="AD831" i="1"/>
  <c r="AC832" i="1"/>
  <c r="Z833" i="1"/>
  <c r="AA834" i="1"/>
  <c r="AA835" i="1"/>
  <c r="X836" i="1"/>
  <c r="J838" i="1"/>
  <c r="AH839" i="1"/>
  <c r="J842" i="1"/>
  <c r="H843" i="1"/>
  <c r="G844" i="1"/>
  <c r="J845" i="1"/>
  <c r="G846" i="1"/>
  <c r="S848" i="1"/>
  <c r="AD849" i="1"/>
  <c r="Z850" i="1"/>
  <c r="Y851" i="1"/>
  <c r="Y852" i="1"/>
  <c r="AG853" i="1"/>
  <c r="J856" i="1"/>
  <c r="J857" i="1"/>
  <c r="F858" i="1"/>
  <c r="I859" i="1"/>
  <c r="H860" i="1"/>
  <c r="T861" i="1"/>
  <c r="S862" i="1"/>
  <c r="R863" i="1"/>
  <c r="R864" i="1"/>
  <c r="P865" i="1"/>
  <c r="F800" i="1"/>
  <c r="H801" i="1"/>
  <c r="I802" i="1"/>
  <c r="Q803" i="1"/>
  <c r="R804" i="1"/>
  <c r="P805" i="1"/>
  <c r="R806" i="1"/>
  <c r="Y807" i="1"/>
  <c r="Y808" i="1"/>
  <c r="W809" i="1"/>
  <c r="Z810" i="1"/>
  <c r="Z811" i="1"/>
  <c r="AH812" i="1"/>
  <c r="AG813" i="1"/>
  <c r="AH815" i="1"/>
  <c r="AH816" i="1"/>
  <c r="AH817" i="1"/>
  <c r="I819" i="1"/>
  <c r="I820" i="1"/>
  <c r="I821" i="1"/>
  <c r="F822" i="1"/>
  <c r="H823" i="1"/>
  <c r="R824" i="1"/>
  <c r="P825" i="1"/>
  <c r="R826" i="1"/>
  <c r="AD827" i="1"/>
  <c r="AC829" i="1"/>
  <c r="AB830" i="1"/>
  <c r="AC831" i="1"/>
  <c r="AB832" i="1"/>
  <c r="Y833" i="1"/>
  <c r="Z834" i="1"/>
  <c r="Z835" i="1"/>
  <c r="W836" i="1"/>
  <c r="I838" i="1"/>
  <c r="AG839" i="1"/>
  <c r="J841" i="1"/>
  <c r="I842" i="1"/>
  <c r="G843" i="1"/>
  <c r="F844" i="1"/>
  <c r="F846" i="1"/>
  <c r="T847" i="1"/>
  <c r="R848" i="1"/>
  <c r="AC849" i="1"/>
  <c r="Y850" i="1"/>
  <c r="X851" i="1"/>
  <c r="X852" i="1"/>
  <c r="J855" i="1"/>
  <c r="I857" i="1"/>
  <c r="E858" i="1"/>
  <c r="H859" i="1"/>
  <c r="G860" i="1"/>
  <c r="R862" i="1"/>
  <c r="Q863" i="1"/>
  <c r="Q864" i="1"/>
  <c r="H802" i="1"/>
  <c r="P803" i="1"/>
  <c r="O805" i="1"/>
  <c r="Q806" i="1"/>
  <c r="X807" i="1"/>
  <c r="X808" i="1"/>
  <c r="V809" i="1"/>
  <c r="Y810" i="1"/>
  <c r="Y811" i="1"/>
  <c r="AG815" i="1"/>
  <c r="AG816" i="1"/>
  <c r="AG817" i="1"/>
  <c r="H819" i="1"/>
  <c r="H821" i="1"/>
  <c r="E822" i="1"/>
  <c r="Q824" i="1"/>
  <c r="O825" i="1"/>
  <c r="Q826" i="1"/>
  <c r="AB829" i="1"/>
  <c r="X833" i="1"/>
  <c r="Y834" i="1"/>
  <c r="Y835" i="1"/>
  <c r="I841" i="1"/>
  <c r="H842" i="1"/>
  <c r="F843" i="1"/>
  <c r="E844" i="1"/>
  <c r="E846" i="1"/>
  <c r="Q848" i="1"/>
  <c r="X850" i="1"/>
  <c r="W851" i="1"/>
  <c r="J854" i="1"/>
  <c r="H857" i="1"/>
  <c r="G859" i="1"/>
  <c r="F860" i="1"/>
  <c r="Q862" i="1"/>
  <c r="P863" i="1"/>
  <c r="P864" i="1"/>
  <c r="G802" i="1"/>
  <c r="N805" i="1"/>
  <c r="P806" i="1"/>
  <c r="X811" i="1"/>
  <c r="G819" i="1"/>
  <c r="P824" i="1"/>
  <c r="N825" i="1"/>
  <c r="P826" i="1"/>
  <c r="AA829" i="1"/>
  <c r="W833" i="1"/>
  <c r="X834" i="1"/>
  <c r="X835" i="1"/>
  <c r="AH836" i="1"/>
  <c r="H841" i="1"/>
  <c r="G842" i="1"/>
  <c r="E843" i="1"/>
  <c r="D844" i="1"/>
  <c r="V851" i="1"/>
  <c r="I854" i="1"/>
  <c r="G841" i="1"/>
  <c r="D843" i="1"/>
  <c r="AH850" i="1"/>
  <c r="H854" i="1"/>
  <c r="AD864" i="1"/>
  <c r="AD805" i="1"/>
  <c r="T819" i="1"/>
  <c r="AD825" i="1"/>
  <c r="AD863" i="1"/>
  <c r="AC864" i="1"/>
  <c r="S802" i="1"/>
  <c r="AD803" i="1"/>
  <c r="AC805" i="1"/>
  <c r="AC806" i="1"/>
  <c r="J808" i="1"/>
  <c r="J809" i="1"/>
  <c r="AH810" i="1"/>
  <c r="AG811" i="1"/>
  <c r="G813" i="1"/>
  <c r="G814" i="1"/>
  <c r="F815" i="1"/>
  <c r="H816" i="1"/>
  <c r="H817" i="1"/>
  <c r="H818" i="1"/>
  <c r="S819" i="1"/>
  <c r="R821" i="1"/>
  <c r="R822" i="1"/>
  <c r="C823" i="1"/>
  <c r="AC824" i="1"/>
  <c r="AC825" i="1"/>
  <c r="AC826" i="1"/>
  <c r="Y827" i="1"/>
  <c r="AG829" i="1"/>
  <c r="X831" i="1"/>
  <c r="W832" i="1"/>
  <c r="I837" i="1"/>
  <c r="G840" i="1"/>
  <c r="T841" i="1"/>
  <c r="S842" i="1"/>
  <c r="T843" i="1"/>
  <c r="S844" i="1"/>
  <c r="J851" i="1"/>
  <c r="T854" i="1"/>
  <c r="T857" i="1"/>
  <c r="Q858" i="1"/>
  <c r="AD862" i="1"/>
  <c r="AC863" i="1"/>
  <c r="AB864" i="1"/>
  <c r="P800" i="1"/>
  <c r="T801" i="1"/>
  <c r="R802" i="1"/>
  <c r="AC803" i="1"/>
  <c r="AD804" i="1"/>
  <c r="AB805" i="1"/>
  <c r="AB806" i="1"/>
  <c r="I808" i="1"/>
  <c r="I809" i="1"/>
  <c r="J810" i="1"/>
  <c r="F814" i="1"/>
  <c r="E815" i="1"/>
  <c r="G817" i="1"/>
  <c r="G818" i="1"/>
  <c r="R819" i="1"/>
  <c r="T820" i="1"/>
  <c r="Q821" i="1"/>
  <c r="Q822" i="1"/>
  <c r="AB824" i="1"/>
  <c r="AB825" i="1"/>
  <c r="AB826" i="1"/>
  <c r="X827" i="1"/>
  <c r="AF829" i="1"/>
  <c r="AH830" i="1"/>
  <c r="W831" i="1"/>
  <c r="J835" i="1"/>
  <c r="J836" i="1"/>
  <c r="E839" i="1"/>
  <c r="F840" i="1"/>
  <c r="S841" i="1"/>
  <c r="R842" i="1"/>
  <c r="S843" i="1"/>
  <c r="R844" i="1"/>
  <c r="O845" i="1"/>
  <c r="R846" i="1"/>
  <c r="N847" i="1"/>
  <c r="AA848" i="1"/>
  <c r="AH849" i="1"/>
  <c r="I851" i="1"/>
  <c r="J852" i="1"/>
  <c r="J853" i="1"/>
  <c r="S854" i="1"/>
  <c r="T855" i="1"/>
  <c r="S857" i="1"/>
  <c r="P858" i="1"/>
  <c r="R859" i="1"/>
  <c r="Q860" i="1"/>
  <c r="AD861" i="1"/>
  <c r="AC862" i="1"/>
  <c r="AB863" i="1"/>
  <c r="AA864" i="1"/>
  <c r="O800" i="1"/>
  <c r="S801" i="1"/>
  <c r="Q802" i="1"/>
  <c r="AB803" i="1"/>
  <c r="AC804" i="1"/>
  <c r="AA805" i="1"/>
  <c r="AA806" i="1"/>
  <c r="H808" i="1"/>
  <c r="H809" i="1"/>
  <c r="I810" i="1"/>
  <c r="J811" i="1"/>
  <c r="J812" i="1"/>
  <c r="T813" i="1"/>
  <c r="E814" i="1"/>
  <c r="T816" i="1"/>
  <c r="E818" i="1"/>
  <c r="Q819" i="1"/>
  <c r="S820" i="1"/>
  <c r="AA824" i="1"/>
  <c r="AA825" i="1"/>
  <c r="AA826" i="1"/>
  <c r="J834" i="1"/>
  <c r="I835" i="1"/>
  <c r="I836" i="1"/>
  <c r="T837" i="1"/>
  <c r="T838" i="1"/>
  <c r="E840" i="1"/>
  <c r="R841" i="1"/>
  <c r="Q842" i="1"/>
  <c r="R843" i="1"/>
  <c r="Q844" i="1"/>
  <c r="N845" i="1"/>
  <c r="Z848" i="1"/>
  <c r="H851" i="1"/>
  <c r="I852" i="1"/>
  <c r="I853" i="1"/>
  <c r="R854" i="1"/>
  <c r="S855" i="1"/>
  <c r="T856" i="1"/>
  <c r="R857" i="1"/>
  <c r="O858" i="1"/>
  <c r="Q859" i="1"/>
  <c r="P860" i="1"/>
  <c r="AC861" i="1"/>
  <c r="AB862" i="1"/>
  <c r="AA863" i="1"/>
  <c r="Z864" i="1"/>
  <c r="R801" i="1"/>
  <c r="AA803" i="1"/>
  <c r="AB804" i="1"/>
  <c r="Z805" i="1"/>
  <c r="G808" i="1"/>
  <c r="H810" i="1"/>
  <c r="I811" i="1"/>
  <c r="I812" i="1"/>
  <c r="S813" i="1"/>
  <c r="S816" i="1"/>
  <c r="E817" i="1"/>
  <c r="D818" i="1"/>
  <c r="P819" i="1"/>
  <c r="R820" i="1"/>
  <c r="AD821" i="1"/>
  <c r="O822" i="1"/>
  <c r="Z824" i="1"/>
  <c r="Z825" i="1"/>
  <c r="Z826" i="1"/>
  <c r="AH827" i="1"/>
  <c r="J830" i="1"/>
  <c r="J831" i="1"/>
  <c r="AH831" i="1"/>
  <c r="J833" i="1"/>
  <c r="I834" i="1"/>
  <c r="H835" i="1"/>
  <c r="H836" i="1"/>
  <c r="S837" i="1"/>
  <c r="S838" i="1"/>
  <c r="T839" i="1"/>
  <c r="D840" i="1"/>
  <c r="Q841" i="1"/>
  <c r="P842" i="1"/>
  <c r="Q843" i="1"/>
  <c r="P844" i="1"/>
  <c r="AD847" i="1"/>
  <c r="Y848" i="1"/>
  <c r="J850" i="1"/>
  <c r="G851" i="1"/>
  <c r="H852" i="1"/>
  <c r="H853" i="1"/>
  <c r="Q854" i="1"/>
  <c r="R855" i="1"/>
  <c r="S856" i="1"/>
  <c r="Q857" i="1"/>
  <c r="N858" i="1"/>
  <c r="P859" i="1"/>
  <c r="O860" i="1"/>
  <c r="AB861" i="1"/>
  <c r="AA862" i="1"/>
  <c r="Z863" i="1"/>
  <c r="Y864" i="1"/>
  <c r="AD799" i="1"/>
  <c r="M800" i="1"/>
  <c r="Q801" i="1"/>
  <c r="AD802" i="1"/>
  <c r="Z803" i="1"/>
  <c r="AA804" i="1"/>
  <c r="Y805" i="1"/>
  <c r="F808" i="1"/>
  <c r="T809" i="1"/>
  <c r="G810" i="1"/>
  <c r="H811" i="1"/>
  <c r="H812" i="1"/>
  <c r="R813" i="1"/>
  <c r="T814" i="1"/>
  <c r="T815" i="1"/>
  <c r="R816" i="1"/>
  <c r="O819" i="1"/>
  <c r="Q820" i="1"/>
  <c r="AC821" i="1"/>
  <c r="AD823" i="1"/>
  <c r="Y825" i="1"/>
  <c r="I830" i="1"/>
  <c r="I831" i="1"/>
  <c r="I833" i="1"/>
  <c r="H834" i="1"/>
  <c r="G835" i="1"/>
  <c r="R837" i="1"/>
  <c r="R838" i="1"/>
  <c r="S839" i="1"/>
  <c r="P841" i="1"/>
  <c r="O842" i="1"/>
  <c r="O844" i="1"/>
  <c r="AD845" i="1"/>
  <c r="AD846" i="1"/>
  <c r="AC847" i="1"/>
  <c r="X848" i="1"/>
  <c r="I850" i="1"/>
  <c r="P854" i="1"/>
  <c r="Q855" i="1"/>
  <c r="R856" i="1"/>
  <c r="O859" i="1"/>
  <c r="AA861" i="1"/>
  <c r="Z862" i="1"/>
  <c r="Y863" i="1"/>
  <c r="X864" i="1"/>
  <c r="AC799" i="1"/>
  <c r="P801" i="1"/>
  <c r="AC802" i="1"/>
  <c r="Y803" i="1"/>
  <c r="Z804" i="1"/>
  <c r="X805" i="1"/>
  <c r="E808" i="1"/>
  <c r="S809" i="1"/>
  <c r="F810" i="1"/>
  <c r="G811" i="1"/>
  <c r="G812" i="1"/>
  <c r="Q813" i="1"/>
  <c r="S814" i="1"/>
  <c r="S815" i="1"/>
  <c r="Q816" i="1"/>
  <c r="T818" i="1"/>
  <c r="N819" i="1"/>
  <c r="P820" i="1"/>
  <c r="AB821" i="1"/>
  <c r="AC823" i="1"/>
  <c r="AH824" i="1"/>
  <c r="X825" i="1"/>
  <c r="AH826" i="1"/>
  <c r="J828" i="1"/>
  <c r="H830" i="1"/>
  <c r="H831" i="1"/>
  <c r="J832" i="1"/>
  <c r="H833" i="1"/>
  <c r="G834" i="1"/>
  <c r="F835" i="1"/>
  <c r="T836" i="1"/>
  <c r="Q837" i="1"/>
  <c r="Q838" i="1"/>
  <c r="R839" i="1"/>
  <c r="T840" i="1"/>
  <c r="O841" i="1"/>
  <c r="AD843" i="1"/>
  <c r="N844" i="1"/>
  <c r="AC845" i="1"/>
  <c r="AC846" i="1"/>
  <c r="AB847" i="1"/>
  <c r="H850" i="1"/>
  <c r="T853" i="1"/>
  <c r="O854" i="1"/>
  <c r="P855" i="1"/>
  <c r="Q856" i="1"/>
  <c r="AD857" i="1"/>
  <c r="AD858" i="1"/>
  <c r="AD860" i="1"/>
  <c r="Z861" i="1"/>
  <c r="Y862" i="1"/>
  <c r="X863" i="1"/>
  <c r="W864" i="1"/>
  <c r="S736" i="1"/>
  <c r="Q733" i="1"/>
  <c r="O736" i="1"/>
  <c r="AA737" i="1"/>
  <c r="AA738" i="1"/>
  <c r="Y739" i="1"/>
  <c r="G742" i="1"/>
  <c r="T743" i="1"/>
  <c r="F744" i="1"/>
  <c r="T746" i="1"/>
  <c r="P747" i="1"/>
  <c r="Q748" i="1"/>
  <c r="R749" i="1"/>
  <c r="AA750" i="1"/>
  <c r="H753" i="1"/>
  <c r="G754" i="1"/>
  <c r="I755" i="1"/>
  <c r="Q757" i="1"/>
  <c r="S758" i="1"/>
  <c r="S759" i="1"/>
  <c r="AB760" i="1"/>
  <c r="J762" i="1"/>
  <c r="I763" i="1"/>
  <c r="H764" i="1"/>
  <c r="R767" i="1"/>
  <c r="AB768" i="1"/>
  <c r="AG770" i="1"/>
  <c r="W771" i="1"/>
  <c r="X772" i="1"/>
  <c r="Z773" i="1"/>
  <c r="AB774" i="1"/>
  <c r="P775" i="1"/>
  <c r="R776" i="1"/>
  <c r="O777" i="1"/>
  <c r="AC778" i="1"/>
  <c r="P780" i="1"/>
  <c r="R781" i="1"/>
  <c r="S783" i="1"/>
  <c r="R784" i="1"/>
  <c r="Q785" i="1"/>
  <c r="Q786" i="1"/>
  <c r="T787" i="1"/>
  <c r="AB790" i="1"/>
  <c r="AH791" i="1"/>
  <c r="T795" i="1"/>
  <c r="T796" i="1"/>
  <c r="AD797" i="1"/>
  <c r="AC798" i="1"/>
  <c r="AD736" i="1"/>
  <c r="X737" i="1"/>
  <c r="X738" i="1"/>
  <c r="AH739" i="1"/>
  <c r="H741" i="1"/>
  <c r="Q746" i="1"/>
  <c r="N748" i="1"/>
  <c r="X750" i="1"/>
  <c r="J752" i="1"/>
  <c r="D754" i="1"/>
  <c r="R756" i="1"/>
  <c r="P758" i="1"/>
  <c r="P759" i="1"/>
  <c r="Y760" i="1"/>
  <c r="G762" i="1"/>
  <c r="F763" i="1"/>
  <c r="H770" i="1"/>
  <c r="AH771" i="1"/>
  <c r="AH772" i="1"/>
  <c r="W773" i="1"/>
  <c r="O776" i="1"/>
  <c r="O781" i="1"/>
  <c r="O784" i="1"/>
  <c r="N786" i="1"/>
  <c r="Q787" i="1"/>
  <c r="AB788" i="1"/>
  <c r="AG790" i="1"/>
  <c r="Q796" i="1"/>
  <c r="AA797" i="1"/>
  <c r="Z798" i="1"/>
  <c r="I752" i="1"/>
  <c r="O759" i="1"/>
  <c r="AA788" i="1"/>
  <c r="P796" i="1"/>
  <c r="Z797" i="1"/>
  <c r="AB736" i="1"/>
  <c r="AH738" i="1"/>
  <c r="O743" i="1"/>
  <c r="H752" i="1"/>
  <c r="P765" i="1"/>
  <c r="F770" i="1"/>
  <c r="AH773" i="1"/>
  <c r="W774" i="1"/>
  <c r="X778" i="1"/>
  <c r="AD781" i="1"/>
  <c r="Z788" i="1"/>
  <c r="O796" i="1"/>
  <c r="Y797" i="1"/>
  <c r="AH798" i="1"/>
  <c r="AA736" i="1"/>
  <c r="W778" i="1"/>
  <c r="AC781" i="1"/>
  <c r="Y788" i="1"/>
  <c r="X797" i="1"/>
  <c r="T770" i="1"/>
  <c r="AB781" i="1"/>
  <c r="J799" i="1"/>
  <c r="Y733" i="1"/>
  <c r="Q741" i="1"/>
  <c r="AD743" i="1"/>
  <c r="AD744" i="1"/>
  <c r="Z749" i="1"/>
  <c r="S752" i="1"/>
  <c r="P753" i="1"/>
  <c r="Q754" i="1"/>
  <c r="P755" i="1"/>
  <c r="AD756" i="1"/>
  <c r="X757" i="1"/>
  <c r="AB759" i="1"/>
  <c r="AD765" i="1"/>
  <c r="S770" i="1"/>
  <c r="AA781" i="1"/>
  <c r="I799" i="1"/>
  <c r="X733" i="1"/>
  <c r="AH735" i="1"/>
  <c r="G738" i="1"/>
  <c r="I739" i="1"/>
  <c r="P741" i="1"/>
  <c r="AD742" i="1"/>
  <c r="AC743" i="1"/>
  <c r="AC744" i="1"/>
  <c r="AA745" i="1"/>
  <c r="Z746" i="1"/>
  <c r="Y749" i="1"/>
  <c r="R752" i="1"/>
  <c r="O753" i="1"/>
  <c r="P754" i="1"/>
  <c r="O755" i="1"/>
  <c r="AC756" i="1"/>
  <c r="W757" i="1"/>
  <c r="Z758" i="1"/>
  <c r="AA759" i="1"/>
  <c r="J761" i="1"/>
  <c r="Q763" i="1"/>
  <c r="AD764" i="1"/>
  <c r="AC765" i="1"/>
  <c r="AD766" i="1"/>
  <c r="R770" i="1"/>
  <c r="F773" i="1"/>
  <c r="H774" i="1"/>
  <c r="AF774" i="1"/>
  <c r="X775" i="1"/>
  <c r="AG778" i="1"/>
  <c r="AH779" i="1"/>
  <c r="Y780" i="1"/>
  <c r="Z781" i="1"/>
  <c r="AD782" i="1"/>
  <c r="Y783" i="1"/>
  <c r="Z784" i="1"/>
  <c r="Y785" i="1"/>
  <c r="Z786" i="1"/>
  <c r="AG788" i="1"/>
  <c r="T792" i="1"/>
  <c r="T793" i="1"/>
  <c r="AD795" i="1"/>
  <c r="H799" i="1"/>
  <c r="W733" i="1"/>
  <c r="J735" i="1"/>
  <c r="J737" i="1"/>
  <c r="F738" i="1"/>
  <c r="H739" i="1"/>
  <c r="T740" i="1"/>
  <c r="O741" i="1"/>
  <c r="AC742" i="1"/>
  <c r="AB743" i="1"/>
  <c r="AB744" i="1"/>
  <c r="Z745" i="1"/>
  <c r="Y746" i="1"/>
  <c r="Y748" i="1"/>
  <c r="X749" i="1"/>
  <c r="T751" i="1"/>
  <c r="Q752" i="1"/>
  <c r="N753" i="1"/>
  <c r="O754" i="1"/>
  <c r="N755" i="1"/>
  <c r="AB756" i="1"/>
  <c r="V757" i="1"/>
  <c r="Y758" i="1"/>
  <c r="Z759" i="1"/>
  <c r="I761" i="1"/>
  <c r="P763" i="1"/>
  <c r="AC764" i="1"/>
  <c r="AB765" i="1"/>
  <c r="AC766" i="1"/>
  <c r="Q770" i="1"/>
  <c r="T771" i="1"/>
  <c r="T772" i="1"/>
  <c r="E773" i="1"/>
  <c r="G774" i="1"/>
  <c r="W775" i="1"/>
  <c r="AH777" i="1"/>
  <c r="AG779" i="1"/>
  <c r="X780" i="1"/>
  <c r="Y781" i="1"/>
  <c r="AC782" i="1"/>
  <c r="X783" i="1"/>
  <c r="Y784" i="1"/>
  <c r="X785" i="1"/>
  <c r="Y786" i="1"/>
  <c r="S792" i="1"/>
  <c r="S793" i="1"/>
  <c r="AD794" i="1"/>
  <c r="AC795" i="1"/>
  <c r="AA796" i="1"/>
  <c r="J798" i="1"/>
  <c r="G799" i="1"/>
  <c r="I735" i="1"/>
  <c r="J736" i="1"/>
  <c r="I737" i="1"/>
  <c r="S740" i="1"/>
  <c r="AB742" i="1"/>
  <c r="AA743" i="1"/>
  <c r="AA744" i="1"/>
  <c r="S751" i="1"/>
  <c r="AA756" i="1"/>
  <c r="AB764" i="1"/>
  <c r="AA765" i="1"/>
  <c r="AB766" i="1"/>
  <c r="P770" i="1"/>
  <c r="S771" i="1"/>
  <c r="S772" i="1"/>
  <c r="J779" i="1"/>
  <c r="X781" i="1"/>
  <c r="AB782" i="1"/>
  <c r="X784" i="1"/>
  <c r="X786" i="1"/>
  <c r="X787" i="1"/>
  <c r="J789" i="1"/>
  <c r="J790" i="1"/>
  <c r="T791" i="1"/>
  <c r="R792" i="1"/>
  <c r="R793" i="1"/>
  <c r="AC794" i="1"/>
  <c r="AB795" i="1"/>
  <c r="F799" i="1"/>
  <c r="AH733" i="1"/>
  <c r="H735" i="1"/>
  <c r="I736" i="1"/>
  <c r="H737" i="1"/>
  <c r="D738" i="1"/>
  <c r="F739" i="1"/>
  <c r="R740" i="1"/>
  <c r="AD741" i="1"/>
  <c r="AA742" i="1"/>
  <c r="Z743" i="1"/>
  <c r="Z744" i="1"/>
  <c r="AH749" i="1"/>
  <c r="R751" i="1"/>
  <c r="AD752" i="1"/>
  <c r="AD753" i="1"/>
  <c r="AD754" i="1"/>
  <c r="AD755" i="1"/>
  <c r="Z756" i="1"/>
  <c r="AH757" i="1"/>
  <c r="W758" i="1"/>
  <c r="T761" i="1"/>
  <c r="N763" i="1"/>
  <c r="AA764" i="1"/>
  <c r="Z765" i="1"/>
  <c r="AA766" i="1"/>
  <c r="AG767" i="1"/>
  <c r="O770" i="1"/>
  <c r="R771" i="1"/>
  <c r="R772" i="1"/>
  <c r="T773" i="1"/>
  <c r="E774" i="1"/>
  <c r="I775" i="1"/>
  <c r="AH775" i="1"/>
  <c r="J778" i="1"/>
  <c r="I779" i="1"/>
  <c r="J780" i="1"/>
  <c r="AH780" i="1"/>
  <c r="W781" i="1"/>
  <c r="AA782" i="1"/>
  <c r="AH783" i="1"/>
  <c r="W784" i="1"/>
  <c r="AH785" i="1"/>
  <c r="W786" i="1"/>
  <c r="W787" i="1"/>
  <c r="I789" i="1"/>
  <c r="I790" i="1"/>
  <c r="S791" i="1"/>
  <c r="Q792" i="1"/>
  <c r="Q793" i="1"/>
  <c r="AB794" i="1"/>
  <c r="AA795" i="1"/>
  <c r="Y796" i="1"/>
  <c r="H798" i="1"/>
  <c r="E799" i="1"/>
  <c r="AG733" i="1"/>
  <c r="G735" i="1"/>
  <c r="H736" i="1"/>
  <c r="G737" i="1"/>
  <c r="Q740" i="1"/>
  <c r="AC741" i="1"/>
  <c r="Z742" i="1"/>
  <c r="Y743" i="1"/>
  <c r="Y744" i="1"/>
  <c r="AH745" i="1"/>
  <c r="AH746" i="1"/>
  <c r="J748" i="1"/>
  <c r="AH748" i="1"/>
  <c r="Q751" i="1"/>
  <c r="AC753" i="1"/>
  <c r="AC754" i="1"/>
  <c r="AC755" i="1"/>
  <c r="Y756" i="1"/>
  <c r="AF757" i="1"/>
  <c r="J760" i="1"/>
  <c r="S761" i="1"/>
  <c r="AD762" i="1"/>
  <c r="Z764" i="1"/>
  <c r="Y765" i="1"/>
  <c r="Z766" i="1"/>
  <c r="AD769" i="1"/>
  <c r="N770" i="1"/>
  <c r="Q771" i="1"/>
  <c r="Q772" i="1"/>
  <c r="AG775" i="1"/>
  <c r="AH776" i="1"/>
  <c r="I778" i="1"/>
  <c r="H779" i="1"/>
  <c r="V781" i="1"/>
  <c r="Z782" i="1"/>
  <c r="AG785" i="1"/>
  <c r="H789" i="1"/>
  <c r="H790" i="1"/>
  <c r="R791" i="1"/>
  <c r="P792" i="1"/>
  <c r="P793" i="1"/>
  <c r="AA794" i="1"/>
  <c r="Z795" i="1"/>
  <c r="D799" i="1"/>
  <c r="F735" i="1"/>
  <c r="G736" i="1"/>
  <c r="F737" i="1"/>
  <c r="T738" i="1"/>
  <c r="Y742" i="1"/>
  <c r="X743" i="1"/>
  <c r="I748" i="1"/>
  <c r="J750" i="1"/>
  <c r="P751" i="1"/>
  <c r="AB754" i="1"/>
  <c r="AH758" i="1"/>
  <c r="I760" i="1"/>
  <c r="R761" i="1"/>
  <c r="AC762" i="1"/>
  <c r="AD763" i="1"/>
  <c r="Y764" i="1"/>
  <c r="X765" i="1"/>
  <c r="P771" i="1"/>
  <c r="G779" i="1"/>
  <c r="X782" i="1"/>
  <c r="AH786" i="1"/>
  <c r="AH787" i="1"/>
  <c r="G789" i="1"/>
  <c r="G790" i="1"/>
  <c r="Q791" i="1"/>
  <c r="O792" i="1"/>
  <c r="O793" i="1"/>
  <c r="Z794" i="1"/>
  <c r="E735" i="1"/>
  <c r="F736" i="1"/>
  <c r="E737" i="1"/>
  <c r="S738" i="1"/>
  <c r="S739" i="1"/>
  <c r="AA741" i="1"/>
  <c r="X742" i="1"/>
  <c r="W743" i="1"/>
  <c r="H748" i="1"/>
  <c r="I750" i="1"/>
  <c r="O751" i="1"/>
  <c r="AA753" i="1"/>
  <c r="AA754" i="1"/>
  <c r="AA755" i="1"/>
  <c r="AH756" i="1"/>
  <c r="AG758" i="1"/>
  <c r="H760" i="1"/>
  <c r="Q761" i="1"/>
  <c r="AB762" i="1"/>
  <c r="AC763" i="1"/>
  <c r="X764" i="1"/>
  <c r="W765" i="1"/>
  <c r="I768" i="1"/>
  <c r="AB769" i="1"/>
  <c r="O771" i="1"/>
  <c r="F779" i="1"/>
  <c r="AH781" i="1"/>
  <c r="J786" i="1"/>
  <c r="AG786" i="1"/>
  <c r="F789" i="1"/>
  <c r="F790" i="1"/>
  <c r="N792" i="1"/>
  <c r="N793" i="1"/>
  <c r="Y794" i="1"/>
  <c r="X795" i="1"/>
  <c r="R738" i="1"/>
  <c r="V743" i="1"/>
  <c r="G748" i="1"/>
  <c r="Z754" i="1"/>
  <c r="J785" i="1"/>
  <c r="E790" i="1"/>
  <c r="X794" i="1"/>
  <c r="J797" i="1"/>
  <c r="D736" i="1"/>
  <c r="T737" i="1"/>
  <c r="Q738" i="1"/>
  <c r="F748" i="1"/>
  <c r="Y754" i="1"/>
  <c r="J757" i="1"/>
  <c r="Z762" i="1"/>
  <c r="AA763" i="1"/>
  <c r="Z769" i="1"/>
  <c r="AD771" i="1"/>
  <c r="I777" i="1"/>
  <c r="AG782" i="1"/>
  <c r="I785" i="1"/>
  <c r="H786" i="1"/>
  <c r="I788" i="1"/>
  <c r="D790" i="1"/>
  <c r="W794" i="1"/>
  <c r="AH795" i="1"/>
  <c r="I797" i="1"/>
  <c r="S737" i="1"/>
  <c r="P738" i="1"/>
  <c r="D748" i="1"/>
  <c r="T750" i="1"/>
  <c r="X754" i="1"/>
  <c r="I757" i="1"/>
  <c r="AD761" i="1"/>
  <c r="Z763" i="1"/>
  <c r="Y769" i="1"/>
  <c r="AC771" i="1"/>
  <c r="AD772" i="1"/>
  <c r="H785" i="1"/>
  <c r="G786" i="1"/>
  <c r="H797" i="1"/>
  <c r="S735" i="1"/>
  <c r="T736" i="1"/>
  <c r="R737" i="1"/>
  <c r="O738" i="1"/>
  <c r="AD739" i="1"/>
  <c r="Z740" i="1"/>
  <c r="AH741" i="1"/>
  <c r="H745" i="1"/>
  <c r="C748" i="1"/>
  <c r="E749" i="1"/>
  <c r="S750" i="1"/>
  <c r="AB751" i="1"/>
  <c r="AH753" i="1"/>
  <c r="W754" i="1"/>
  <c r="AH755" i="1"/>
  <c r="H757" i="1"/>
  <c r="F758" i="1"/>
  <c r="I759" i="1"/>
  <c r="S760" i="1"/>
  <c r="AC761" i="1"/>
  <c r="X762" i="1"/>
  <c r="Y763" i="1"/>
  <c r="I767" i="1"/>
  <c r="S768" i="1"/>
  <c r="X769" i="1"/>
  <c r="Z770" i="1"/>
  <c r="AB771" i="1"/>
  <c r="AC772" i="1"/>
  <c r="O774" i="1"/>
  <c r="G776" i="1"/>
  <c r="T777" i="1"/>
  <c r="S778" i="1"/>
  <c r="R779" i="1"/>
  <c r="E781" i="1"/>
  <c r="H782" i="1"/>
  <c r="J783" i="1"/>
  <c r="E784" i="1"/>
  <c r="G785" i="1"/>
  <c r="F786" i="1"/>
  <c r="H787" i="1"/>
  <c r="G788" i="1"/>
  <c r="R789" i="1"/>
  <c r="T790" i="1"/>
  <c r="AA791" i="1"/>
  <c r="AB792" i="1"/>
  <c r="AB793" i="1"/>
  <c r="J796" i="1"/>
  <c r="G797" i="1"/>
  <c r="O798" i="1"/>
  <c r="P799" i="1"/>
  <c r="AA771" i="1"/>
  <c r="AB772" i="1"/>
  <c r="AD773" i="1"/>
  <c r="T775" i="1"/>
  <c r="S777" i="1"/>
  <c r="T733" i="1"/>
  <c r="S734" i="1"/>
  <c r="Q735" i="1"/>
  <c r="R736" i="1"/>
  <c r="AD737" i="1"/>
  <c r="AD738" i="1"/>
  <c r="AB739" i="1"/>
  <c r="X740" i="1"/>
  <c r="J742" i="1"/>
  <c r="I743" i="1"/>
  <c r="I744" i="1"/>
  <c r="F745" i="1"/>
  <c r="S747" i="1"/>
  <c r="T748" i="1"/>
  <c r="AD750" i="1"/>
  <c r="Z751" i="1"/>
  <c r="J754" i="1"/>
  <c r="AH754" i="1"/>
  <c r="J756" i="1"/>
  <c r="T757" i="1"/>
  <c r="D758" i="1"/>
  <c r="G759" i="1"/>
  <c r="AH762" i="1"/>
  <c r="I765" i="1"/>
  <c r="I766" i="1"/>
  <c r="AH769" i="1"/>
  <c r="X770" i="1"/>
  <c r="Z771" i="1"/>
  <c r="AA772" i="1"/>
  <c r="AC773" i="1"/>
  <c r="S775" i="1"/>
  <c r="R777" i="1"/>
  <c r="P779" i="1"/>
  <c r="S780" i="1"/>
  <c r="F782" i="1"/>
  <c r="T785" i="1"/>
  <c r="T786" i="1"/>
  <c r="F787" i="1"/>
  <c r="T788" i="1"/>
  <c r="P789" i="1"/>
  <c r="Y791" i="1"/>
  <c r="Z792" i="1"/>
  <c r="Z793" i="1"/>
  <c r="I795" i="1"/>
  <c r="H796" i="1"/>
  <c r="S733" i="1"/>
  <c r="R734" i="1"/>
  <c r="P735" i="1"/>
  <c r="Q736" i="1"/>
  <c r="AC737" i="1"/>
  <c r="AC738" i="1"/>
  <c r="AA739" i="1"/>
  <c r="I742" i="1"/>
  <c r="H744" i="1"/>
  <c r="E745" i="1"/>
  <c r="R747" i="1"/>
  <c r="S748" i="1"/>
  <c r="T749" i="1"/>
  <c r="AC750" i="1"/>
  <c r="Y751" i="1"/>
  <c r="J753" i="1"/>
  <c r="I754" i="1"/>
  <c r="I756" i="1"/>
  <c r="S757" i="1"/>
  <c r="AD760" i="1"/>
  <c r="J764" i="1"/>
  <c r="H765" i="1"/>
  <c r="H766" i="1"/>
  <c r="T767" i="1"/>
  <c r="AD768" i="1"/>
  <c r="Y771" i="1"/>
  <c r="Z772" i="1"/>
  <c r="AB773" i="1"/>
  <c r="AD774" i="1"/>
  <c r="R775" i="1"/>
  <c r="T776" i="1"/>
  <c r="Q777" i="1"/>
  <c r="O779" i="1"/>
  <c r="R780" i="1"/>
  <c r="T781" i="1"/>
  <c r="E782" i="1"/>
  <c r="T784" i="1"/>
  <c r="S785" i="1"/>
  <c r="S786" i="1"/>
  <c r="E787" i="1"/>
  <c r="S788" i="1"/>
  <c r="O789" i="1"/>
  <c r="AD790" i="1"/>
  <c r="X791" i="1"/>
  <c r="Y792" i="1"/>
  <c r="Y793" i="1"/>
  <c r="H795" i="1"/>
  <c r="G796" i="1"/>
  <c r="R733" i="1"/>
  <c r="Q734" i="1"/>
  <c r="O735" i="1"/>
  <c r="P736" i="1"/>
  <c r="AB737" i="1"/>
  <c r="AB738" i="1"/>
  <c r="Z739" i="1"/>
  <c r="AH740" i="1"/>
  <c r="H742" i="1"/>
  <c r="G744" i="1"/>
  <c r="D745" i="1"/>
  <c r="Q747" i="1"/>
  <c r="R748" i="1"/>
  <c r="S749" i="1"/>
  <c r="AB750" i="1"/>
  <c r="X751" i="1"/>
  <c r="I753" i="1"/>
  <c r="H754" i="1"/>
  <c r="J755" i="1"/>
  <c r="H756" i="1"/>
  <c r="R757" i="1"/>
  <c r="T758" i="1"/>
  <c r="T759" i="1"/>
  <c r="AC760" i="1"/>
  <c r="J763" i="1"/>
  <c r="I764" i="1"/>
  <c r="G765" i="1"/>
  <c r="G766" i="1"/>
  <c r="S767" i="1"/>
  <c r="AC768" i="1"/>
  <c r="AF769" i="1"/>
  <c r="AH770" i="1"/>
  <c r="X771" i="1"/>
  <c r="Y772" i="1"/>
  <c r="AA773" i="1"/>
  <c r="AC774" i="1"/>
  <c r="Q775" i="1"/>
  <c r="S776" i="1"/>
  <c r="P777" i="1"/>
  <c r="AD778" i="1"/>
  <c r="N779" i="1"/>
  <c r="Q780" i="1"/>
  <c r="S781" i="1"/>
  <c r="D782" i="1"/>
  <c r="T783" i="1"/>
  <c r="S784" i="1"/>
  <c r="R785" i="1"/>
  <c r="R786" i="1"/>
  <c r="R788" i="1"/>
  <c r="N789" i="1"/>
  <c r="AC790" i="1"/>
  <c r="X793" i="1"/>
  <c r="AD798" i="1"/>
  <c r="R697" i="1"/>
  <c r="S671" i="1"/>
  <c r="D672" i="1"/>
  <c r="S673" i="1"/>
  <c r="T674" i="1"/>
  <c r="P675" i="1"/>
  <c r="R676" i="1"/>
  <c r="AA678" i="1"/>
  <c r="AB679" i="1"/>
  <c r="AB680" i="1"/>
  <c r="Y681" i="1"/>
  <c r="Y682" i="1"/>
  <c r="Y683" i="1"/>
  <c r="AH684" i="1"/>
  <c r="E687" i="1"/>
  <c r="H688" i="1"/>
  <c r="J689" i="1"/>
  <c r="AH689" i="1"/>
  <c r="W690" i="1"/>
  <c r="I692" i="1"/>
  <c r="AG692" i="1"/>
  <c r="W693" i="1"/>
  <c r="H695" i="1"/>
  <c r="R696" i="1"/>
  <c r="N697" i="1"/>
  <c r="AD698" i="1"/>
  <c r="AA699" i="1"/>
  <c r="AC700" i="1"/>
  <c r="AD701" i="1"/>
  <c r="AD702" i="1"/>
  <c r="AD704" i="1"/>
  <c r="Y705" i="1"/>
  <c r="Y706" i="1"/>
  <c r="I708" i="1"/>
  <c r="H709" i="1"/>
  <c r="O710" i="1"/>
  <c r="AC711" i="1"/>
  <c r="Y712" i="1"/>
  <c r="X713" i="1"/>
  <c r="X714" i="1"/>
  <c r="X715" i="1"/>
  <c r="H717" i="1"/>
  <c r="G718" i="1"/>
  <c r="T721" i="1"/>
  <c r="Y722" i="1"/>
  <c r="AH723" i="1"/>
  <c r="I725" i="1"/>
  <c r="J726" i="1"/>
  <c r="H727" i="1"/>
  <c r="E730" i="1"/>
  <c r="G731" i="1"/>
  <c r="G732" i="1"/>
  <c r="P671" i="1"/>
  <c r="P673" i="1"/>
  <c r="Q674" i="1"/>
  <c r="O676" i="1"/>
  <c r="AB677" i="1"/>
  <c r="Y679" i="1"/>
  <c r="Y680" i="1"/>
  <c r="AH682" i="1"/>
  <c r="I685" i="1"/>
  <c r="I686" i="1"/>
  <c r="E688" i="1"/>
  <c r="G689" i="1"/>
  <c r="F692" i="1"/>
  <c r="AG693" i="1"/>
  <c r="AA698" i="1"/>
  <c r="X699" i="1"/>
  <c r="Z700" i="1"/>
  <c r="AA701" i="1"/>
  <c r="AA702" i="1"/>
  <c r="AA704" i="1"/>
  <c r="AH705" i="1"/>
  <c r="V706" i="1"/>
  <c r="T709" i="1"/>
  <c r="Z711" i="1"/>
  <c r="AH713" i="1"/>
  <c r="J716" i="1"/>
  <c r="D718" i="1"/>
  <c r="AH722" i="1"/>
  <c r="F725" i="1"/>
  <c r="G726" i="1"/>
  <c r="O671" i="1"/>
  <c r="P674" i="1"/>
  <c r="N676" i="1"/>
  <c r="AA677" i="1"/>
  <c r="X679" i="1"/>
  <c r="X680" i="1"/>
  <c r="AH681" i="1"/>
  <c r="AG682" i="1"/>
  <c r="AH683" i="1"/>
  <c r="H685" i="1"/>
  <c r="H686" i="1"/>
  <c r="D688" i="1"/>
  <c r="F689" i="1"/>
  <c r="E692" i="1"/>
  <c r="Z698" i="1"/>
  <c r="W699" i="1"/>
  <c r="Y700" i="1"/>
  <c r="Z701" i="1"/>
  <c r="Z702" i="1"/>
  <c r="Z704" i="1"/>
  <c r="AG705" i="1"/>
  <c r="S709" i="1"/>
  <c r="Y711" i="1"/>
  <c r="D725" i="1"/>
  <c r="F726" i="1"/>
  <c r="D727" i="1"/>
  <c r="G685" i="1"/>
  <c r="E689" i="1"/>
  <c r="Y698" i="1"/>
  <c r="X700" i="1"/>
  <c r="Y701" i="1"/>
  <c r="Y702" i="1"/>
  <c r="AH706" i="1"/>
  <c r="E726" i="1"/>
  <c r="M671" i="1"/>
  <c r="Y677" i="1"/>
  <c r="AH680" i="1"/>
  <c r="F685" i="1"/>
  <c r="D689" i="1"/>
  <c r="X698" i="1"/>
  <c r="AH699" i="1"/>
  <c r="W700" i="1"/>
  <c r="X701" i="1"/>
  <c r="X702" i="1"/>
  <c r="AG706" i="1"/>
  <c r="W711" i="1"/>
  <c r="G716" i="1"/>
  <c r="J679" i="1"/>
  <c r="Z670" i="1"/>
  <c r="AD671" i="1"/>
  <c r="AA673" i="1"/>
  <c r="AB674" i="1"/>
  <c r="Z675" i="1"/>
  <c r="AB676" i="1"/>
  <c r="AH677" i="1"/>
  <c r="I679" i="1"/>
  <c r="J681" i="1"/>
  <c r="I682" i="1"/>
  <c r="H683" i="1"/>
  <c r="H684" i="1"/>
  <c r="T685" i="1"/>
  <c r="O687" i="1"/>
  <c r="T689" i="1"/>
  <c r="E691" i="1"/>
  <c r="G694" i="1"/>
  <c r="Y696" i="1"/>
  <c r="J700" i="1"/>
  <c r="AH701" i="1"/>
  <c r="AH702" i="1"/>
  <c r="H706" i="1"/>
  <c r="J707" i="1"/>
  <c r="P708" i="1"/>
  <c r="AH709" i="1"/>
  <c r="X710" i="1"/>
  <c r="E713" i="1"/>
  <c r="G714" i="1"/>
  <c r="G723" i="1"/>
  <c r="O730" i="1"/>
  <c r="P731" i="1"/>
  <c r="N732" i="1"/>
  <c r="AD669" i="1"/>
  <c r="Y670" i="1"/>
  <c r="AC671" i="1"/>
  <c r="AD672" i="1"/>
  <c r="Z673" i="1"/>
  <c r="AA674" i="1"/>
  <c r="Y675" i="1"/>
  <c r="AA676" i="1"/>
  <c r="AG677" i="1"/>
  <c r="H679" i="1"/>
  <c r="J680" i="1"/>
  <c r="G683" i="1"/>
  <c r="G684" i="1"/>
  <c r="S685" i="1"/>
  <c r="S689" i="1"/>
  <c r="D691" i="1"/>
  <c r="T693" i="1"/>
  <c r="F694" i="1"/>
  <c r="X696" i="1"/>
  <c r="W697" i="1"/>
  <c r="I700" i="1"/>
  <c r="J701" i="1"/>
  <c r="AH703" i="1"/>
  <c r="I707" i="1"/>
  <c r="J712" i="1"/>
  <c r="AD719" i="1"/>
  <c r="AD720" i="1"/>
  <c r="AD729" i="1"/>
  <c r="AC669" i="1"/>
  <c r="X670" i="1"/>
  <c r="AB671" i="1"/>
  <c r="AC672" i="1"/>
  <c r="G679" i="1"/>
  <c r="I680" i="1"/>
  <c r="R685" i="1"/>
  <c r="R689" i="1"/>
  <c r="T690" i="1"/>
  <c r="S693" i="1"/>
  <c r="AD695" i="1"/>
  <c r="J699" i="1"/>
  <c r="H700" i="1"/>
  <c r="I701" i="1"/>
  <c r="J702" i="1"/>
  <c r="J703" i="1"/>
  <c r="AD708" i="1"/>
  <c r="I712" i="1"/>
  <c r="T714" i="1"/>
  <c r="R716" i="1"/>
  <c r="AD717" i="1"/>
  <c r="O718" i="1"/>
  <c r="AC719" i="1"/>
  <c r="AC720" i="1"/>
  <c r="AG721" i="1"/>
  <c r="T723" i="1"/>
  <c r="P725" i="1"/>
  <c r="Q726" i="1"/>
  <c r="P727" i="1"/>
  <c r="S728" i="1"/>
  <c r="AC729" i="1"/>
  <c r="AD730" i="1"/>
  <c r="AD731" i="1"/>
  <c r="AD732" i="1"/>
  <c r="AB669" i="1"/>
  <c r="W670" i="1"/>
  <c r="AA671" i="1"/>
  <c r="AB672" i="1"/>
  <c r="X673" i="1"/>
  <c r="W675" i="1"/>
  <c r="Y676" i="1"/>
  <c r="J678" i="1"/>
  <c r="F679" i="1"/>
  <c r="H680" i="1"/>
  <c r="G681" i="1"/>
  <c r="F682" i="1"/>
  <c r="T683" i="1"/>
  <c r="T684" i="1"/>
  <c r="Q685" i="1"/>
  <c r="AC687" i="1"/>
  <c r="O688" i="1"/>
  <c r="Q689" i="1"/>
  <c r="S690" i="1"/>
  <c r="T691" i="1"/>
  <c r="O692" i="1"/>
  <c r="R693" i="1"/>
  <c r="T694" i="1"/>
  <c r="AC695" i="1"/>
  <c r="AH696" i="1"/>
  <c r="AH697" i="1"/>
  <c r="I699" i="1"/>
  <c r="G700" i="1"/>
  <c r="H701" i="1"/>
  <c r="I702" i="1"/>
  <c r="I703" i="1"/>
  <c r="J704" i="1"/>
  <c r="H705" i="1"/>
  <c r="E706" i="1"/>
  <c r="T707" i="1"/>
  <c r="AC708" i="1"/>
  <c r="J710" i="1"/>
  <c r="J711" i="1"/>
  <c r="H712" i="1"/>
  <c r="T713" i="1"/>
  <c r="S714" i="1"/>
  <c r="T715" i="1"/>
  <c r="AC717" i="1"/>
  <c r="N718" i="1"/>
  <c r="AB719" i="1"/>
  <c r="AB720" i="1"/>
  <c r="S723" i="1"/>
  <c r="T724" i="1"/>
  <c r="O725" i="1"/>
  <c r="O727" i="1"/>
  <c r="AB729" i="1"/>
  <c r="AC730" i="1"/>
  <c r="AC731" i="1"/>
  <c r="AC732" i="1"/>
  <c r="AA669" i="1"/>
  <c r="Z671" i="1"/>
  <c r="AA672" i="1"/>
  <c r="X676" i="1"/>
  <c r="I678" i="1"/>
  <c r="E679" i="1"/>
  <c r="G680" i="1"/>
  <c r="E682" i="1"/>
  <c r="S683" i="1"/>
  <c r="S684" i="1"/>
  <c r="P685" i="1"/>
  <c r="AD686" i="1"/>
  <c r="AB687" i="1"/>
  <c r="N688" i="1"/>
  <c r="P689" i="1"/>
  <c r="R690" i="1"/>
  <c r="S691" i="1"/>
  <c r="N692" i="1"/>
  <c r="Q693" i="1"/>
  <c r="S694" i="1"/>
  <c r="AB695" i="1"/>
  <c r="AG696" i="1"/>
  <c r="H699" i="1"/>
  <c r="F700" i="1"/>
  <c r="G701" i="1"/>
  <c r="H702" i="1"/>
  <c r="H703" i="1"/>
  <c r="I704" i="1"/>
  <c r="D706" i="1"/>
  <c r="S707" i="1"/>
  <c r="AB708" i="1"/>
  <c r="I710" i="1"/>
  <c r="I711" i="1"/>
  <c r="G712" i="1"/>
  <c r="S713" i="1"/>
  <c r="R714" i="1"/>
  <c r="S715" i="1"/>
  <c r="AD716" i="1"/>
  <c r="AB717" i="1"/>
  <c r="AA719" i="1"/>
  <c r="AA720" i="1"/>
  <c r="R723" i="1"/>
  <c r="S724" i="1"/>
  <c r="AD726" i="1"/>
  <c r="AD728" i="1"/>
  <c r="AA729" i="1"/>
  <c r="AB730" i="1"/>
  <c r="AB731" i="1"/>
  <c r="AB732" i="1"/>
  <c r="Z669" i="1"/>
  <c r="AH670" i="1"/>
  <c r="Y671" i="1"/>
  <c r="Z672" i="1"/>
  <c r="AH673" i="1"/>
  <c r="I675" i="1"/>
  <c r="AH675" i="1"/>
  <c r="D679" i="1"/>
  <c r="F680" i="1"/>
  <c r="T681" i="1"/>
  <c r="R683" i="1"/>
  <c r="R684" i="1"/>
  <c r="O685" i="1"/>
  <c r="AC686" i="1"/>
  <c r="AA687" i="1"/>
  <c r="O689" i="1"/>
  <c r="Q690" i="1"/>
  <c r="R691" i="1"/>
  <c r="P693" i="1"/>
  <c r="R694" i="1"/>
  <c r="AA695" i="1"/>
  <c r="J698" i="1"/>
  <c r="G699" i="1"/>
  <c r="E700" i="1"/>
  <c r="F701" i="1"/>
  <c r="G702" i="1"/>
  <c r="G703" i="1"/>
  <c r="H704" i="1"/>
  <c r="T705" i="1"/>
  <c r="R707" i="1"/>
  <c r="AA708" i="1"/>
  <c r="H710" i="1"/>
  <c r="H711" i="1"/>
  <c r="F712" i="1"/>
  <c r="R713" i="1"/>
  <c r="Q714" i="1"/>
  <c r="R715" i="1"/>
  <c r="AC716" i="1"/>
  <c r="AA717" i="1"/>
  <c r="AD718" i="1"/>
  <c r="Z719" i="1"/>
  <c r="Z720" i="1"/>
  <c r="Q723" i="1"/>
  <c r="R724" i="1"/>
  <c r="AD725" i="1"/>
  <c r="AC726" i="1"/>
  <c r="AD727" i="1"/>
  <c r="AC728" i="1"/>
  <c r="Z729" i="1"/>
  <c r="AA730" i="1"/>
  <c r="AA731" i="1"/>
  <c r="AA732" i="1"/>
  <c r="AG670" i="1"/>
  <c r="X671" i="1"/>
  <c r="Y672" i="1"/>
  <c r="AG673" i="1"/>
  <c r="AH676" i="1"/>
  <c r="E680" i="1"/>
  <c r="Q713" i="1"/>
  <c r="P723" i="1"/>
  <c r="Q724" i="1"/>
  <c r="AC725" i="1"/>
  <c r="AB728" i="1"/>
  <c r="Y729" i="1"/>
  <c r="Z731" i="1"/>
  <c r="Z732" i="1"/>
  <c r="AA686" i="1"/>
  <c r="I697" i="1"/>
  <c r="H698" i="1"/>
  <c r="D701" i="1"/>
  <c r="E703" i="1"/>
  <c r="P707" i="1"/>
  <c r="P713" i="1"/>
  <c r="O714" i="1"/>
  <c r="AB725" i="1"/>
  <c r="X729" i="1"/>
  <c r="Y731" i="1"/>
  <c r="Y732" i="1"/>
  <c r="AH671" i="1"/>
  <c r="AH672" i="1"/>
  <c r="Z686" i="1"/>
  <c r="AH695" i="1"/>
  <c r="H697" i="1"/>
  <c r="T699" i="1"/>
  <c r="D703" i="1"/>
  <c r="O707" i="1"/>
  <c r="O713" i="1"/>
  <c r="N714" i="1"/>
  <c r="O715" i="1"/>
  <c r="Z716" i="1"/>
  <c r="X717" i="1"/>
  <c r="AH720" i="1"/>
  <c r="AA725" i="1"/>
  <c r="X731" i="1"/>
  <c r="X732" i="1"/>
  <c r="AD690" i="1"/>
  <c r="AD693" i="1"/>
  <c r="S699" i="1"/>
  <c r="Y716" i="1"/>
  <c r="Z725" i="1"/>
  <c r="H671" i="1"/>
  <c r="J672" i="1"/>
  <c r="J673" i="1"/>
  <c r="H674" i="1"/>
  <c r="G676" i="1"/>
  <c r="P678" i="1"/>
  <c r="AB684" i="1"/>
  <c r="Z688" i="1"/>
  <c r="AB689" i="1"/>
  <c r="AC690" i="1"/>
  <c r="AC693" i="1"/>
  <c r="T697" i="1"/>
  <c r="S698" i="1"/>
  <c r="R699" i="1"/>
  <c r="S701" i="1"/>
  <c r="R702" i="1"/>
  <c r="AD713" i="1"/>
  <c r="AD714" i="1"/>
  <c r="AD715" i="1"/>
  <c r="X716" i="1"/>
  <c r="AH717" i="1"/>
  <c r="AB724" i="1"/>
  <c r="Y725" i="1"/>
  <c r="AH731" i="1"/>
  <c r="AH732" i="1"/>
  <c r="G671" i="1"/>
  <c r="I672" i="1"/>
  <c r="I673" i="1"/>
  <c r="G674" i="1"/>
  <c r="F676" i="1"/>
  <c r="R677" i="1"/>
  <c r="O678" i="1"/>
  <c r="P679" i="1"/>
  <c r="Q680" i="1"/>
  <c r="AD681" i="1"/>
  <c r="AD682" i="1"/>
  <c r="AD683" i="1"/>
  <c r="AA684" i="1"/>
  <c r="AB685" i="1"/>
  <c r="J687" i="1"/>
  <c r="AH687" i="1"/>
  <c r="Y688" i="1"/>
  <c r="AA689" i="1"/>
  <c r="AB690" i="1"/>
  <c r="AA691" i="1"/>
  <c r="Y692" i="1"/>
  <c r="AB693" i="1"/>
  <c r="AH694" i="1"/>
  <c r="I696" i="1"/>
  <c r="S697" i="1"/>
  <c r="R698" i="1"/>
  <c r="Q699" i="1"/>
  <c r="Q700" i="1"/>
  <c r="R701" i="1"/>
  <c r="Q702" i="1"/>
  <c r="S703" i="1"/>
  <c r="T704" i="1"/>
  <c r="AD705" i="1"/>
  <c r="AD706" i="1"/>
  <c r="AC707" i="1"/>
  <c r="AH708" i="1"/>
  <c r="T710" i="1"/>
  <c r="R711" i="1"/>
  <c r="AD712" i="1"/>
  <c r="AC713" i="1"/>
  <c r="AC714" i="1"/>
  <c r="AC715" i="1"/>
  <c r="W716" i="1"/>
  <c r="AG717" i="1"/>
  <c r="J720" i="1"/>
  <c r="I721" i="1"/>
  <c r="AD722" i="1"/>
  <c r="AA724" i="1"/>
  <c r="X725" i="1"/>
  <c r="J730" i="1"/>
  <c r="AH730" i="1"/>
  <c r="AG731" i="1"/>
  <c r="H672" i="1"/>
  <c r="T675" i="1"/>
  <c r="AC681" i="1"/>
  <c r="AC682" i="1"/>
  <c r="AC683" i="1"/>
  <c r="I687" i="1"/>
  <c r="AA690" i="1"/>
  <c r="AA693" i="1"/>
  <c r="AC705" i="1"/>
  <c r="S710" i="1"/>
  <c r="AC712" i="1"/>
  <c r="AB713" i="1"/>
  <c r="AB714" i="1"/>
  <c r="AB715" i="1"/>
  <c r="AC722" i="1"/>
  <c r="I730" i="1"/>
  <c r="E671" i="1"/>
  <c r="G672" i="1"/>
  <c r="G673" i="1"/>
  <c r="E674" i="1"/>
  <c r="S675" i="1"/>
  <c r="AD678" i="1"/>
  <c r="AB681" i="1"/>
  <c r="AB682" i="1"/>
  <c r="AB683" i="1"/>
  <c r="Y684" i="1"/>
  <c r="H687" i="1"/>
  <c r="Y689" i="1"/>
  <c r="Z690" i="1"/>
  <c r="Z693" i="1"/>
  <c r="Q697" i="1"/>
  <c r="P698" i="1"/>
  <c r="AD699" i="1"/>
  <c r="P701" i="1"/>
  <c r="O702" i="1"/>
  <c r="R704" i="1"/>
  <c r="AB705" i="1"/>
  <c r="AB706" i="1"/>
  <c r="R710" i="1"/>
  <c r="AB712" i="1"/>
  <c r="AA713" i="1"/>
  <c r="AA714" i="1"/>
  <c r="AA715" i="1"/>
  <c r="J718" i="1"/>
  <c r="H720" i="1"/>
  <c r="G721" i="1"/>
  <c r="AB722" i="1"/>
  <c r="I729" i="1"/>
  <c r="H730" i="1"/>
  <c r="J731" i="1"/>
  <c r="J732" i="1"/>
  <c r="F672" i="1"/>
  <c r="D674" i="1"/>
  <c r="R675" i="1"/>
  <c r="T676" i="1"/>
  <c r="O677" i="1"/>
  <c r="AC678" i="1"/>
  <c r="AD679" i="1"/>
  <c r="AD680" i="1"/>
  <c r="AA681" i="1"/>
  <c r="AA682" i="1"/>
  <c r="AA683" i="1"/>
  <c r="X684" i="1"/>
  <c r="Y685" i="1"/>
  <c r="G687" i="1"/>
  <c r="J688" i="1"/>
  <c r="AH688" i="1"/>
  <c r="X689" i="1"/>
  <c r="Y690" i="1"/>
  <c r="Y693" i="1"/>
  <c r="J695" i="1"/>
  <c r="T696" i="1"/>
  <c r="P697" i="1"/>
  <c r="O698" i="1"/>
  <c r="AC699" i="1"/>
  <c r="O701" i="1"/>
  <c r="N702" i="1"/>
  <c r="P703" i="1"/>
  <c r="Q704" i="1"/>
  <c r="AA705" i="1"/>
  <c r="AA706" i="1"/>
  <c r="J709" i="1"/>
  <c r="Q710" i="1"/>
  <c r="AA712" i="1"/>
  <c r="Z713" i="1"/>
  <c r="Z714" i="1"/>
  <c r="Z715" i="1"/>
  <c r="J717" i="1"/>
  <c r="I718" i="1"/>
  <c r="J719" i="1"/>
  <c r="G720" i="1"/>
  <c r="F721" i="1"/>
  <c r="AA722" i="1"/>
  <c r="X723" i="1"/>
  <c r="AG725" i="1"/>
  <c r="J727" i="1"/>
  <c r="AH727" i="1"/>
  <c r="H729" i="1"/>
  <c r="G730" i="1"/>
  <c r="I731" i="1"/>
  <c r="I732" i="1"/>
  <c r="T671" i="1"/>
  <c r="E672" i="1"/>
  <c r="T673" i="1"/>
  <c r="Q675" i="1"/>
  <c r="S676" i="1"/>
  <c r="AB678" i="1"/>
  <c r="AC679" i="1"/>
  <c r="AC680" i="1"/>
  <c r="Z681" i="1"/>
  <c r="Z682" i="1"/>
  <c r="Z683" i="1"/>
  <c r="F687" i="1"/>
  <c r="I688" i="1"/>
  <c r="X690" i="1"/>
  <c r="J692" i="1"/>
  <c r="AH692" i="1"/>
  <c r="X693" i="1"/>
  <c r="I695" i="1"/>
  <c r="S696" i="1"/>
  <c r="O697" i="1"/>
  <c r="AB699" i="1"/>
  <c r="AD700" i="1"/>
  <c r="Z705" i="1"/>
  <c r="Z706" i="1"/>
  <c r="J708" i="1"/>
  <c r="I709" i="1"/>
  <c r="P710" i="1"/>
  <c r="AD711" i="1"/>
  <c r="Z712" i="1"/>
  <c r="Y713" i="1"/>
  <c r="Y714" i="1"/>
  <c r="Y715" i="1"/>
  <c r="I717" i="1"/>
  <c r="H718" i="1"/>
  <c r="I719" i="1"/>
  <c r="F720" i="1"/>
  <c r="Z722" i="1"/>
  <c r="J725" i="1"/>
  <c r="I727" i="1"/>
  <c r="AG727" i="1"/>
  <c r="G729" i="1"/>
  <c r="F730" i="1"/>
  <c r="H731" i="1"/>
  <c r="H732" i="1"/>
  <c r="T604" i="1"/>
  <c r="S605" i="1"/>
  <c r="Q606" i="1"/>
  <c r="AB608" i="1"/>
  <c r="S612" i="1"/>
  <c r="S613" i="1"/>
  <c r="R616" i="1"/>
  <c r="Q620" i="1"/>
  <c r="T621" i="1"/>
  <c r="S622" i="1"/>
  <c r="T623" i="1"/>
  <c r="E624" i="1"/>
  <c r="H625" i="1"/>
  <c r="AG625" i="1"/>
  <c r="I628" i="1"/>
  <c r="G629" i="1"/>
  <c r="G630" i="1"/>
  <c r="C631" i="1"/>
  <c r="E633" i="1"/>
  <c r="G634" i="1"/>
  <c r="H635" i="1"/>
  <c r="H636" i="1"/>
  <c r="I637" i="1"/>
  <c r="AH638" i="1"/>
  <c r="G640" i="1"/>
  <c r="D641" i="1"/>
  <c r="H642" i="1"/>
  <c r="H643" i="1"/>
  <c r="I644" i="1"/>
  <c r="I646" i="1"/>
  <c r="T649" i="1"/>
  <c r="Q650" i="1"/>
  <c r="AD651" i="1"/>
  <c r="Y652" i="1"/>
  <c r="J654" i="1"/>
  <c r="T655" i="1"/>
  <c r="Z656" i="1"/>
  <c r="G658" i="1"/>
  <c r="T659" i="1"/>
  <c r="T660" i="1"/>
  <c r="R661" i="1"/>
  <c r="P662" i="1"/>
  <c r="AD663" i="1"/>
  <c r="Y664" i="1"/>
  <c r="H667" i="1"/>
  <c r="G668" i="1"/>
  <c r="G669" i="1"/>
  <c r="J610" i="1"/>
  <c r="S623" i="1"/>
  <c r="G625" i="1"/>
  <c r="J627" i="1"/>
  <c r="J603" i="1"/>
  <c r="I610" i="1"/>
  <c r="R623" i="1"/>
  <c r="F625" i="1"/>
  <c r="I627" i="1"/>
  <c r="I603" i="1"/>
  <c r="Q604" i="1"/>
  <c r="P605" i="1"/>
  <c r="AB607" i="1"/>
  <c r="Y608" i="1"/>
  <c r="H610" i="1"/>
  <c r="P613" i="1"/>
  <c r="R615" i="1"/>
  <c r="O616" i="1"/>
  <c r="R618" i="1"/>
  <c r="R619" i="1"/>
  <c r="Q621" i="1"/>
  <c r="P622" i="1"/>
  <c r="Q623" i="1"/>
  <c r="E625" i="1"/>
  <c r="I626" i="1"/>
  <c r="H627" i="1"/>
  <c r="T646" i="1"/>
  <c r="AA651" i="1"/>
  <c r="G654" i="1"/>
  <c r="Q655" i="1"/>
  <c r="D658" i="1"/>
  <c r="H603" i="1"/>
  <c r="G610" i="1"/>
  <c r="Q618" i="1"/>
  <c r="Q619" i="1"/>
  <c r="P621" i="1"/>
  <c r="O622" i="1"/>
  <c r="P623" i="1"/>
  <c r="D625" i="1"/>
  <c r="H626" i="1"/>
  <c r="G627" i="1"/>
  <c r="R631" i="1"/>
  <c r="E637" i="1"/>
  <c r="D642" i="1"/>
  <c r="S646" i="1"/>
  <c r="Q647" i="1"/>
  <c r="Z651" i="1"/>
  <c r="P655" i="1"/>
  <c r="P659" i="1"/>
  <c r="P660" i="1"/>
  <c r="R646" i="1"/>
  <c r="P647" i="1"/>
  <c r="Y651" i="1"/>
  <c r="J653" i="1"/>
  <c r="O660" i="1"/>
  <c r="Q646" i="1"/>
  <c r="AD618" i="1"/>
  <c r="AD631" i="1"/>
  <c r="AD647" i="1"/>
  <c r="AD660" i="1"/>
  <c r="AD604" i="1"/>
  <c r="AD603" i="1"/>
  <c r="AC604" i="1"/>
  <c r="AA605" i="1"/>
  <c r="Y606" i="1"/>
  <c r="AH607" i="1"/>
  <c r="I609" i="1"/>
  <c r="R610" i="1"/>
  <c r="Z612" i="1"/>
  <c r="AA613" i="1"/>
  <c r="AD615" i="1"/>
  <c r="AA616" i="1"/>
  <c r="AC618" i="1"/>
  <c r="AC619" i="1"/>
  <c r="AA620" i="1"/>
  <c r="AC621" i="1"/>
  <c r="AD622" i="1"/>
  <c r="AB623" i="1"/>
  <c r="N624" i="1"/>
  <c r="R625" i="1"/>
  <c r="S626" i="1"/>
  <c r="P628" i="1"/>
  <c r="N629" i="1"/>
  <c r="AC631" i="1"/>
  <c r="O633" i="1"/>
  <c r="P634" i="1"/>
  <c r="O635" i="1"/>
  <c r="P639" i="1"/>
  <c r="N641" i="1"/>
  <c r="R642" i="1"/>
  <c r="P643" i="1"/>
  <c r="R644" i="1"/>
  <c r="Q645" i="1"/>
  <c r="AD646" i="1"/>
  <c r="AC647" i="1"/>
  <c r="Z649" i="1"/>
  <c r="Z650" i="1"/>
  <c r="AG651" i="1"/>
  <c r="S653" i="1"/>
  <c r="Q654" i="1"/>
  <c r="AB655" i="1"/>
  <c r="Q658" i="1"/>
  <c r="AB659" i="1"/>
  <c r="AC660" i="1"/>
  <c r="Y661" i="1"/>
  <c r="Y662" i="1"/>
  <c r="G665" i="1"/>
  <c r="R666" i="1"/>
  <c r="Q667" i="1"/>
  <c r="P668" i="1"/>
  <c r="AD619" i="1"/>
  <c r="AC603" i="1"/>
  <c r="AB604" i="1"/>
  <c r="Z605" i="1"/>
  <c r="AG607" i="1"/>
  <c r="H609" i="1"/>
  <c r="Q610" i="1"/>
  <c r="AD611" i="1"/>
  <c r="Y612" i="1"/>
  <c r="Z613" i="1"/>
  <c r="AD614" i="1"/>
  <c r="AC615" i="1"/>
  <c r="Z616" i="1"/>
  <c r="AD617" i="1"/>
  <c r="AB618" i="1"/>
  <c r="AB619" i="1"/>
  <c r="Z620" i="1"/>
  <c r="AB621" i="1"/>
  <c r="AC622" i="1"/>
  <c r="AA623" i="1"/>
  <c r="M624" i="1"/>
  <c r="Q625" i="1"/>
  <c r="R626" i="1"/>
  <c r="Q627" i="1"/>
  <c r="O628" i="1"/>
  <c r="M629" i="1"/>
  <c r="AD630" i="1"/>
  <c r="AB631" i="1"/>
  <c r="AD632" i="1"/>
  <c r="O634" i="1"/>
  <c r="Q637" i="1"/>
  <c r="T638" i="1"/>
  <c r="O639" i="1"/>
  <c r="AD640" i="1"/>
  <c r="Q642" i="1"/>
  <c r="O643" i="1"/>
  <c r="Q644" i="1"/>
  <c r="P645" i="1"/>
  <c r="AC646" i="1"/>
  <c r="AB647" i="1"/>
  <c r="AD648" i="1"/>
  <c r="Y649" i="1"/>
  <c r="AA655" i="1"/>
  <c r="T657" i="1"/>
  <c r="AA659" i="1"/>
  <c r="AB660" i="1"/>
  <c r="X661" i="1"/>
  <c r="J664" i="1"/>
  <c r="Q666" i="1"/>
  <c r="P667" i="1"/>
  <c r="O668" i="1"/>
  <c r="J609" i="1"/>
  <c r="AB603" i="1"/>
  <c r="AA604" i="1"/>
  <c r="Y605" i="1"/>
  <c r="G609" i="1"/>
  <c r="P610" i="1"/>
  <c r="AC611" i="1"/>
  <c r="X612" i="1"/>
  <c r="Y613" i="1"/>
  <c r="AC614" i="1"/>
  <c r="AB615" i="1"/>
  <c r="Y616" i="1"/>
  <c r="AC617" i="1"/>
  <c r="AA618" i="1"/>
  <c r="AA619" i="1"/>
  <c r="Y620" i="1"/>
  <c r="AA621" i="1"/>
  <c r="AB622" i="1"/>
  <c r="P625" i="1"/>
  <c r="AC630" i="1"/>
  <c r="AA631" i="1"/>
  <c r="AC632" i="1"/>
  <c r="AD633" i="1"/>
  <c r="AD635" i="1"/>
  <c r="AD636" i="1"/>
  <c r="S638" i="1"/>
  <c r="AC640" i="1"/>
  <c r="AD641" i="1"/>
  <c r="P642" i="1"/>
  <c r="AB646" i="1"/>
  <c r="AA647" i="1"/>
  <c r="AC648" i="1"/>
  <c r="J652" i="1"/>
  <c r="Q653" i="1"/>
  <c r="AD654" i="1"/>
  <c r="Z655" i="1"/>
  <c r="S657" i="1"/>
  <c r="AD658" i="1"/>
  <c r="Z659" i="1"/>
  <c r="AA660" i="1"/>
  <c r="I664" i="1"/>
  <c r="T665" i="1"/>
  <c r="P666" i="1"/>
  <c r="O667" i="1"/>
  <c r="N668" i="1"/>
  <c r="AA603" i="1"/>
  <c r="Z604" i="1"/>
  <c r="J607" i="1"/>
  <c r="J608" i="1"/>
  <c r="F609" i="1"/>
  <c r="AB611" i="1"/>
  <c r="X613" i="1"/>
  <c r="AB614" i="1"/>
  <c r="AA615" i="1"/>
  <c r="X616" i="1"/>
  <c r="AB617" i="1"/>
  <c r="Z618" i="1"/>
  <c r="Z619" i="1"/>
  <c r="X620" i="1"/>
  <c r="Z621" i="1"/>
  <c r="AA622" i="1"/>
  <c r="Y623" i="1"/>
  <c r="AD624" i="1"/>
  <c r="O625" i="1"/>
  <c r="P626" i="1"/>
  <c r="O627" i="1"/>
  <c r="AD628" i="1"/>
  <c r="AD629" i="1"/>
  <c r="AB630" i="1"/>
  <c r="Z631" i="1"/>
  <c r="AB632" i="1"/>
  <c r="AC633" i="1"/>
  <c r="AD634" i="1"/>
  <c r="AC635" i="1"/>
  <c r="AC636" i="1"/>
  <c r="O637" i="1"/>
  <c r="R638" i="1"/>
  <c r="AD639" i="1"/>
  <c r="AB640" i="1"/>
  <c r="AC641" i="1"/>
  <c r="O642" i="1"/>
  <c r="O644" i="1"/>
  <c r="AD645" i="1"/>
  <c r="AA646" i="1"/>
  <c r="Z647" i="1"/>
  <c r="AB648" i="1"/>
  <c r="AH649" i="1"/>
  <c r="AH650" i="1"/>
  <c r="I652" i="1"/>
  <c r="AC654" i="1"/>
  <c r="Y655" i="1"/>
  <c r="R657" i="1"/>
  <c r="AC658" i="1"/>
  <c r="Z660" i="1"/>
  <c r="H664" i="1"/>
  <c r="S665" i="1"/>
  <c r="Z603" i="1"/>
  <c r="Y604" i="1"/>
  <c r="AH605" i="1"/>
  <c r="I607" i="1"/>
  <c r="I608" i="1"/>
  <c r="E609" i="1"/>
  <c r="AD610" i="1"/>
  <c r="AA611" i="1"/>
  <c r="AH612" i="1"/>
  <c r="W613" i="1"/>
  <c r="AA614" i="1"/>
  <c r="Z615" i="1"/>
  <c r="W616" i="1"/>
  <c r="AA617" i="1"/>
  <c r="Y618" i="1"/>
  <c r="Y619" i="1"/>
  <c r="Y621" i="1"/>
  <c r="Z622" i="1"/>
  <c r="AC624" i="1"/>
  <c r="O626" i="1"/>
  <c r="AC628" i="1"/>
  <c r="AC629" i="1"/>
  <c r="AA630" i="1"/>
  <c r="Y631" i="1"/>
  <c r="AA632" i="1"/>
  <c r="AB633" i="1"/>
  <c r="AC634" i="1"/>
  <c r="AB635" i="1"/>
  <c r="AB636" i="1"/>
  <c r="N637" i="1"/>
  <c r="Q638" i="1"/>
  <c r="AC639" i="1"/>
  <c r="AA640" i="1"/>
  <c r="AB641" i="1"/>
  <c r="AD643" i="1"/>
  <c r="AC645" i="1"/>
  <c r="Z646" i="1"/>
  <c r="Y647" i="1"/>
  <c r="AA648" i="1"/>
  <c r="H652" i="1"/>
  <c r="AB654" i="1"/>
  <c r="X655" i="1"/>
  <c r="Q657" i="1"/>
  <c r="AB658" i="1"/>
  <c r="X659" i="1"/>
  <c r="Y660" i="1"/>
  <c r="AG662" i="1"/>
  <c r="G664" i="1"/>
  <c r="R665" i="1"/>
  <c r="AD666" i="1"/>
  <c r="AD667" i="1"/>
  <c r="AD668" i="1"/>
  <c r="Y603" i="1"/>
  <c r="X604" i="1"/>
  <c r="AG605" i="1"/>
  <c r="H607" i="1"/>
  <c r="D609" i="1"/>
  <c r="AC610" i="1"/>
  <c r="Z611" i="1"/>
  <c r="AG612" i="1"/>
  <c r="Z614" i="1"/>
  <c r="Y615" i="1"/>
  <c r="Z617" i="1"/>
  <c r="X618" i="1"/>
  <c r="X619" i="1"/>
  <c r="X621" i="1"/>
  <c r="Y622" i="1"/>
  <c r="AB624" i="1"/>
  <c r="AD625" i="1"/>
  <c r="AD627" i="1"/>
  <c r="AB628" i="1"/>
  <c r="AB629" i="1"/>
  <c r="Z630" i="1"/>
  <c r="X631" i="1"/>
  <c r="Z632" i="1"/>
  <c r="AA633" i="1"/>
  <c r="AB634" i="1"/>
  <c r="AA635" i="1"/>
  <c r="AA636" i="1"/>
  <c r="P638" i="1"/>
  <c r="AB639" i="1"/>
  <c r="Z640" i="1"/>
  <c r="AA641" i="1"/>
  <c r="AD642" i="1"/>
  <c r="AC643" i="1"/>
  <c r="AB645" i="1"/>
  <c r="Y646" i="1"/>
  <c r="X647" i="1"/>
  <c r="Z648" i="1"/>
  <c r="J650" i="1"/>
  <c r="J651" i="1"/>
  <c r="AD653" i="1"/>
  <c r="AA654" i="1"/>
  <c r="P657" i="1"/>
  <c r="AA658" i="1"/>
  <c r="X660" i="1"/>
  <c r="J662" i="1"/>
  <c r="F664" i="1"/>
  <c r="Q665" i="1"/>
  <c r="AC666" i="1"/>
  <c r="AC667" i="1"/>
  <c r="AC668" i="1"/>
  <c r="AH623" i="1"/>
  <c r="AA624" i="1"/>
  <c r="AC627" i="1"/>
  <c r="AA629" i="1"/>
  <c r="Z633" i="1"/>
  <c r="AA634" i="1"/>
  <c r="AB667" i="1"/>
  <c r="AB668" i="1"/>
  <c r="AH622" i="1"/>
  <c r="AG623" i="1"/>
  <c r="Z624" i="1"/>
  <c r="AB627" i="1"/>
  <c r="Z629" i="1"/>
  <c r="X630" i="1"/>
  <c r="AH631" i="1"/>
  <c r="X632" i="1"/>
  <c r="Y633" i="1"/>
  <c r="Z634" i="1"/>
  <c r="Y635" i="1"/>
  <c r="AH640" i="1"/>
  <c r="Y641" i="1"/>
  <c r="X648" i="1"/>
  <c r="H650" i="1"/>
  <c r="H651" i="1"/>
  <c r="S652" i="1"/>
  <c r="AB653" i="1"/>
  <c r="Y658" i="1"/>
  <c r="AH660" i="1"/>
  <c r="G663" i="1"/>
  <c r="T664" i="1"/>
  <c r="AA667" i="1"/>
  <c r="AA668" i="1"/>
  <c r="AG604" i="1"/>
  <c r="E607" i="1"/>
  <c r="AH615" i="1"/>
  <c r="W617" i="1"/>
  <c r="J620" i="1"/>
  <c r="AH621" i="1"/>
  <c r="AG622" i="1"/>
  <c r="AF623" i="1"/>
  <c r="Y624" i="1"/>
  <c r="AA627" i="1"/>
  <c r="Y629" i="1"/>
  <c r="AG631" i="1"/>
  <c r="X633" i="1"/>
  <c r="Y634" i="1"/>
  <c r="X635" i="1"/>
  <c r="AG640" i="1"/>
  <c r="X641" i="1"/>
  <c r="AH646" i="1"/>
  <c r="G650" i="1"/>
  <c r="G651" i="1"/>
  <c r="R652" i="1"/>
  <c r="AA653" i="1"/>
  <c r="J656" i="1"/>
  <c r="AD657" i="1"/>
  <c r="S664" i="1"/>
  <c r="Z667" i="1"/>
  <c r="Z668" i="1"/>
  <c r="I620" i="1"/>
  <c r="X624" i="1"/>
  <c r="Z627" i="1"/>
  <c r="X629" i="1"/>
  <c r="AH630" i="1"/>
  <c r="AF631" i="1"/>
  <c r="AH632" i="1"/>
  <c r="W633" i="1"/>
  <c r="X634" i="1"/>
  <c r="W635" i="1"/>
  <c r="W641" i="1"/>
  <c r="AH648" i="1"/>
  <c r="F650" i="1"/>
  <c r="Q652" i="1"/>
  <c r="Z653" i="1"/>
  <c r="AC657" i="1"/>
  <c r="R664" i="1"/>
  <c r="Y667" i="1"/>
  <c r="Y668" i="1"/>
  <c r="Y627" i="1"/>
  <c r="J641" i="1"/>
  <c r="AB602" i="1"/>
  <c r="J604" i="1"/>
  <c r="I605" i="1"/>
  <c r="F606" i="1"/>
  <c r="S607" i="1"/>
  <c r="O608" i="1"/>
  <c r="AG610" i="1"/>
  <c r="H612" i="1"/>
  <c r="G613" i="1"/>
  <c r="H614" i="1"/>
  <c r="I615" i="1"/>
  <c r="I616" i="1"/>
  <c r="H617" i="1"/>
  <c r="AG617" i="1"/>
  <c r="G620" i="1"/>
  <c r="J624" i="1"/>
  <c r="X627" i="1"/>
  <c r="AH629" i="1"/>
  <c r="J631" i="1"/>
  <c r="J633" i="1"/>
  <c r="AH633" i="1"/>
  <c r="I641" i="1"/>
  <c r="I647" i="1"/>
  <c r="J649" i="1"/>
  <c r="D650" i="1"/>
  <c r="S651" i="1"/>
  <c r="AD652" i="1"/>
  <c r="X653" i="1"/>
  <c r="H655" i="1"/>
  <c r="AH657" i="1"/>
  <c r="AD664" i="1"/>
  <c r="AH667" i="1"/>
  <c r="AH668" i="1"/>
  <c r="I624" i="1"/>
  <c r="I631" i="1"/>
  <c r="I633" i="1"/>
  <c r="H641" i="1"/>
  <c r="AC652" i="1"/>
  <c r="AD656" i="1"/>
  <c r="T662" i="1"/>
  <c r="AC664" i="1"/>
  <c r="T606" i="1"/>
  <c r="F617" i="1"/>
  <c r="J618" i="1"/>
  <c r="F619" i="1"/>
  <c r="T620" i="1"/>
  <c r="F621" i="1"/>
  <c r="G622" i="1"/>
  <c r="G623" i="1"/>
  <c r="H624" i="1"/>
  <c r="V625" i="1"/>
  <c r="AH627" i="1"/>
  <c r="J629" i="1"/>
  <c r="J630" i="1"/>
  <c r="H631" i="1"/>
  <c r="H632" i="1"/>
  <c r="H633" i="1"/>
  <c r="J634" i="1"/>
  <c r="AG636" i="1"/>
  <c r="W637" i="1"/>
  <c r="Y638" i="1"/>
  <c r="J640" i="1"/>
  <c r="G641" i="1"/>
  <c r="AG643" i="1"/>
  <c r="AG645" i="1"/>
  <c r="G647" i="1"/>
  <c r="I648" i="1"/>
  <c r="H649" i="1"/>
  <c r="T650" i="1"/>
  <c r="Q651" i="1"/>
  <c r="AB652" i="1"/>
  <c r="AH653" i="1"/>
  <c r="F655" i="1"/>
  <c r="AC656" i="1"/>
  <c r="J658" i="1"/>
  <c r="I659" i="1"/>
  <c r="E660" i="1"/>
  <c r="S662" i="1"/>
  <c r="P663" i="1"/>
  <c r="AB664" i="1"/>
  <c r="X665" i="1"/>
  <c r="J668" i="1"/>
  <c r="J669" i="1"/>
  <c r="Y602" i="1"/>
  <c r="G604" i="1"/>
  <c r="S606" i="1"/>
  <c r="P607" i="1"/>
  <c r="AD608" i="1"/>
  <c r="I611" i="1"/>
  <c r="E614" i="1"/>
  <c r="F615" i="1"/>
  <c r="T616" i="1"/>
  <c r="E617" i="1"/>
  <c r="I618" i="1"/>
  <c r="E619" i="1"/>
  <c r="S620" i="1"/>
  <c r="E621" i="1"/>
  <c r="F623" i="1"/>
  <c r="G624" i="1"/>
  <c r="J625" i="1"/>
  <c r="AH626" i="1"/>
  <c r="I629" i="1"/>
  <c r="I630" i="1"/>
  <c r="G631" i="1"/>
  <c r="G632" i="1"/>
  <c r="G633" i="1"/>
  <c r="I634" i="1"/>
  <c r="J635" i="1"/>
  <c r="J636" i="1"/>
  <c r="X638" i="1"/>
  <c r="I640" i="1"/>
  <c r="F641" i="1"/>
  <c r="J642" i="1"/>
  <c r="J643" i="1"/>
  <c r="AH644" i="1"/>
  <c r="F647" i="1"/>
  <c r="H648" i="1"/>
  <c r="G649" i="1"/>
  <c r="S650" i="1"/>
  <c r="P651" i="1"/>
  <c r="AA652" i="1"/>
  <c r="AG653" i="1"/>
  <c r="E655" i="1"/>
  <c r="AB656" i="1"/>
  <c r="I658" i="1"/>
  <c r="H659" i="1"/>
  <c r="D660" i="1"/>
  <c r="T661" i="1"/>
  <c r="R662" i="1"/>
  <c r="AA664" i="1"/>
  <c r="J667" i="1"/>
  <c r="I668" i="1"/>
  <c r="I669" i="1"/>
  <c r="X602" i="1"/>
  <c r="T605" i="1"/>
  <c r="R606" i="1"/>
  <c r="O607" i="1"/>
  <c r="AC608" i="1"/>
  <c r="H611" i="1"/>
  <c r="T612" i="1"/>
  <c r="T613" i="1"/>
  <c r="D614" i="1"/>
  <c r="E615" i="1"/>
  <c r="S616" i="1"/>
  <c r="D617" i="1"/>
  <c r="H618" i="1"/>
  <c r="R620" i="1"/>
  <c r="T622" i="1"/>
  <c r="F624" i="1"/>
  <c r="I625" i="1"/>
  <c r="AH625" i="1"/>
  <c r="J628" i="1"/>
  <c r="H629" i="1"/>
  <c r="H630" i="1"/>
  <c r="D631" i="1"/>
  <c r="F633" i="1"/>
  <c r="H634" i="1"/>
  <c r="I635" i="1"/>
  <c r="I636" i="1"/>
  <c r="J637" i="1"/>
  <c r="H640" i="1"/>
  <c r="E641" i="1"/>
  <c r="I642" i="1"/>
  <c r="I643" i="1"/>
  <c r="J644" i="1"/>
  <c r="J646" i="1"/>
  <c r="R650" i="1"/>
  <c r="Z652" i="1"/>
  <c r="AA656" i="1"/>
  <c r="H658" i="1"/>
  <c r="S661" i="1"/>
  <c r="Q662" i="1"/>
  <c r="Z664" i="1"/>
  <c r="AH665" i="1"/>
  <c r="I667" i="1"/>
  <c r="H668" i="1"/>
  <c r="H669" i="1"/>
  <c r="O546" i="1"/>
  <c r="N548" i="1"/>
  <c r="O549" i="1"/>
  <c r="O552" i="1"/>
  <c r="AA554" i="1"/>
  <c r="Z555" i="1"/>
  <c r="O557" i="1"/>
  <c r="P558" i="1"/>
  <c r="AC559" i="1"/>
  <c r="AH560" i="1"/>
  <c r="AH561" i="1"/>
  <c r="AH562" i="1"/>
  <c r="I564" i="1"/>
  <c r="AA571" i="1"/>
  <c r="W572" i="1"/>
  <c r="Y573" i="1"/>
  <c r="I576" i="1"/>
  <c r="I578" i="1"/>
  <c r="H579" i="1"/>
  <c r="E580" i="1"/>
  <c r="E582" i="1"/>
  <c r="G583" i="1"/>
  <c r="F584" i="1"/>
  <c r="F585" i="1"/>
  <c r="Z589" i="1"/>
  <c r="X591" i="1"/>
  <c r="AH594" i="1"/>
  <c r="AG595" i="1"/>
  <c r="AH597" i="1"/>
  <c r="J600" i="1"/>
  <c r="AH601" i="1"/>
  <c r="Z554" i="1"/>
  <c r="AG540" i="1"/>
  <c r="Y554" i="1"/>
  <c r="X555" i="1"/>
  <c r="G564" i="1"/>
  <c r="Y571" i="1"/>
  <c r="G578" i="1"/>
  <c r="F579" i="1"/>
  <c r="X589" i="1"/>
  <c r="AF540" i="1"/>
  <c r="H542" i="1"/>
  <c r="Z544" i="1"/>
  <c r="X554" i="1"/>
  <c r="W555" i="1"/>
  <c r="AD557" i="1"/>
  <c r="AH559" i="1"/>
  <c r="I563" i="1"/>
  <c r="F564" i="1"/>
  <c r="X571" i="1"/>
  <c r="J573" i="1"/>
  <c r="F576" i="1"/>
  <c r="F578" i="1"/>
  <c r="E579" i="1"/>
  <c r="W589" i="1"/>
  <c r="J598" i="1"/>
  <c r="G600" i="1"/>
  <c r="AH537" i="1"/>
  <c r="J540" i="1"/>
  <c r="I541" i="1"/>
  <c r="E542" i="1"/>
  <c r="O543" i="1"/>
  <c r="W544" i="1"/>
  <c r="Y545" i="1"/>
  <c r="AA546" i="1"/>
  <c r="Z548" i="1"/>
  <c r="Z549" i="1"/>
  <c r="Y550" i="1"/>
  <c r="Y551" i="1"/>
  <c r="Z552" i="1"/>
  <c r="X553" i="1"/>
  <c r="W556" i="1"/>
  <c r="AA557" i="1"/>
  <c r="Z558" i="1"/>
  <c r="J560" i="1"/>
  <c r="F561" i="1"/>
  <c r="G562" i="1"/>
  <c r="T563" i="1"/>
  <c r="S564" i="1"/>
  <c r="N565" i="1"/>
  <c r="N567" i="1"/>
  <c r="R568" i="1"/>
  <c r="R569" i="1"/>
  <c r="Z570" i="1"/>
  <c r="G573" i="1"/>
  <c r="H574" i="1"/>
  <c r="R575" i="1"/>
  <c r="T576" i="1"/>
  <c r="D577" i="1"/>
  <c r="S578" i="1"/>
  <c r="S579" i="1"/>
  <c r="Q580" i="1"/>
  <c r="N581" i="1"/>
  <c r="P583" i="1"/>
  <c r="P584" i="1"/>
  <c r="P585" i="1"/>
  <c r="J588" i="1"/>
  <c r="AF588" i="1"/>
  <c r="J590" i="1"/>
  <c r="H592" i="1"/>
  <c r="E593" i="1"/>
  <c r="G594" i="1"/>
  <c r="F596" i="1"/>
  <c r="E597" i="1"/>
  <c r="G598" i="1"/>
  <c r="H599" i="1"/>
  <c r="T600" i="1"/>
  <c r="D601" i="1"/>
  <c r="F602" i="1"/>
  <c r="H598" i="1"/>
  <c r="J539" i="1"/>
  <c r="I540" i="1"/>
  <c r="H541" i="1"/>
  <c r="D542" i="1"/>
  <c r="N543" i="1"/>
  <c r="V544" i="1"/>
  <c r="X545" i="1"/>
  <c r="Y552" i="1"/>
  <c r="J555" i="1"/>
  <c r="J556" i="1"/>
  <c r="Z557" i="1"/>
  <c r="Y558" i="1"/>
  <c r="I560" i="1"/>
  <c r="R564" i="1"/>
  <c r="AD566" i="1"/>
  <c r="Q568" i="1"/>
  <c r="J572" i="1"/>
  <c r="F573" i="1"/>
  <c r="Q575" i="1"/>
  <c r="S576" i="1"/>
  <c r="R578" i="1"/>
  <c r="R579" i="1"/>
  <c r="P580" i="1"/>
  <c r="P582" i="1"/>
  <c r="O584" i="1"/>
  <c r="AD586" i="1"/>
  <c r="I588" i="1"/>
  <c r="I590" i="1"/>
  <c r="G592" i="1"/>
  <c r="D593" i="1"/>
  <c r="F594" i="1"/>
  <c r="T595" i="1"/>
  <c r="F598" i="1"/>
  <c r="H540" i="1"/>
  <c r="I555" i="1"/>
  <c r="I556" i="1"/>
  <c r="Y557" i="1"/>
  <c r="H560" i="1"/>
  <c r="T561" i="1"/>
  <c r="T562" i="1"/>
  <c r="AD565" i="1"/>
  <c r="AC566" i="1"/>
  <c r="AD567" i="1"/>
  <c r="I572" i="1"/>
  <c r="E573" i="1"/>
  <c r="T574" i="1"/>
  <c r="P575" i="1"/>
  <c r="R576" i="1"/>
  <c r="T577" i="1"/>
  <c r="Q578" i="1"/>
  <c r="AD581" i="1"/>
  <c r="AC586" i="1"/>
  <c r="H588" i="1"/>
  <c r="J589" i="1"/>
  <c r="H590" i="1"/>
  <c r="S595" i="1"/>
  <c r="E598" i="1"/>
  <c r="R600" i="1"/>
  <c r="T601" i="1"/>
  <c r="T602" i="1"/>
  <c r="AB557" i="1"/>
  <c r="H573" i="1"/>
  <c r="S575" i="1"/>
  <c r="T578" i="1"/>
  <c r="I538" i="1"/>
  <c r="H539" i="1"/>
  <c r="G540" i="1"/>
  <c r="T541" i="1"/>
  <c r="T542" i="1"/>
  <c r="AH544" i="1"/>
  <c r="AH545" i="1"/>
  <c r="X546" i="1"/>
  <c r="AH552" i="1"/>
  <c r="H555" i="1"/>
  <c r="H556" i="1"/>
  <c r="AG556" i="1"/>
  <c r="X557" i="1"/>
  <c r="AH558" i="1"/>
  <c r="G560" i="1"/>
  <c r="S561" i="1"/>
  <c r="S562" i="1"/>
  <c r="Q563" i="1"/>
  <c r="AD564" i="1"/>
  <c r="AC565" i="1"/>
  <c r="AB566" i="1"/>
  <c r="AC567" i="1"/>
  <c r="AD568" i="1"/>
  <c r="J571" i="1"/>
  <c r="H572" i="1"/>
  <c r="D573" i="1"/>
  <c r="S574" i="1"/>
  <c r="O575" i="1"/>
  <c r="Q576" i="1"/>
  <c r="S577" i="1"/>
  <c r="P578" i="1"/>
  <c r="AD579" i="1"/>
  <c r="AD580" i="1"/>
  <c r="AC581" i="1"/>
  <c r="AD584" i="1"/>
  <c r="AB586" i="1"/>
  <c r="G588" i="1"/>
  <c r="I589" i="1"/>
  <c r="G590" i="1"/>
  <c r="T592" i="1"/>
  <c r="T593" i="1"/>
  <c r="T594" i="1"/>
  <c r="R595" i="1"/>
  <c r="T596" i="1"/>
  <c r="T597" i="1"/>
  <c r="D598" i="1"/>
  <c r="T599" i="1"/>
  <c r="Q600" i="1"/>
  <c r="S601" i="1"/>
  <c r="S602" i="1"/>
  <c r="R561" i="1"/>
  <c r="H589" i="1"/>
  <c r="S541" i="1"/>
  <c r="S542" i="1"/>
  <c r="AD543" i="1"/>
  <c r="AH551" i="1"/>
  <c r="J554" i="1"/>
  <c r="G555" i="1"/>
  <c r="G556" i="1"/>
  <c r="AG558" i="1"/>
  <c r="R562" i="1"/>
  <c r="AC564" i="1"/>
  <c r="AB565" i="1"/>
  <c r="AA566" i="1"/>
  <c r="AD569" i="1"/>
  <c r="I571" i="1"/>
  <c r="G572" i="1"/>
  <c r="R574" i="1"/>
  <c r="P576" i="1"/>
  <c r="R577" i="1"/>
  <c r="O578" i="1"/>
  <c r="AB581" i="1"/>
  <c r="AA586" i="1"/>
  <c r="F588" i="1"/>
  <c r="F590" i="1"/>
  <c r="S592" i="1"/>
  <c r="S593" i="1"/>
  <c r="Q595" i="1"/>
  <c r="S599" i="1"/>
  <c r="R601" i="1"/>
  <c r="R602" i="1"/>
  <c r="T540" i="1"/>
  <c r="R541" i="1"/>
  <c r="R542" i="1"/>
  <c r="AC543" i="1"/>
  <c r="AG551" i="1"/>
  <c r="J553" i="1"/>
  <c r="I554" i="1"/>
  <c r="F555" i="1"/>
  <c r="F556" i="1"/>
  <c r="AH557" i="1"/>
  <c r="AF558" i="1"/>
  <c r="T560" i="1"/>
  <c r="Q561" i="1"/>
  <c r="Q562" i="1"/>
  <c r="AB564" i="1"/>
  <c r="AA565" i="1"/>
  <c r="Z566" i="1"/>
  <c r="AA567" i="1"/>
  <c r="AB568" i="1"/>
  <c r="AC569" i="1"/>
  <c r="H571" i="1"/>
  <c r="F572" i="1"/>
  <c r="T573" i="1"/>
  <c r="Q574" i="1"/>
  <c r="AD575" i="1"/>
  <c r="O576" i="1"/>
  <c r="Q577" i="1"/>
  <c r="N578" i="1"/>
  <c r="AB579" i="1"/>
  <c r="AB580" i="1"/>
  <c r="AA581" i="1"/>
  <c r="AC582" i="1"/>
  <c r="AC583" i="1"/>
  <c r="AB584" i="1"/>
  <c r="AC585" i="1"/>
  <c r="Z586" i="1"/>
  <c r="D588" i="1"/>
  <c r="G589" i="1"/>
  <c r="E590" i="1"/>
  <c r="S591" i="1"/>
  <c r="R592" i="1"/>
  <c r="R593" i="1"/>
  <c r="R594" i="1"/>
  <c r="P595" i="1"/>
  <c r="R596" i="1"/>
  <c r="R597" i="1"/>
  <c r="T598" i="1"/>
  <c r="R599" i="1"/>
  <c r="Q601" i="1"/>
  <c r="Q602" i="1"/>
  <c r="S540" i="1"/>
  <c r="Q541" i="1"/>
  <c r="Q542" i="1"/>
  <c r="AB543" i="1"/>
  <c r="AH546" i="1"/>
  <c r="J550" i="1"/>
  <c r="H554" i="1"/>
  <c r="E555" i="1"/>
  <c r="E556" i="1"/>
  <c r="S560" i="1"/>
  <c r="P561" i="1"/>
  <c r="P562" i="1"/>
  <c r="AA564" i="1"/>
  <c r="Z565" i="1"/>
  <c r="Y566" i="1"/>
  <c r="AB569" i="1"/>
  <c r="P574" i="1"/>
  <c r="P577" i="1"/>
  <c r="Z581" i="1"/>
  <c r="Y586" i="1"/>
  <c r="Q592" i="1"/>
  <c r="Q593" i="1"/>
  <c r="O595" i="1"/>
  <c r="Q599" i="1"/>
  <c r="P601" i="1"/>
  <c r="P602" i="1"/>
  <c r="R540" i="1"/>
  <c r="AA543" i="1"/>
  <c r="I550" i="1"/>
  <c r="D555" i="1"/>
  <c r="D556" i="1"/>
  <c r="J559" i="1"/>
  <c r="R560" i="1"/>
  <c r="O561" i="1"/>
  <c r="O562" i="1"/>
  <c r="Z564" i="1"/>
  <c r="Y565" i="1"/>
  <c r="X566" i="1"/>
  <c r="AA569" i="1"/>
  <c r="O574" i="1"/>
  <c r="O577" i="1"/>
  <c r="Y581" i="1"/>
  <c r="X586" i="1"/>
  <c r="T590" i="1"/>
  <c r="P592" i="1"/>
  <c r="P593" i="1"/>
  <c r="N595" i="1"/>
  <c r="P599" i="1"/>
  <c r="O601" i="1"/>
  <c r="O602" i="1"/>
  <c r="Q560" i="1"/>
  <c r="Y564" i="1"/>
  <c r="X565" i="1"/>
  <c r="X581" i="1"/>
  <c r="S590" i="1"/>
  <c r="T559" i="1"/>
  <c r="AD561" i="1"/>
  <c r="AD562" i="1"/>
  <c r="AD574" i="1"/>
  <c r="AD595" i="1"/>
  <c r="AD601" i="1"/>
  <c r="AC540" i="1"/>
  <c r="Y542" i="1"/>
  <c r="E546" i="1"/>
  <c r="E549" i="1"/>
  <c r="T550" i="1"/>
  <c r="F552" i="1"/>
  <c r="T553" i="1"/>
  <c r="Q554" i="1"/>
  <c r="R555" i="1"/>
  <c r="R556" i="1"/>
  <c r="E557" i="1"/>
  <c r="F558" i="1"/>
  <c r="R559" i="1"/>
  <c r="AC560" i="1"/>
  <c r="AB561" i="1"/>
  <c r="AB562" i="1"/>
  <c r="AG564" i="1"/>
  <c r="AH567" i="1"/>
  <c r="V568" i="1"/>
  <c r="AF569" i="1"/>
  <c r="AD572" i="1"/>
  <c r="N573" i="1"/>
  <c r="AB574" i="1"/>
  <c r="X575" i="1"/>
  <c r="AB577" i="1"/>
  <c r="Z578" i="1"/>
  <c r="AH579" i="1"/>
  <c r="AG581" i="1"/>
  <c r="Q589" i="1"/>
  <c r="AC590" i="1"/>
  <c r="AC592" i="1"/>
  <c r="AC593" i="1"/>
  <c r="AD594" i="1"/>
  <c r="AB595" i="1"/>
  <c r="AD596" i="1"/>
  <c r="AD597" i="1"/>
  <c r="AD598" i="1"/>
  <c r="AC599" i="1"/>
  <c r="Y600" i="1"/>
  <c r="AB601" i="1"/>
  <c r="AD592" i="1"/>
  <c r="AB540" i="1"/>
  <c r="T545" i="1"/>
  <c r="T547" i="1"/>
  <c r="T548" i="1"/>
  <c r="S550" i="1"/>
  <c r="T551" i="1"/>
  <c r="S553" i="1"/>
  <c r="Q556" i="1"/>
  <c r="Q559" i="1"/>
  <c r="AB560" i="1"/>
  <c r="AA561" i="1"/>
  <c r="AA562" i="1"/>
  <c r="J566" i="1"/>
  <c r="J567" i="1"/>
  <c r="AC572" i="1"/>
  <c r="AA574" i="1"/>
  <c r="AH584" i="1"/>
  <c r="AH585" i="1"/>
  <c r="O588" i="1"/>
  <c r="P589" i="1"/>
  <c r="AB590" i="1"/>
  <c r="AD591" i="1"/>
  <c r="AB592" i="1"/>
  <c r="AB593" i="1"/>
  <c r="AC594" i="1"/>
  <c r="AA595" i="1"/>
  <c r="AC596" i="1"/>
  <c r="AC597" i="1"/>
  <c r="AC598" i="1"/>
  <c r="AB599" i="1"/>
  <c r="X600" i="1"/>
  <c r="AA601" i="1"/>
  <c r="S559" i="1"/>
  <c r="AC574" i="1"/>
  <c r="AA540" i="1"/>
  <c r="Y541" i="1"/>
  <c r="H544" i="1"/>
  <c r="S545" i="1"/>
  <c r="T546" i="1"/>
  <c r="S547" i="1"/>
  <c r="S548" i="1"/>
  <c r="T549" i="1"/>
  <c r="R550" i="1"/>
  <c r="S551" i="1"/>
  <c r="T552" i="1"/>
  <c r="R553" i="1"/>
  <c r="P556" i="1"/>
  <c r="T557" i="1"/>
  <c r="P559" i="1"/>
  <c r="AA560" i="1"/>
  <c r="Z561" i="1"/>
  <c r="Z562" i="1"/>
  <c r="J565" i="1"/>
  <c r="I566" i="1"/>
  <c r="I567" i="1"/>
  <c r="J570" i="1"/>
  <c r="AB572" i="1"/>
  <c r="AD573" i="1"/>
  <c r="Z574" i="1"/>
  <c r="AH575" i="1"/>
  <c r="J580" i="1"/>
  <c r="J582" i="1"/>
  <c r="AH582" i="1"/>
  <c r="AH583" i="1"/>
  <c r="AG585" i="1"/>
  <c r="J587" i="1"/>
  <c r="AA590" i="1"/>
  <c r="AC591" i="1"/>
  <c r="AA592" i="1"/>
  <c r="AA593" i="1"/>
  <c r="AB594" i="1"/>
  <c r="Z595" i="1"/>
  <c r="AB596" i="1"/>
  <c r="AB597" i="1"/>
  <c r="AB598" i="1"/>
  <c r="AA599" i="1"/>
  <c r="W600" i="1"/>
  <c r="Z601" i="1"/>
  <c r="AD538" i="1"/>
  <c r="AD539" i="1"/>
  <c r="Z540" i="1"/>
  <c r="X541" i="1"/>
  <c r="J543" i="1"/>
  <c r="R545" i="1"/>
  <c r="S546" i="1"/>
  <c r="R547" i="1"/>
  <c r="R548" i="1"/>
  <c r="S549" i="1"/>
  <c r="Q550" i="1"/>
  <c r="R551" i="1"/>
  <c r="S552" i="1"/>
  <c r="Q553" i="1"/>
  <c r="AD555" i="1"/>
  <c r="O556" i="1"/>
  <c r="S557" i="1"/>
  <c r="T558" i="1"/>
  <c r="O559" i="1"/>
  <c r="Z560" i="1"/>
  <c r="Y561" i="1"/>
  <c r="Y562" i="1"/>
  <c r="I565" i="1"/>
  <c r="H566" i="1"/>
  <c r="H567" i="1"/>
  <c r="J568" i="1"/>
  <c r="J569" i="1"/>
  <c r="I570" i="1"/>
  <c r="AA572" i="1"/>
  <c r="AC573" i="1"/>
  <c r="Y574" i="1"/>
  <c r="AG575" i="1"/>
  <c r="AH577" i="1"/>
  <c r="I580" i="1"/>
  <c r="J581" i="1"/>
  <c r="I582" i="1"/>
  <c r="J585" i="1"/>
  <c r="I587" i="1"/>
  <c r="AD589" i="1"/>
  <c r="Z590" i="1"/>
  <c r="AB591" i="1"/>
  <c r="Z592" i="1"/>
  <c r="Z593" i="1"/>
  <c r="AA594" i="1"/>
  <c r="Y595" i="1"/>
  <c r="AA596" i="1"/>
  <c r="AA597" i="1"/>
  <c r="AA598" i="1"/>
  <c r="V600" i="1"/>
  <c r="Y601" i="1"/>
  <c r="T556" i="1"/>
  <c r="S556" i="1"/>
  <c r="AD560" i="1"/>
  <c r="AC561" i="1"/>
  <c r="AC562" i="1"/>
  <c r="AC595" i="1"/>
  <c r="AC601" i="1"/>
  <c r="AC538" i="1"/>
  <c r="AC539" i="1"/>
  <c r="Y540" i="1"/>
  <c r="I543" i="1"/>
  <c r="T544" i="1"/>
  <c r="Q545" i="1"/>
  <c r="R546" i="1"/>
  <c r="Q547" i="1"/>
  <c r="Q548" i="1"/>
  <c r="R549" i="1"/>
  <c r="P550" i="1"/>
  <c r="Q551" i="1"/>
  <c r="R552" i="1"/>
  <c r="P553" i="1"/>
  <c r="AD554" i="1"/>
  <c r="AC555" i="1"/>
  <c r="N556" i="1"/>
  <c r="R557" i="1"/>
  <c r="S558" i="1"/>
  <c r="N559" i="1"/>
  <c r="Y560" i="1"/>
  <c r="X561" i="1"/>
  <c r="X562" i="1"/>
  <c r="AH563" i="1"/>
  <c r="H565" i="1"/>
  <c r="G566" i="1"/>
  <c r="G567" i="1"/>
  <c r="I568" i="1"/>
  <c r="I569" i="1"/>
  <c r="H570" i="1"/>
  <c r="AD571" i="1"/>
  <c r="Z572" i="1"/>
  <c r="AB573" i="1"/>
  <c r="X574" i="1"/>
  <c r="AF575" i="1"/>
  <c r="AG577" i="1"/>
  <c r="H580" i="1"/>
  <c r="I581" i="1"/>
  <c r="H582" i="1"/>
  <c r="J583" i="1"/>
  <c r="J584" i="1"/>
  <c r="I585" i="1"/>
  <c r="J586" i="1"/>
  <c r="H587" i="1"/>
  <c r="AD588" i="1"/>
  <c r="AC589" i="1"/>
  <c r="Y590" i="1"/>
  <c r="AA591" i="1"/>
  <c r="Y592" i="1"/>
  <c r="Y593" i="1"/>
  <c r="Z594" i="1"/>
  <c r="X595" i="1"/>
  <c r="Z596" i="1"/>
  <c r="Z597" i="1"/>
  <c r="Z598" i="1"/>
  <c r="AH599" i="1"/>
  <c r="X601" i="1"/>
  <c r="AA497" i="1"/>
  <c r="H474" i="1"/>
  <c r="G475" i="1"/>
  <c r="G476" i="1"/>
  <c r="S477" i="1"/>
  <c r="Q478" i="1"/>
  <c r="R479" i="1"/>
  <c r="P481" i="1"/>
  <c r="T482" i="1"/>
  <c r="E483" i="1"/>
  <c r="T484" i="1"/>
  <c r="E485" i="1"/>
  <c r="N486" i="1"/>
  <c r="AB487" i="1"/>
  <c r="X489" i="1"/>
  <c r="AH490" i="1"/>
  <c r="Q492" i="1"/>
  <c r="S493" i="1"/>
  <c r="AB494" i="1"/>
  <c r="AB495" i="1"/>
  <c r="AB496" i="1"/>
  <c r="W497" i="1"/>
  <c r="J500" i="1"/>
  <c r="AH500" i="1"/>
  <c r="AH502" i="1"/>
  <c r="V503" i="1"/>
  <c r="X504" i="1"/>
  <c r="AB505" i="1"/>
  <c r="P507" i="1"/>
  <c r="O508" i="1"/>
  <c r="P509" i="1"/>
  <c r="R510" i="1"/>
  <c r="P511" i="1"/>
  <c r="R512" i="1"/>
  <c r="M513" i="1"/>
  <c r="AB515" i="1"/>
  <c r="AD517" i="1"/>
  <c r="AC518" i="1"/>
  <c r="AD519" i="1"/>
  <c r="P520" i="1"/>
  <c r="O521" i="1"/>
  <c r="N523" i="1"/>
  <c r="AB524" i="1"/>
  <c r="AB525" i="1"/>
  <c r="Y527" i="1"/>
  <c r="X528" i="1"/>
  <c r="W530" i="1"/>
  <c r="I532" i="1"/>
  <c r="H534" i="1"/>
  <c r="AB536" i="1"/>
  <c r="AC537" i="1"/>
  <c r="E475" i="1"/>
  <c r="N481" i="1"/>
  <c r="Z487" i="1"/>
  <c r="AG488" i="1"/>
  <c r="AH489" i="1"/>
  <c r="O492" i="1"/>
  <c r="Z494" i="1"/>
  <c r="Z495" i="1"/>
  <c r="Z496" i="1"/>
  <c r="AH497" i="1"/>
  <c r="AF498" i="1"/>
  <c r="Z515" i="1"/>
  <c r="AA518" i="1"/>
  <c r="AC522" i="1"/>
  <c r="AH525" i="1"/>
  <c r="AC535" i="1"/>
  <c r="Z536" i="1"/>
  <c r="Y487" i="1"/>
  <c r="AG503" i="1"/>
  <c r="AG504" i="1"/>
  <c r="Y515" i="1"/>
  <c r="Z518" i="1"/>
  <c r="J531" i="1"/>
  <c r="AB535" i="1"/>
  <c r="Y536" i="1"/>
  <c r="AC486" i="1"/>
  <c r="X487" i="1"/>
  <c r="M492" i="1"/>
  <c r="O493" i="1"/>
  <c r="X494" i="1"/>
  <c r="X495" i="1"/>
  <c r="X496" i="1"/>
  <c r="AF504" i="1"/>
  <c r="X505" i="1"/>
  <c r="X515" i="1"/>
  <c r="Y518" i="1"/>
  <c r="AA522" i="1"/>
  <c r="X524" i="1"/>
  <c r="AH527" i="1"/>
  <c r="I531" i="1"/>
  <c r="AA535" i="1"/>
  <c r="X536" i="1"/>
  <c r="Z522" i="1"/>
  <c r="H531" i="1"/>
  <c r="W536" i="1"/>
  <c r="N474" i="1"/>
  <c r="Q475" i="1"/>
  <c r="N476" i="1"/>
  <c r="Y477" i="1"/>
  <c r="AA478" i="1"/>
  <c r="AA479" i="1"/>
  <c r="W480" i="1"/>
  <c r="Z481" i="1"/>
  <c r="AD482" i="1"/>
  <c r="AD484" i="1"/>
  <c r="O485" i="1"/>
  <c r="AG486" i="1"/>
  <c r="J488" i="1"/>
  <c r="F489" i="1"/>
  <c r="T491" i="1"/>
  <c r="AB492" i="1"/>
  <c r="AC493" i="1"/>
  <c r="J496" i="1"/>
  <c r="F498" i="1"/>
  <c r="T499" i="1"/>
  <c r="T500" i="1"/>
  <c r="D501" i="1"/>
  <c r="F502" i="1"/>
  <c r="D503" i="1"/>
  <c r="G504" i="1"/>
  <c r="H505" i="1"/>
  <c r="AG505" i="1"/>
  <c r="Z507" i="1"/>
  <c r="X508" i="1"/>
  <c r="Z509" i="1"/>
  <c r="Y510" i="1"/>
  <c r="Y511" i="1"/>
  <c r="Y512" i="1"/>
  <c r="X513" i="1"/>
  <c r="W514" i="1"/>
  <c r="W516" i="1"/>
  <c r="AH517" i="1"/>
  <c r="AH519" i="1"/>
  <c r="Y520" i="1"/>
  <c r="X521" i="1"/>
  <c r="AG522" i="1"/>
  <c r="X523" i="1"/>
  <c r="F527" i="1"/>
  <c r="H528" i="1"/>
  <c r="F529" i="1"/>
  <c r="M474" i="1"/>
  <c r="P475" i="1"/>
  <c r="X477" i="1"/>
  <c r="Z478" i="1"/>
  <c r="Z479" i="1"/>
  <c r="AC482" i="1"/>
  <c r="AD483" i="1"/>
  <c r="AC484" i="1"/>
  <c r="D489" i="1"/>
  <c r="T490" i="1"/>
  <c r="AA492" i="1"/>
  <c r="AB493" i="1"/>
  <c r="J495" i="1"/>
  <c r="I496" i="1"/>
  <c r="J497" i="1"/>
  <c r="E498" i="1"/>
  <c r="S499" i="1"/>
  <c r="S500" i="1"/>
  <c r="E502" i="1"/>
  <c r="C503" i="1"/>
  <c r="F504" i="1"/>
  <c r="W508" i="1"/>
  <c r="Y509" i="1"/>
  <c r="X510" i="1"/>
  <c r="X511" i="1"/>
  <c r="V514" i="1"/>
  <c r="J516" i="1"/>
  <c r="V516" i="1"/>
  <c r="J519" i="1"/>
  <c r="E526" i="1"/>
  <c r="E527" i="1"/>
  <c r="G528" i="1"/>
  <c r="D530" i="1"/>
  <c r="AD534" i="1"/>
  <c r="J536" i="1"/>
  <c r="J537" i="1"/>
  <c r="AB482" i="1"/>
  <c r="AC483" i="1"/>
  <c r="AB484" i="1"/>
  <c r="J487" i="1"/>
  <c r="T488" i="1"/>
  <c r="S490" i="1"/>
  <c r="AD491" i="1"/>
  <c r="H496" i="1"/>
  <c r="R500" i="1"/>
  <c r="T501" i="1"/>
  <c r="J506" i="1"/>
  <c r="I516" i="1"/>
  <c r="I519" i="1"/>
  <c r="J523" i="1"/>
  <c r="T529" i="1"/>
  <c r="Q531" i="1"/>
  <c r="N532" i="1"/>
  <c r="T533" i="1"/>
  <c r="AC534" i="1"/>
  <c r="I536" i="1"/>
  <c r="I537" i="1"/>
  <c r="AD474" i="1"/>
  <c r="AD475" i="1"/>
  <c r="AC476" i="1"/>
  <c r="AH477" i="1"/>
  <c r="X478" i="1"/>
  <c r="X479" i="1"/>
  <c r="AG480" i="1"/>
  <c r="W481" i="1"/>
  <c r="AA482" i="1"/>
  <c r="AB483" i="1"/>
  <c r="AA484" i="1"/>
  <c r="I487" i="1"/>
  <c r="S488" i="1"/>
  <c r="T489" i="1"/>
  <c r="R490" i="1"/>
  <c r="AC491" i="1"/>
  <c r="G496" i="1"/>
  <c r="T497" i="1"/>
  <c r="Q500" i="1"/>
  <c r="S501" i="1"/>
  <c r="T503" i="1"/>
  <c r="T504" i="1"/>
  <c r="E505" i="1"/>
  <c r="I506" i="1"/>
  <c r="AH511" i="1"/>
  <c r="H516" i="1"/>
  <c r="J518" i="1"/>
  <c r="H519" i="1"/>
  <c r="I523" i="1"/>
  <c r="T527" i="1"/>
  <c r="T528" i="1"/>
  <c r="S529" i="1"/>
  <c r="T530" i="1"/>
  <c r="M532" i="1"/>
  <c r="S533" i="1"/>
  <c r="AB534" i="1"/>
  <c r="H536" i="1"/>
  <c r="H537" i="1"/>
  <c r="AC475" i="1"/>
  <c r="Z482" i="1"/>
  <c r="AA483" i="1"/>
  <c r="Z484" i="1"/>
  <c r="J486" i="1"/>
  <c r="H487" i="1"/>
  <c r="R488" i="1"/>
  <c r="S489" i="1"/>
  <c r="Q490" i="1"/>
  <c r="AB491" i="1"/>
  <c r="X492" i="1"/>
  <c r="AH493" i="1"/>
  <c r="G495" i="1"/>
  <c r="F496" i="1"/>
  <c r="S497" i="1"/>
  <c r="T498" i="1"/>
  <c r="AD499" i="1"/>
  <c r="P500" i="1"/>
  <c r="R501" i="1"/>
  <c r="T502" i="1"/>
  <c r="S503" i="1"/>
  <c r="S504" i="1"/>
  <c r="D505" i="1"/>
  <c r="H506" i="1"/>
  <c r="J508" i="1"/>
  <c r="AG508" i="1"/>
  <c r="AH509" i="1"/>
  <c r="AG510" i="1"/>
  <c r="AG511" i="1"/>
  <c r="AH512" i="1"/>
  <c r="G516" i="1"/>
  <c r="I518" i="1"/>
  <c r="G519" i="1"/>
  <c r="I520" i="1"/>
  <c r="AH520" i="1"/>
  <c r="J522" i="1"/>
  <c r="H523" i="1"/>
  <c r="F525" i="1"/>
  <c r="T526" i="1"/>
  <c r="S528" i="1"/>
  <c r="R529" i="1"/>
  <c r="S530" i="1"/>
  <c r="R533" i="1"/>
  <c r="AA534" i="1"/>
  <c r="G536" i="1"/>
  <c r="G537" i="1"/>
  <c r="AB474" i="1"/>
  <c r="AB475" i="1"/>
  <c r="AA476" i="1"/>
  <c r="J478" i="1"/>
  <c r="AH478" i="1"/>
  <c r="AH479" i="1"/>
  <c r="J481" i="1"/>
  <c r="AH481" i="1"/>
  <c r="Y482" i="1"/>
  <c r="Z483" i="1"/>
  <c r="Y484" i="1"/>
  <c r="I486" i="1"/>
  <c r="G487" i="1"/>
  <c r="Q488" i="1"/>
  <c r="R489" i="1"/>
  <c r="P490" i="1"/>
  <c r="AA491" i="1"/>
  <c r="E496" i="1"/>
  <c r="R497" i="1"/>
  <c r="S498" i="1"/>
  <c r="AC499" i="1"/>
  <c r="O500" i="1"/>
  <c r="Q501" i="1"/>
  <c r="S502" i="1"/>
  <c r="R503" i="1"/>
  <c r="R504" i="1"/>
  <c r="G506" i="1"/>
  <c r="I508" i="1"/>
  <c r="AG509" i="1"/>
  <c r="AF511" i="1"/>
  <c r="J514" i="1"/>
  <c r="I515" i="1"/>
  <c r="F516" i="1"/>
  <c r="J517" i="1"/>
  <c r="H518" i="1"/>
  <c r="F519" i="1"/>
  <c r="H520" i="1"/>
  <c r="I522" i="1"/>
  <c r="G523" i="1"/>
  <c r="S526" i="1"/>
  <c r="R528" i="1"/>
  <c r="Q529" i="1"/>
  <c r="R530" i="1"/>
  <c r="AD532" i="1"/>
  <c r="Q533" i="1"/>
  <c r="Y534" i="1"/>
  <c r="F537" i="1"/>
  <c r="X482" i="1"/>
  <c r="Y483" i="1"/>
  <c r="X484" i="1"/>
  <c r="F487" i="1"/>
  <c r="P488" i="1"/>
  <c r="O490" i="1"/>
  <c r="Z491" i="1"/>
  <c r="AH492" i="1"/>
  <c r="D496" i="1"/>
  <c r="Q497" i="1"/>
  <c r="P501" i="1"/>
  <c r="R502" i="1"/>
  <c r="Q503" i="1"/>
  <c r="J513" i="1"/>
  <c r="G518" i="1"/>
  <c r="E519" i="1"/>
  <c r="P529" i="1"/>
  <c r="E537" i="1"/>
  <c r="W482" i="1"/>
  <c r="X483" i="1"/>
  <c r="W484" i="1"/>
  <c r="N488" i="1"/>
  <c r="Y491" i="1"/>
  <c r="P497" i="1"/>
  <c r="I513" i="1"/>
  <c r="F518" i="1"/>
  <c r="D519" i="1"/>
  <c r="O529" i="1"/>
  <c r="AD503" i="1"/>
  <c r="AC503" i="1"/>
  <c r="T513" i="1"/>
  <c r="AH475" i="1"/>
  <c r="E478" i="1"/>
  <c r="G479" i="1"/>
  <c r="G480" i="1"/>
  <c r="E481" i="1"/>
  <c r="G482" i="1"/>
  <c r="J484" i="1"/>
  <c r="T486" i="1"/>
  <c r="R487" i="1"/>
  <c r="AC488" i="1"/>
  <c r="AD489" i="1"/>
  <c r="AB490" i="1"/>
  <c r="H493" i="1"/>
  <c r="T494" i="1"/>
  <c r="P495" i="1"/>
  <c r="R496" i="1"/>
  <c r="AC497" i="1"/>
  <c r="X499" i="1"/>
  <c r="AA500" i="1"/>
  <c r="AB501" i="1"/>
  <c r="AB502" i="1"/>
  <c r="AB503" i="1"/>
  <c r="AD504" i="1"/>
  <c r="P505" i="1"/>
  <c r="T506" i="1"/>
  <c r="F507" i="1"/>
  <c r="F509" i="1"/>
  <c r="G510" i="1"/>
  <c r="F511" i="1"/>
  <c r="G512" i="1"/>
  <c r="S513" i="1"/>
  <c r="T514" i="1"/>
  <c r="Q515" i="1"/>
  <c r="T516" i="1"/>
  <c r="S518" i="1"/>
  <c r="C520" i="1"/>
  <c r="D522" i="1"/>
  <c r="T523" i="1"/>
  <c r="P525" i="1"/>
  <c r="AD526" i="1"/>
  <c r="AD528" i="1"/>
  <c r="AC529" i="1"/>
  <c r="AC530" i="1"/>
  <c r="X531" i="1"/>
  <c r="Y532" i="1"/>
  <c r="AA533" i="1"/>
  <c r="J535" i="1"/>
  <c r="P536" i="1"/>
  <c r="R537" i="1"/>
  <c r="AD497" i="1"/>
  <c r="AD530" i="1"/>
  <c r="AB533" i="1"/>
  <c r="AH474" i="1"/>
  <c r="AG475" i="1"/>
  <c r="AH476" i="1"/>
  <c r="D478" i="1"/>
  <c r="F479" i="1"/>
  <c r="F480" i="1"/>
  <c r="F482" i="1"/>
  <c r="J483" i="1"/>
  <c r="I484" i="1"/>
  <c r="J485" i="1"/>
  <c r="S486" i="1"/>
  <c r="Q487" i="1"/>
  <c r="AB488" i="1"/>
  <c r="AC489" i="1"/>
  <c r="AA490" i="1"/>
  <c r="J492" i="1"/>
  <c r="G493" i="1"/>
  <c r="S494" i="1"/>
  <c r="O495" i="1"/>
  <c r="Q496" i="1"/>
  <c r="AB497" i="1"/>
  <c r="AD498" i="1"/>
  <c r="W499" i="1"/>
  <c r="Z500" i="1"/>
  <c r="AA501" i="1"/>
  <c r="AA502" i="1"/>
  <c r="AA503" i="1"/>
  <c r="AC504" i="1"/>
  <c r="O505" i="1"/>
  <c r="T508" i="1"/>
  <c r="F510" i="1"/>
  <c r="F512" i="1"/>
  <c r="R513" i="1"/>
  <c r="S514" i="1"/>
  <c r="P515" i="1"/>
  <c r="S516" i="1"/>
  <c r="R518" i="1"/>
  <c r="T521" i="1"/>
  <c r="S523" i="1"/>
  <c r="T524" i="1"/>
  <c r="O525" i="1"/>
  <c r="AC526" i="1"/>
  <c r="AD527" i="1"/>
  <c r="AC528" i="1"/>
  <c r="AB529" i="1"/>
  <c r="AB530" i="1"/>
  <c r="X532" i="1"/>
  <c r="Z533" i="1"/>
  <c r="I535" i="1"/>
  <c r="O536" i="1"/>
  <c r="Q537" i="1"/>
  <c r="I483" i="1"/>
  <c r="I485" i="1"/>
  <c r="R486" i="1"/>
  <c r="J475" i="1"/>
  <c r="J476" i="1"/>
  <c r="J477" i="1"/>
  <c r="T478" i="1"/>
  <c r="T480" i="1"/>
  <c r="S481" i="1"/>
  <c r="D482" i="1"/>
  <c r="H483" i="1"/>
  <c r="G484" i="1"/>
  <c r="H485" i="1"/>
  <c r="Q486" i="1"/>
  <c r="Z488" i="1"/>
  <c r="AA489" i="1"/>
  <c r="Y490" i="1"/>
  <c r="T492" i="1"/>
  <c r="Z497" i="1"/>
  <c r="AB498" i="1"/>
  <c r="AH499" i="1"/>
  <c r="X500" i="1"/>
  <c r="Y501" i="1"/>
  <c r="Y503" i="1"/>
  <c r="AA504" i="1"/>
  <c r="S507" i="1"/>
  <c r="R508" i="1"/>
  <c r="S509" i="1"/>
  <c r="S511" i="1"/>
  <c r="P513" i="1"/>
  <c r="Q514" i="1"/>
  <c r="Q516" i="1"/>
  <c r="S520" i="1"/>
  <c r="R521" i="1"/>
  <c r="S522" i="1"/>
  <c r="Q523" i="1"/>
  <c r="AA526" i="1"/>
  <c r="AB527" i="1"/>
  <c r="AA528" i="1"/>
  <c r="Z529" i="1"/>
  <c r="Z530" i="1"/>
  <c r="AG531" i="1"/>
  <c r="G535" i="1"/>
  <c r="O537" i="1"/>
  <c r="AB489" i="1"/>
  <c r="S508" i="1"/>
  <c r="J474" i="1"/>
  <c r="I475" i="1"/>
  <c r="I476" i="1"/>
  <c r="S478" i="1"/>
  <c r="T479" i="1"/>
  <c r="S480" i="1"/>
  <c r="R481" i="1"/>
  <c r="C482" i="1"/>
  <c r="G483" i="1"/>
  <c r="F484" i="1"/>
  <c r="G485" i="1"/>
  <c r="P486" i="1"/>
  <c r="AD487" i="1"/>
  <c r="Y488" i="1"/>
  <c r="Z489" i="1"/>
  <c r="X490" i="1"/>
  <c r="S492" i="1"/>
  <c r="AD494" i="1"/>
  <c r="AD495" i="1"/>
  <c r="AD496" i="1"/>
  <c r="Y497" i="1"/>
  <c r="AA498" i="1"/>
  <c r="AG499" i="1"/>
  <c r="W500" i="1"/>
  <c r="X501" i="1"/>
  <c r="X502" i="1"/>
  <c r="X503" i="1"/>
  <c r="Z504" i="1"/>
  <c r="AD505" i="1"/>
  <c r="P506" i="1"/>
  <c r="R507" i="1"/>
  <c r="Q508" i="1"/>
  <c r="R509" i="1"/>
  <c r="T510" i="1"/>
  <c r="R511" i="1"/>
  <c r="T512" i="1"/>
  <c r="O513" i="1"/>
  <c r="P514" i="1"/>
  <c r="AD515" i="1"/>
  <c r="P516" i="1"/>
  <c r="R520" i="1"/>
  <c r="Q521" i="1"/>
  <c r="R522" i="1"/>
  <c r="P523" i="1"/>
  <c r="AD524" i="1"/>
  <c r="AD525" i="1"/>
  <c r="Z526" i="1"/>
  <c r="AA527" i="1"/>
  <c r="Z528" i="1"/>
  <c r="Y529" i="1"/>
  <c r="Y530" i="1"/>
  <c r="J534" i="1"/>
  <c r="AD536" i="1"/>
  <c r="T481" i="1"/>
  <c r="Z503" i="1"/>
  <c r="AB504" i="1"/>
  <c r="T507" i="1"/>
  <c r="T509" i="1"/>
  <c r="T511" i="1"/>
  <c r="Q513" i="1"/>
  <c r="T520" i="1"/>
  <c r="S521" i="1"/>
  <c r="R523" i="1"/>
  <c r="AC527" i="1"/>
  <c r="AB528" i="1"/>
  <c r="AA530" i="1"/>
  <c r="I474" i="1"/>
  <c r="H475" i="1"/>
  <c r="H476" i="1"/>
  <c r="T477" i="1"/>
  <c r="R478" i="1"/>
  <c r="S479" i="1"/>
  <c r="Q481" i="1"/>
  <c r="F483" i="1"/>
  <c r="F485" i="1"/>
  <c r="O486" i="1"/>
  <c r="AC487" i="1"/>
  <c r="X488" i="1"/>
  <c r="Y489" i="1"/>
  <c r="R492" i="1"/>
  <c r="T493" i="1"/>
  <c r="AC494" i="1"/>
  <c r="AC495" i="1"/>
  <c r="AC496" i="1"/>
  <c r="X497" i="1"/>
  <c r="Z498" i="1"/>
  <c r="W501" i="1"/>
  <c r="W503" i="1"/>
  <c r="Y504" i="1"/>
  <c r="AC505" i="1"/>
  <c r="O506" i="1"/>
  <c r="Q507" i="1"/>
  <c r="P508" i="1"/>
  <c r="Q509" i="1"/>
  <c r="S510" i="1"/>
  <c r="Q511" i="1"/>
  <c r="S512" i="1"/>
  <c r="N513" i="1"/>
  <c r="O514" i="1"/>
  <c r="AC515" i="1"/>
  <c r="O516" i="1"/>
  <c r="AD518" i="1"/>
  <c r="Q520" i="1"/>
  <c r="P521" i="1"/>
  <c r="Q522" i="1"/>
  <c r="O523" i="1"/>
  <c r="AC524" i="1"/>
  <c r="AC525" i="1"/>
  <c r="Y526" i="1"/>
  <c r="Z527" i="1"/>
  <c r="Y528" i="1"/>
  <c r="X529" i="1"/>
  <c r="X530" i="1"/>
  <c r="J532" i="1"/>
  <c r="AF532" i="1"/>
  <c r="I534" i="1"/>
  <c r="T535" i="1"/>
  <c r="AC536" i="1"/>
  <c r="AD537" i="1"/>
  <c r="I420" i="1"/>
  <c r="G434" i="1"/>
  <c r="R437" i="1"/>
  <c r="AC442" i="1"/>
  <c r="AA461" i="1"/>
  <c r="I469" i="1"/>
  <c r="AA413" i="1"/>
  <c r="AH414" i="1"/>
  <c r="AG416" i="1"/>
  <c r="G419" i="1"/>
  <c r="E420" i="1"/>
  <c r="F421" i="1"/>
  <c r="F422" i="1"/>
  <c r="H423" i="1"/>
  <c r="H424" i="1"/>
  <c r="T425" i="1"/>
  <c r="I426" i="1"/>
  <c r="G427" i="1"/>
  <c r="H428" i="1"/>
  <c r="E430" i="1"/>
  <c r="Q431" i="1"/>
  <c r="S432" i="1"/>
  <c r="S433" i="1"/>
  <c r="C434" i="1"/>
  <c r="N437" i="1"/>
  <c r="R438" i="1"/>
  <c r="R439" i="1"/>
  <c r="Q440" i="1"/>
  <c r="AD441" i="1"/>
  <c r="Y442" i="1"/>
  <c r="X443" i="1"/>
  <c r="H446" i="1"/>
  <c r="F447" i="1"/>
  <c r="T448" i="1"/>
  <c r="T449" i="1"/>
  <c r="Q450" i="1"/>
  <c r="R451" i="1"/>
  <c r="Q452" i="1"/>
  <c r="AD453" i="1"/>
  <c r="AA455" i="1"/>
  <c r="Z456" i="1"/>
  <c r="AA457" i="1"/>
  <c r="AB458" i="1"/>
  <c r="Z459" i="1"/>
  <c r="X460" i="1"/>
  <c r="W461" i="1"/>
  <c r="F463" i="1"/>
  <c r="T464" i="1"/>
  <c r="D465" i="1"/>
  <c r="S466" i="1"/>
  <c r="T467" i="1"/>
  <c r="D468" i="1"/>
  <c r="E469" i="1"/>
  <c r="D470" i="1"/>
  <c r="G471" i="1"/>
  <c r="G472" i="1"/>
  <c r="H473" i="1"/>
  <c r="F419" i="1"/>
  <c r="E421" i="1"/>
  <c r="G424" i="1"/>
  <c r="G428" i="1"/>
  <c r="R432" i="1"/>
  <c r="X442" i="1"/>
  <c r="E419" i="1"/>
  <c r="D421" i="1"/>
  <c r="F424" i="1"/>
  <c r="G426" i="1"/>
  <c r="F428" i="1"/>
  <c r="O431" i="1"/>
  <c r="Q432" i="1"/>
  <c r="Q433" i="1"/>
  <c r="T434" i="1"/>
  <c r="P438" i="1"/>
  <c r="P439" i="1"/>
  <c r="O440" i="1"/>
  <c r="AB441" i="1"/>
  <c r="W442" i="1"/>
  <c r="AH443" i="1"/>
  <c r="I445" i="1"/>
  <c r="F446" i="1"/>
  <c r="D447" i="1"/>
  <c r="R448" i="1"/>
  <c r="R449" i="1"/>
  <c r="O450" i="1"/>
  <c r="P451" i="1"/>
  <c r="AB453" i="1"/>
  <c r="AC454" i="1"/>
  <c r="Y455" i="1"/>
  <c r="X456" i="1"/>
  <c r="Y457" i="1"/>
  <c r="Z458" i="1"/>
  <c r="T465" i="1"/>
  <c r="E471" i="1"/>
  <c r="F473" i="1"/>
  <c r="AG443" i="1"/>
  <c r="H445" i="1"/>
  <c r="Q448" i="1"/>
  <c r="N450" i="1"/>
  <c r="O451" i="1"/>
  <c r="AA453" i="1"/>
  <c r="AB454" i="1"/>
  <c r="X455" i="1"/>
  <c r="X457" i="1"/>
  <c r="Y458" i="1"/>
  <c r="AH460" i="1"/>
  <c r="S465" i="1"/>
  <c r="P466" i="1"/>
  <c r="Q467" i="1"/>
  <c r="D471" i="1"/>
  <c r="E473" i="1"/>
  <c r="F416" i="1"/>
  <c r="G418" i="1"/>
  <c r="Q434" i="1"/>
  <c r="Y441" i="1"/>
  <c r="O448" i="1"/>
  <c r="Y453" i="1"/>
  <c r="Z454" i="1"/>
  <c r="AH455" i="1"/>
  <c r="AG456" i="1"/>
  <c r="AD465" i="1"/>
  <c r="AD467" i="1"/>
  <c r="H414" i="1"/>
  <c r="D415" i="1"/>
  <c r="O422" i="1"/>
  <c r="AD424" i="1"/>
  <c r="AD425" i="1"/>
  <c r="Q426" i="1"/>
  <c r="AD429" i="1"/>
  <c r="AA431" i="1"/>
  <c r="Z432" i="1"/>
  <c r="AC434" i="1"/>
  <c r="AA438" i="1"/>
  <c r="AB439" i="1"/>
  <c r="AA440" i="1"/>
  <c r="AC448" i="1"/>
  <c r="AB449" i="1"/>
  <c r="AA450" i="1"/>
  <c r="J455" i="1"/>
  <c r="I456" i="1"/>
  <c r="I457" i="1"/>
  <c r="J458" i="1"/>
  <c r="I459" i="1"/>
  <c r="H460" i="1"/>
  <c r="F462" i="1"/>
  <c r="AD464" i="1"/>
  <c r="AA465" i="1"/>
  <c r="AB467" i="1"/>
  <c r="N470" i="1"/>
  <c r="Q471" i="1"/>
  <c r="N472" i="1"/>
  <c r="Q473" i="1"/>
  <c r="AD434" i="1"/>
  <c r="AD448" i="1"/>
  <c r="AB465" i="1"/>
  <c r="AC467" i="1"/>
  <c r="J413" i="1"/>
  <c r="G414" i="1"/>
  <c r="R416" i="1"/>
  <c r="C417" i="1"/>
  <c r="R418" i="1"/>
  <c r="AD419" i="1"/>
  <c r="AD421" i="1"/>
  <c r="N422" i="1"/>
  <c r="AC424" i="1"/>
  <c r="AC425" i="1"/>
  <c r="P426" i="1"/>
  <c r="M427" i="1"/>
  <c r="AD428" i="1"/>
  <c r="AC429" i="1"/>
  <c r="N430" i="1"/>
  <c r="Z431" i="1"/>
  <c r="Y432" i="1"/>
  <c r="Z433" i="1"/>
  <c r="AB434" i="1"/>
  <c r="AH435" i="1"/>
  <c r="AH436" i="1"/>
  <c r="W437" i="1"/>
  <c r="Z438" i="1"/>
  <c r="AA439" i="1"/>
  <c r="Z440" i="1"/>
  <c r="J442" i="1"/>
  <c r="F443" i="1"/>
  <c r="AD446" i="1"/>
  <c r="AD447" i="1"/>
  <c r="AB448" i="1"/>
  <c r="AA449" i="1"/>
  <c r="J453" i="1"/>
  <c r="I455" i="1"/>
  <c r="H456" i="1"/>
  <c r="H459" i="1"/>
  <c r="AD463" i="1"/>
  <c r="AC464" i="1"/>
  <c r="Z465" i="1"/>
  <c r="AA467" i="1"/>
  <c r="AD468" i="1"/>
  <c r="AD469" i="1"/>
  <c r="P473" i="1"/>
  <c r="J459" i="1"/>
  <c r="I413" i="1"/>
  <c r="T415" i="1"/>
  <c r="Q416" i="1"/>
  <c r="Q418" i="1"/>
  <c r="AC419" i="1"/>
  <c r="AD420" i="1"/>
  <c r="AC421" i="1"/>
  <c r="AD423" i="1"/>
  <c r="AB424" i="1"/>
  <c r="AB425" i="1"/>
  <c r="O426" i="1"/>
  <c r="AC428" i="1"/>
  <c r="AB429" i="1"/>
  <c r="Y431" i="1"/>
  <c r="X432" i="1"/>
  <c r="Y433" i="1"/>
  <c r="AA434" i="1"/>
  <c r="Y438" i="1"/>
  <c r="Z439" i="1"/>
  <c r="Y440" i="1"/>
  <c r="I442" i="1"/>
  <c r="E443" i="1"/>
  <c r="O445" i="1"/>
  <c r="AC446" i="1"/>
  <c r="AC447" i="1"/>
  <c r="AA448" i="1"/>
  <c r="Z449" i="1"/>
  <c r="Y450" i="1"/>
  <c r="Y451" i="1"/>
  <c r="I453" i="1"/>
  <c r="H455" i="1"/>
  <c r="G456" i="1"/>
  <c r="G457" i="1"/>
  <c r="H458" i="1"/>
  <c r="G459" i="1"/>
  <c r="T460" i="1"/>
  <c r="E461" i="1"/>
  <c r="T462" i="1"/>
  <c r="AC463" i="1"/>
  <c r="AB464" i="1"/>
  <c r="Y465" i="1"/>
  <c r="Z467" i="1"/>
  <c r="AC468" i="1"/>
  <c r="AC469" i="1"/>
  <c r="AD470" i="1"/>
  <c r="AD471" i="1"/>
  <c r="AD472" i="1"/>
  <c r="H413" i="1"/>
  <c r="T414" i="1"/>
  <c r="S415" i="1"/>
  <c r="P416" i="1"/>
  <c r="T417" i="1"/>
  <c r="P418" i="1"/>
  <c r="AB419" i="1"/>
  <c r="AC420" i="1"/>
  <c r="AB421" i="1"/>
  <c r="AD422" i="1"/>
  <c r="AC423" i="1"/>
  <c r="AA424" i="1"/>
  <c r="AA425" i="1"/>
  <c r="N426" i="1"/>
  <c r="AD427" i="1"/>
  <c r="AB428" i="1"/>
  <c r="AA429" i="1"/>
  <c r="AD430" i="1"/>
  <c r="X431" i="1"/>
  <c r="W432" i="1"/>
  <c r="X433" i="1"/>
  <c r="Z434" i="1"/>
  <c r="J436" i="1"/>
  <c r="AH437" i="1"/>
  <c r="X438" i="1"/>
  <c r="Y439" i="1"/>
  <c r="X440" i="1"/>
  <c r="H442" i="1"/>
  <c r="D443" i="1"/>
  <c r="T444" i="1"/>
  <c r="AB446" i="1"/>
  <c r="AB447" i="1"/>
  <c r="Z448" i="1"/>
  <c r="Y449" i="1"/>
  <c r="X450" i="1"/>
  <c r="X451" i="1"/>
  <c r="H453" i="1"/>
  <c r="J454" i="1"/>
  <c r="G455" i="1"/>
  <c r="F456" i="1"/>
  <c r="F457" i="1"/>
  <c r="G458" i="1"/>
  <c r="F459" i="1"/>
  <c r="S460" i="1"/>
  <c r="D461" i="1"/>
  <c r="S462" i="1"/>
  <c r="AB463" i="1"/>
  <c r="AA464" i="1"/>
  <c r="X465" i="1"/>
  <c r="Z466" i="1"/>
  <c r="Y467" i="1"/>
  <c r="AB468" i="1"/>
  <c r="AB469" i="1"/>
  <c r="AC470" i="1"/>
  <c r="AC471" i="1"/>
  <c r="AC472" i="1"/>
  <c r="AD473" i="1"/>
  <c r="J456" i="1"/>
  <c r="G413" i="1"/>
  <c r="S414" i="1"/>
  <c r="R415" i="1"/>
  <c r="O416" i="1"/>
  <c r="S417" i="1"/>
  <c r="AA419" i="1"/>
  <c r="AB420" i="1"/>
  <c r="AA421" i="1"/>
  <c r="AB423" i="1"/>
  <c r="Z424" i="1"/>
  <c r="Z425" i="1"/>
  <c r="AA428" i="1"/>
  <c r="Z429" i="1"/>
  <c r="AC430" i="1"/>
  <c r="Y434" i="1"/>
  <c r="J437" i="1"/>
  <c r="S444" i="1"/>
  <c r="AD445" i="1"/>
  <c r="AA446" i="1"/>
  <c r="AA447" i="1"/>
  <c r="Y448" i="1"/>
  <c r="X449" i="1"/>
  <c r="G453" i="1"/>
  <c r="I454" i="1"/>
  <c r="F455" i="1"/>
  <c r="E456" i="1"/>
  <c r="E457" i="1"/>
  <c r="F458" i="1"/>
  <c r="E459" i="1"/>
  <c r="R460" i="1"/>
  <c r="R462" i="1"/>
  <c r="AA463" i="1"/>
  <c r="Z464" i="1"/>
  <c r="W465" i="1"/>
  <c r="Y466" i="1"/>
  <c r="X467" i="1"/>
  <c r="AA468" i="1"/>
  <c r="AA469" i="1"/>
  <c r="AB470" i="1"/>
  <c r="AB471" i="1"/>
  <c r="AB472" i="1"/>
  <c r="AC473" i="1"/>
  <c r="F413" i="1"/>
  <c r="R414" i="1"/>
  <c r="Q415" i="1"/>
  <c r="R417" i="1"/>
  <c r="Z419" i="1"/>
  <c r="AA420" i="1"/>
  <c r="Z421" i="1"/>
  <c r="AB422" i="1"/>
  <c r="AA423" i="1"/>
  <c r="Y424" i="1"/>
  <c r="Y425" i="1"/>
  <c r="AD426" i="1"/>
  <c r="AB427" i="1"/>
  <c r="Z428" i="1"/>
  <c r="Y429" i="1"/>
  <c r="AB430" i="1"/>
  <c r="AH431" i="1"/>
  <c r="AH432" i="1"/>
  <c r="X434" i="1"/>
  <c r="H436" i="1"/>
  <c r="I437" i="1"/>
  <c r="J438" i="1"/>
  <c r="AH438" i="1"/>
  <c r="AH440" i="1"/>
  <c r="T442" i="1"/>
  <c r="T443" i="1"/>
  <c r="R444" i="1"/>
  <c r="AC445" i="1"/>
  <c r="Z446" i="1"/>
  <c r="Z447" i="1"/>
  <c r="X448" i="1"/>
  <c r="AH450" i="1"/>
  <c r="AH451" i="1"/>
  <c r="F453" i="1"/>
  <c r="H454" i="1"/>
  <c r="E455" i="1"/>
  <c r="D456" i="1"/>
  <c r="D459" i="1"/>
  <c r="Q460" i="1"/>
  <c r="T461" i="1"/>
  <c r="Q462" i="1"/>
  <c r="Z463" i="1"/>
  <c r="Y464" i="1"/>
  <c r="V465" i="1"/>
  <c r="W467" i="1"/>
  <c r="Z468" i="1"/>
  <c r="Z469" i="1"/>
  <c r="AA470" i="1"/>
  <c r="AA471" i="1"/>
  <c r="AA472" i="1"/>
  <c r="AB473" i="1"/>
  <c r="X464" i="1"/>
  <c r="AH466" i="1"/>
  <c r="Y468" i="1"/>
  <c r="Y469" i="1"/>
  <c r="X419" i="1"/>
  <c r="X420" i="1"/>
  <c r="X421" i="1"/>
  <c r="AH430" i="1"/>
  <c r="AG433" i="1"/>
  <c r="AH434" i="1"/>
  <c r="X446" i="1"/>
  <c r="X447" i="1"/>
  <c r="J434" i="1"/>
  <c r="Q413" i="1"/>
  <c r="AB414" i="1"/>
  <c r="AA415" i="1"/>
  <c r="Z416" i="1"/>
  <c r="AG420" i="1"/>
  <c r="AG421" i="1"/>
  <c r="AH425" i="1"/>
  <c r="AH428" i="1"/>
  <c r="I431" i="1"/>
  <c r="I434" i="1"/>
  <c r="T437" i="1"/>
  <c r="E438" i="1"/>
  <c r="H440" i="1"/>
  <c r="AD443" i="1"/>
  <c r="AB444" i="1"/>
  <c r="X445" i="1"/>
  <c r="H450" i="1"/>
  <c r="I452" i="1"/>
  <c r="Q455" i="1"/>
  <c r="P457" i="1"/>
  <c r="AD460" i="1"/>
  <c r="AC461" i="1"/>
  <c r="J465" i="1"/>
  <c r="J468" i="1"/>
  <c r="J470" i="1"/>
  <c r="AH471" i="1"/>
  <c r="W473" i="1"/>
  <c r="AD461" i="1"/>
  <c r="P413" i="1"/>
  <c r="AA414" i="1"/>
  <c r="Z415" i="1"/>
  <c r="Y416" i="1"/>
  <c r="AH418" i="1"/>
  <c r="J420" i="1"/>
  <c r="AG423" i="1"/>
  <c r="AG425" i="1"/>
  <c r="AG428" i="1"/>
  <c r="J430" i="1"/>
  <c r="H431" i="1"/>
  <c r="F432" i="1"/>
  <c r="F433" i="1"/>
  <c r="H434" i="1"/>
  <c r="S435" i="1"/>
  <c r="S437" i="1"/>
  <c r="D438" i="1"/>
  <c r="G439" i="1"/>
  <c r="G440" i="1"/>
  <c r="AD442" i="1"/>
  <c r="AC443" i="1"/>
  <c r="J448" i="1"/>
  <c r="H449" i="1"/>
  <c r="G450" i="1"/>
  <c r="H452" i="1"/>
  <c r="P455" i="1"/>
  <c r="O457" i="1"/>
  <c r="AC460" i="1"/>
  <c r="AB461" i="1"/>
  <c r="I465" i="1"/>
  <c r="I466" i="1"/>
  <c r="I468" i="1"/>
  <c r="J469" i="1"/>
  <c r="I470" i="1"/>
  <c r="AH470" i="1"/>
  <c r="AG471" i="1"/>
  <c r="AD456" i="1"/>
  <c r="J421" i="1"/>
  <c r="J422" i="1"/>
  <c r="I430" i="1"/>
  <c r="AD459" i="1"/>
  <c r="AD413" i="1"/>
  <c r="Y414" i="1"/>
  <c r="X415" i="1"/>
  <c r="W416" i="1"/>
  <c r="Y417" i="1"/>
  <c r="J419" i="1"/>
  <c r="H420" i="1"/>
  <c r="I421" i="1"/>
  <c r="I422" i="1"/>
  <c r="J427" i="1"/>
  <c r="H430" i="1"/>
  <c r="T431" i="1"/>
  <c r="D432" i="1"/>
  <c r="F434" i="1"/>
  <c r="Q437" i="1"/>
  <c r="T440" i="1"/>
  <c r="R441" i="1"/>
  <c r="AB442" i="1"/>
  <c r="AA443" i="1"/>
  <c r="I447" i="1"/>
  <c r="H448" i="1"/>
  <c r="F449" i="1"/>
  <c r="T450" i="1"/>
  <c r="T452" i="1"/>
  <c r="Q453" i="1"/>
  <c r="O454" i="1"/>
  <c r="AD455" i="1"/>
  <c r="AC456" i="1"/>
  <c r="AD457" i="1"/>
  <c r="AC459" i="1"/>
  <c r="AA460" i="1"/>
  <c r="Z461" i="1"/>
  <c r="I463" i="1"/>
  <c r="I464" i="1"/>
  <c r="G465" i="1"/>
  <c r="G466" i="1"/>
  <c r="G468" i="1"/>
  <c r="H469" i="1"/>
  <c r="G470" i="1"/>
  <c r="J471" i="1"/>
  <c r="J472" i="1"/>
  <c r="AB460" i="1"/>
  <c r="J463" i="1"/>
  <c r="H465" i="1"/>
  <c r="H468" i="1"/>
  <c r="H470" i="1"/>
  <c r="AC413" i="1"/>
  <c r="I419" i="1"/>
  <c r="G420" i="1"/>
  <c r="H421" i="1"/>
  <c r="H422" i="1"/>
  <c r="J423" i="1"/>
  <c r="J424" i="1"/>
  <c r="I427" i="1"/>
  <c r="J428" i="1"/>
  <c r="G430" i="1"/>
  <c r="S431" i="1"/>
  <c r="E434" i="1"/>
  <c r="P435" i="1"/>
  <c r="Q436" i="1"/>
  <c r="P437" i="1"/>
  <c r="T438" i="1"/>
  <c r="T439" i="1"/>
  <c r="S440" i="1"/>
  <c r="Q441" i="1"/>
  <c r="AA442" i="1"/>
  <c r="Z443" i="1"/>
  <c r="AH444" i="1"/>
  <c r="J446" i="1"/>
  <c r="H447" i="1"/>
  <c r="G448" i="1"/>
  <c r="E449" i="1"/>
  <c r="S450" i="1"/>
  <c r="T451" i="1"/>
  <c r="S452" i="1"/>
  <c r="P453" i="1"/>
  <c r="N454" i="1"/>
  <c r="AC455" i="1"/>
  <c r="AB456" i="1"/>
  <c r="AC457" i="1"/>
  <c r="AD458" i="1"/>
  <c r="AB459" i="1"/>
  <c r="Z460" i="1"/>
  <c r="Y461" i="1"/>
  <c r="H463" i="1"/>
  <c r="H464" i="1"/>
  <c r="F465" i="1"/>
  <c r="D467" i="1"/>
  <c r="F468" i="1"/>
  <c r="G469" i="1"/>
  <c r="F470" i="1"/>
  <c r="I471" i="1"/>
  <c r="I472" i="1"/>
  <c r="J473" i="1"/>
  <c r="AB443" i="1"/>
  <c r="J447" i="1"/>
  <c r="AB413" i="1"/>
  <c r="AH415" i="1"/>
  <c r="AH416" i="1"/>
  <c r="W417" i="1"/>
  <c r="H419" i="1"/>
  <c r="F420" i="1"/>
  <c r="G421" i="1"/>
  <c r="G422" i="1"/>
  <c r="I423" i="1"/>
  <c r="I424" i="1"/>
  <c r="J426" i="1"/>
  <c r="H427" i="1"/>
  <c r="I428" i="1"/>
  <c r="H429" i="1"/>
  <c r="F430" i="1"/>
  <c r="R431" i="1"/>
  <c r="T432" i="1"/>
  <c r="T433" i="1"/>
  <c r="D434" i="1"/>
  <c r="O435" i="1"/>
  <c r="O437" i="1"/>
  <c r="S438" i="1"/>
  <c r="S439" i="1"/>
  <c r="R440" i="1"/>
  <c r="Z442" i="1"/>
  <c r="Y443" i="1"/>
  <c r="I446" i="1"/>
  <c r="G447" i="1"/>
  <c r="R450" i="1"/>
  <c r="S451" i="1"/>
  <c r="R452" i="1"/>
  <c r="L454" i="1"/>
  <c r="AB455" i="1"/>
  <c r="AA456" i="1"/>
  <c r="AB457" i="1"/>
  <c r="AC458" i="1"/>
  <c r="AA459" i="1"/>
  <c r="Y460" i="1"/>
  <c r="X461" i="1"/>
  <c r="G463" i="1"/>
  <c r="E465" i="1"/>
  <c r="T466" i="1"/>
  <c r="E468" i="1"/>
  <c r="F469" i="1"/>
  <c r="E470" i="1"/>
  <c r="H471" i="1"/>
  <c r="H472" i="1"/>
  <c r="I473" i="1"/>
  <c r="Q355" i="1"/>
  <c r="P356" i="1"/>
  <c r="R358" i="1"/>
  <c r="P359" i="1"/>
  <c r="R360" i="1"/>
  <c r="AA364" i="1"/>
  <c r="AB365" i="1"/>
  <c r="AA366" i="1"/>
  <c r="H370" i="1"/>
  <c r="O376" i="1"/>
  <c r="P377" i="1"/>
  <c r="N379" i="1"/>
  <c r="AA380" i="1"/>
  <c r="D387" i="1"/>
  <c r="R389" i="1"/>
  <c r="Q390" i="1"/>
  <c r="S391" i="1"/>
  <c r="N392" i="1"/>
  <c r="Q393" i="1"/>
  <c r="O394" i="1"/>
  <c r="AC395" i="1"/>
  <c r="Z396" i="1"/>
  <c r="Z397" i="1"/>
  <c r="I399" i="1"/>
  <c r="H400" i="1"/>
  <c r="S401" i="1"/>
  <c r="Q402" i="1"/>
  <c r="E403" i="1"/>
  <c r="E406" i="1"/>
  <c r="E407" i="1"/>
  <c r="AA410" i="1"/>
  <c r="AC411" i="1"/>
  <c r="AB412" i="1"/>
  <c r="O355" i="1"/>
  <c r="N356" i="1"/>
  <c r="P358" i="1"/>
  <c r="N359" i="1"/>
  <c r="P360" i="1"/>
  <c r="O361" i="1"/>
  <c r="AA362" i="1"/>
  <c r="W363" i="1"/>
  <c r="Y364" i="1"/>
  <c r="Z365" i="1"/>
  <c r="Y366" i="1"/>
  <c r="Z367" i="1"/>
  <c r="F370" i="1"/>
  <c r="N377" i="1"/>
  <c r="AD379" i="1"/>
  <c r="Y380" i="1"/>
  <c r="S388" i="1"/>
  <c r="O390" i="1"/>
  <c r="Q391" i="1"/>
  <c r="AA395" i="1"/>
  <c r="X397" i="1"/>
  <c r="F400" i="1"/>
  <c r="Q401" i="1"/>
  <c r="O402" i="1"/>
  <c r="C406" i="1"/>
  <c r="T407" i="1"/>
  <c r="Y410" i="1"/>
  <c r="AA411" i="1"/>
  <c r="Z412" i="1"/>
  <c r="N355" i="1"/>
  <c r="M356" i="1"/>
  <c r="O358" i="1"/>
  <c r="O360" i="1"/>
  <c r="X364" i="1"/>
  <c r="Y365" i="1"/>
  <c r="X366" i="1"/>
  <c r="Y367" i="1"/>
  <c r="A370" i="1"/>
  <c r="AC379" i="1"/>
  <c r="X380" i="1"/>
  <c r="R388" i="1"/>
  <c r="E400" i="1"/>
  <c r="N402" i="1"/>
  <c r="T403" i="1"/>
  <c r="X410" i="1"/>
  <c r="Z411" i="1"/>
  <c r="Y412" i="1"/>
  <c r="AH362" i="1"/>
  <c r="W364" i="1"/>
  <c r="X365" i="1"/>
  <c r="AB379" i="1"/>
  <c r="W380" i="1"/>
  <c r="Q388" i="1"/>
  <c r="D400" i="1"/>
  <c r="M402" i="1"/>
  <c r="S403" i="1"/>
  <c r="W410" i="1"/>
  <c r="Y411" i="1"/>
  <c r="X412" i="1"/>
  <c r="T383" i="1"/>
  <c r="AA355" i="1"/>
  <c r="AA356" i="1"/>
  <c r="Y357" i="1"/>
  <c r="AA358" i="1"/>
  <c r="Z359" i="1"/>
  <c r="AA360" i="1"/>
  <c r="H363" i="1"/>
  <c r="I364" i="1"/>
  <c r="I367" i="1"/>
  <c r="J368" i="1"/>
  <c r="T369" i="1"/>
  <c r="Q370" i="1"/>
  <c r="AC371" i="1"/>
  <c r="AC372" i="1"/>
  <c r="Y373" i="1"/>
  <c r="Z377" i="1"/>
  <c r="Y378" i="1"/>
  <c r="I380" i="1"/>
  <c r="E382" i="1"/>
  <c r="S383" i="1"/>
  <c r="AD386" i="1"/>
  <c r="AB388" i="1"/>
  <c r="X389" i="1"/>
  <c r="AB402" i="1"/>
  <c r="AC404" i="1"/>
  <c r="AH408" i="1"/>
  <c r="J411" i="1"/>
  <c r="J412" i="1"/>
  <c r="J367" i="1"/>
  <c r="AD371" i="1"/>
  <c r="AD372" i="1"/>
  <c r="J380" i="1"/>
  <c r="Z356" i="1"/>
  <c r="X357" i="1"/>
  <c r="Z358" i="1"/>
  <c r="Y359" i="1"/>
  <c r="Z360" i="1"/>
  <c r="G363" i="1"/>
  <c r="H364" i="1"/>
  <c r="J365" i="1"/>
  <c r="J366" i="1"/>
  <c r="H367" i="1"/>
  <c r="I368" i="1"/>
  <c r="S369" i="1"/>
  <c r="P370" i="1"/>
  <c r="AB371" i="1"/>
  <c r="AB372" i="1"/>
  <c r="X373" i="1"/>
  <c r="AH375" i="1"/>
  <c r="Y377" i="1"/>
  <c r="X378" i="1"/>
  <c r="H380" i="1"/>
  <c r="D382" i="1"/>
  <c r="R383" i="1"/>
  <c r="R385" i="1"/>
  <c r="AC386" i="1"/>
  <c r="AD387" i="1"/>
  <c r="AA388" i="1"/>
  <c r="W389" i="1"/>
  <c r="Y390" i="1"/>
  <c r="Y391" i="1"/>
  <c r="W393" i="1"/>
  <c r="AH394" i="1"/>
  <c r="H396" i="1"/>
  <c r="H397" i="1"/>
  <c r="S398" i="1"/>
  <c r="N399" i="1"/>
  <c r="Q400" i="1"/>
  <c r="Y401" i="1"/>
  <c r="AA402" i="1"/>
  <c r="AA403" i="1"/>
  <c r="AB404" i="1"/>
  <c r="AD405" i="1"/>
  <c r="AD406" i="1"/>
  <c r="AG408" i="1"/>
  <c r="AH409" i="1"/>
  <c r="I411" i="1"/>
  <c r="I412" i="1"/>
  <c r="AH355" i="1"/>
  <c r="Y356" i="1"/>
  <c r="Y358" i="1"/>
  <c r="Y360" i="1"/>
  <c r="AH361" i="1"/>
  <c r="F363" i="1"/>
  <c r="G364" i="1"/>
  <c r="I365" i="1"/>
  <c r="I366" i="1"/>
  <c r="G367" i="1"/>
  <c r="H368" i="1"/>
  <c r="R369" i="1"/>
  <c r="AA371" i="1"/>
  <c r="AA372" i="1"/>
  <c r="J375" i="1"/>
  <c r="AG375" i="1"/>
  <c r="X377" i="1"/>
  <c r="W378" i="1"/>
  <c r="G380" i="1"/>
  <c r="T381" i="1"/>
  <c r="Q383" i="1"/>
  <c r="T384" i="1"/>
  <c r="AB386" i="1"/>
  <c r="AC387" i="1"/>
  <c r="Z388" i="1"/>
  <c r="G396" i="1"/>
  <c r="Z402" i="1"/>
  <c r="Z403" i="1"/>
  <c r="AA404" i="1"/>
  <c r="AC405" i="1"/>
  <c r="AC406" i="1"/>
  <c r="J408" i="1"/>
  <c r="H411" i="1"/>
  <c r="H412" i="1"/>
  <c r="AC402" i="1"/>
  <c r="AD404" i="1"/>
  <c r="X356" i="1"/>
  <c r="X358" i="1"/>
  <c r="AH359" i="1"/>
  <c r="X360" i="1"/>
  <c r="E363" i="1"/>
  <c r="F364" i="1"/>
  <c r="H365" i="1"/>
  <c r="H366" i="1"/>
  <c r="F367" i="1"/>
  <c r="Q369" i="1"/>
  <c r="AD370" i="1"/>
  <c r="Z371" i="1"/>
  <c r="Z372" i="1"/>
  <c r="AH373" i="1"/>
  <c r="I375" i="1"/>
  <c r="AF375" i="1"/>
  <c r="F380" i="1"/>
  <c r="S381" i="1"/>
  <c r="T382" i="1"/>
  <c r="P383" i="1"/>
  <c r="S384" i="1"/>
  <c r="P385" i="1"/>
  <c r="AA386" i="1"/>
  <c r="AB387" i="1"/>
  <c r="Y388" i="1"/>
  <c r="AH389" i="1"/>
  <c r="W390" i="1"/>
  <c r="W391" i="1"/>
  <c r="AH393" i="1"/>
  <c r="J395" i="1"/>
  <c r="F396" i="1"/>
  <c r="Q398" i="1"/>
  <c r="AD399" i="1"/>
  <c r="AD400" i="1"/>
  <c r="Y402" i="1"/>
  <c r="Y403" i="1"/>
  <c r="Z404" i="1"/>
  <c r="AB405" i="1"/>
  <c r="AB406" i="1"/>
  <c r="I408" i="1"/>
  <c r="J409" i="1"/>
  <c r="J410" i="1"/>
  <c r="G411" i="1"/>
  <c r="G412" i="1"/>
  <c r="AD402" i="1"/>
  <c r="AH357" i="1"/>
  <c r="J362" i="1"/>
  <c r="G365" i="1"/>
  <c r="E367" i="1"/>
  <c r="T368" i="1"/>
  <c r="AC370" i="1"/>
  <c r="Y371" i="1"/>
  <c r="Y372" i="1"/>
  <c r="H375" i="1"/>
  <c r="AH377" i="1"/>
  <c r="AH378" i="1"/>
  <c r="E380" i="1"/>
  <c r="R381" i="1"/>
  <c r="S382" i="1"/>
  <c r="O383" i="1"/>
  <c r="Z386" i="1"/>
  <c r="AA387" i="1"/>
  <c r="W388" i="1"/>
  <c r="J393" i="1"/>
  <c r="I395" i="1"/>
  <c r="E396" i="1"/>
  <c r="T397" i="1"/>
  <c r="AC399" i="1"/>
  <c r="AC400" i="1"/>
  <c r="AH401" i="1"/>
  <c r="X402" i="1"/>
  <c r="X403" i="1"/>
  <c r="Y404" i="1"/>
  <c r="AA405" i="1"/>
  <c r="AA406" i="1"/>
  <c r="H408" i="1"/>
  <c r="I409" i="1"/>
  <c r="I410" i="1"/>
  <c r="F411" i="1"/>
  <c r="I356" i="1"/>
  <c r="AH356" i="1"/>
  <c r="AG357" i="1"/>
  <c r="AH358" i="1"/>
  <c r="AH360" i="1"/>
  <c r="I362" i="1"/>
  <c r="T364" i="1"/>
  <c r="F365" i="1"/>
  <c r="T366" i="1"/>
  <c r="D367" i="1"/>
  <c r="S368" i="1"/>
  <c r="AD369" i="1"/>
  <c r="AB370" i="1"/>
  <c r="X371" i="1"/>
  <c r="X372" i="1"/>
  <c r="J374" i="1"/>
  <c r="G375" i="1"/>
  <c r="J376" i="1"/>
  <c r="D380" i="1"/>
  <c r="Q381" i="1"/>
  <c r="R382" i="1"/>
  <c r="N383" i="1"/>
  <c r="AD384" i="1"/>
  <c r="AD385" i="1"/>
  <c r="Y386" i="1"/>
  <c r="Z387" i="1"/>
  <c r="J390" i="1"/>
  <c r="AH390" i="1"/>
  <c r="J394" i="1"/>
  <c r="H395" i="1"/>
  <c r="AB399" i="1"/>
  <c r="W402" i="1"/>
  <c r="X404" i="1"/>
  <c r="Z405" i="1"/>
  <c r="Z406" i="1"/>
  <c r="G408" i="1"/>
  <c r="H409" i="1"/>
  <c r="H410" i="1"/>
  <c r="E411" i="1"/>
  <c r="T412" i="1"/>
  <c r="AH354" i="1"/>
  <c r="AG356" i="1"/>
  <c r="AF357" i="1"/>
  <c r="E365" i="1"/>
  <c r="AA370" i="1"/>
  <c r="W372" i="1"/>
  <c r="I374" i="1"/>
  <c r="C380" i="1"/>
  <c r="Y387" i="1"/>
  <c r="AH388" i="1"/>
  <c r="AH403" i="1"/>
  <c r="Y405" i="1"/>
  <c r="F410" i="1"/>
  <c r="D411" i="1"/>
  <c r="AG354" i="1"/>
  <c r="Z370" i="1"/>
  <c r="X387" i="1"/>
  <c r="AG388" i="1"/>
  <c r="AG403" i="1"/>
  <c r="AH404" i="1"/>
  <c r="X405" i="1"/>
  <c r="C411" i="1"/>
  <c r="AD382" i="1"/>
  <c r="H355" i="1"/>
  <c r="G357" i="1"/>
  <c r="E360" i="1"/>
  <c r="F361" i="1"/>
  <c r="P362" i="1"/>
  <c r="AD363" i="1"/>
  <c r="N364" i="1"/>
  <c r="Q365" i="1"/>
  <c r="N366" i="1"/>
  <c r="P367" i="1"/>
  <c r="AC368" i="1"/>
  <c r="AH369" i="1"/>
  <c r="J371" i="1"/>
  <c r="I372" i="1"/>
  <c r="H373" i="1"/>
  <c r="Q374" i="1"/>
  <c r="T375" i="1"/>
  <c r="T376" i="1"/>
  <c r="T378" i="1"/>
  <c r="S379" i="1"/>
  <c r="Q380" i="1"/>
  <c r="AA382" i="1"/>
  <c r="Z383" i="1"/>
  <c r="X384" i="1"/>
  <c r="I387" i="1"/>
  <c r="AF387" i="1"/>
  <c r="D390" i="1"/>
  <c r="F391" i="1"/>
  <c r="S392" i="1"/>
  <c r="C393" i="1"/>
  <c r="T394" i="1"/>
  <c r="P395" i="1"/>
  <c r="AH399" i="1"/>
  <c r="E402" i="1"/>
  <c r="J403" i="1"/>
  <c r="H404" i="1"/>
  <c r="H405" i="1"/>
  <c r="J406" i="1"/>
  <c r="J407" i="1"/>
  <c r="S408" i="1"/>
  <c r="T409" i="1"/>
  <c r="Q410" i="1"/>
  <c r="R411" i="1"/>
  <c r="N412" i="1"/>
  <c r="J405" i="1"/>
  <c r="T379" i="1"/>
  <c r="T392" i="1"/>
  <c r="T356" i="1"/>
  <c r="T359" i="1"/>
  <c r="O362" i="1"/>
  <c r="AC363" i="1"/>
  <c r="AB368" i="1"/>
  <c r="I371" i="1"/>
  <c r="H372" i="1"/>
  <c r="G373" i="1"/>
  <c r="P374" i="1"/>
  <c r="S375" i="1"/>
  <c r="S376" i="1"/>
  <c r="T377" i="1"/>
  <c r="S378" i="1"/>
  <c r="R379" i="1"/>
  <c r="Z382" i="1"/>
  <c r="J386" i="1"/>
  <c r="H387" i="1"/>
  <c r="E391" i="1"/>
  <c r="R392" i="1"/>
  <c r="S394" i="1"/>
  <c r="O395" i="1"/>
  <c r="AD396" i="1"/>
  <c r="AD397" i="1"/>
  <c r="AH398" i="1"/>
  <c r="I403" i="1"/>
  <c r="G404" i="1"/>
  <c r="G405" i="1"/>
  <c r="I406" i="1"/>
  <c r="I407" i="1"/>
  <c r="R408" i="1"/>
  <c r="S409" i="1"/>
  <c r="Q411" i="1"/>
  <c r="M412" i="1"/>
  <c r="AD368" i="1"/>
  <c r="AB382" i="1"/>
  <c r="J387" i="1"/>
  <c r="I405" i="1"/>
  <c r="T355" i="1"/>
  <c r="S356" i="1"/>
  <c r="T357" i="1"/>
  <c r="S359" i="1"/>
  <c r="T361" i="1"/>
  <c r="N362" i="1"/>
  <c r="AB363" i="1"/>
  <c r="AD364" i="1"/>
  <c r="AD366" i="1"/>
  <c r="AA368" i="1"/>
  <c r="H371" i="1"/>
  <c r="G372" i="1"/>
  <c r="F373" i="1"/>
  <c r="O374" i="1"/>
  <c r="R375" i="1"/>
  <c r="R376" i="1"/>
  <c r="S377" i="1"/>
  <c r="R378" i="1"/>
  <c r="Q379" i="1"/>
  <c r="AD380" i="1"/>
  <c r="AA381" i="1"/>
  <c r="Y382" i="1"/>
  <c r="X383" i="1"/>
  <c r="AH384" i="1"/>
  <c r="I386" i="1"/>
  <c r="G387" i="1"/>
  <c r="J388" i="1"/>
  <c r="T390" i="1"/>
  <c r="D391" i="1"/>
  <c r="Q392" i="1"/>
  <c r="T393" i="1"/>
  <c r="R394" i="1"/>
  <c r="M395" i="1"/>
  <c r="AC396" i="1"/>
  <c r="AC397" i="1"/>
  <c r="AG398" i="1"/>
  <c r="J401" i="1"/>
  <c r="T402" i="1"/>
  <c r="H403" i="1"/>
  <c r="F404" i="1"/>
  <c r="F405" i="1"/>
  <c r="H406" i="1"/>
  <c r="H407" i="1"/>
  <c r="Q408" i="1"/>
  <c r="R409" i="1"/>
  <c r="AD410" i="1"/>
  <c r="AC382" i="1"/>
  <c r="S355" i="1"/>
  <c r="R356" i="1"/>
  <c r="S357" i="1"/>
  <c r="T358" i="1"/>
  <c r="R359" i="1"/>
  <c r="T360" i="1"/>
  <c r="S361" i="1"/>
  <c r="AA363" i="1"/>
  <c r="AC364" i="1"/>
  <c r="AD365" i="1"/>
  <c r="AC366" i="1"/>
  <c r="AD367" i="1"/>
  <c r="Z368" i="1"/>
  <c r="J370" i="1"/>
  <c r="G371" i="1"/>
  <c r="Q375" i="1"/>
  <c r="Q376" i="1"/>
  <c r="R377" i="1"/>
  <c r="Q378" i="1"/>
  <c r="P379" i="1"/>
  <c r="AC380" i="1"/>
  <c r="X382" i="1"/>
  <c r="H386" i="1"/>
  <c r="F387" i="1"/>
  <c r="I388" i="1"/>
  <c r="T389" i="1"/>
  <c r="S390" i="1"/>
  <c r="P392" i="1"/>
  <c r="S393" i="1"/>
  <c r="Q394" i="1"/>
  <c r="AB396" i="1"/>
  <c r="AB397" i="1"/>
  <c r="J400" i="1"/>
  <c r="S402" i="1"/>
  <c r="G403" i="1"/>
  <c r="E405" i="1"/>
  <c r="G406" i="1"/>
  <c r="G407" i="1"/>
  <c r="AC410" i="1"/>
  <c r="AD412" i="1"/>
  <c r="R355" i="1"/>
  <c r="Q356" i="1"/>
  <c r="R357" i="1"/>
  <c r="S358" i="1"/>
  <c r="Q359" i="1"/>
  <c r="S360" i="1"/>
  <c r="R361" i="1"/>
  <c r="AD362" i="1"/>
  <c r="Z363" i="1"/>
  <c r="AB364" i="1"/>
  <c r="AC365" i="1"/>
  <c r="AB366" i="1"/>
  <c r="AC367" i="1"/>
  <c r="Y368" i="1"/>
  <c r="I370" i="1"/>
  <c r="F371" i="1"/>
  <c r="T372" i="1"/>
  <c r="T373" i="1"/>
  <c r="AD374" i="1"/>
  <c r="P375" i="1"/>
  <c r="P376" i="1"/>
  <c r="Q377" i="1"/>
  <c r="P378" i="1"/>
  <c r="O379" i="1"/>
  <c r="AB380" i="1"/>
  <c r="W382" i="1"/>
  <c r="AH383" i="1"/>
  <c r="J385" i="1"/>
  <c r="G386" i="1"/>
  <c r="E387" i="1"/>
  <c r="H388" i="1"/>
  <c r="S389" i="1"/>
  <c r="R390" i="1"/>
  <c r="T391" i="1"/>
  <c r="O392" i="1"/>
  <c r="R393" i="1"/>
  <c r="P394" i="1"/>
  <c r="AD395" i="1"/>
  <c r="AA396" i="1"/>
  <c r="AA397" i="1"/>
  <c r="J399" i="1"/>
  <c r="I400" i="1"/>
  <c r="T401" i="1"/>
  <c r="R402" i="1"/>
  <c r="F403" i="1"/>
  <c r="T404" i="1"/>
  <c r="D405" i="1"/>
  <c r="F406" i="1"/>
  <c r="F407" i="1"/>
  <c r="AD409" i="1"/>
  <c r="AB410" i="1"/>
  <c r="AD411" i="1"/>
  <c r="AC412" i="1"/>
  <c r="T307" i="1"/>
  <c r="Y318" i="1"/>
  <c r="AB319" i="1"/>
  <c r="AB320" i="1"/>
  <c r="AA321" i="1"/>
  <c r="Z322" i="1"/>
  <c r="I325" i="1"/>
  <c r="H326" i="1"/>
  <c r="J327" i="1"/>
  <c r="AG327" i="1"/>
  <c r="AH328" i="1"/>
  <c r="AG329" i="1"/>
  <c r="I332" i="1"/>
  <c r="F333" i="1"/>
  <c r="S334" i="1"/>
  <c r="D335" i="1"/>
  <c r="H336" i="1"/>
  <c r="J337" i="1"/>
  <c r="J338" i="1"/>
  <c r="I339" i="1"/>
  <c r="H340" i="1"/>
  <c r="H341" i="1"/>
  <c r="R342" i="1"/>
  <c r="T343" i="1"/>
  <c r="R344" i="1"/>
  <c r="T345" i="1"/>
  <c r="Q346" i="1"/>
  <c r="T347" i="1"/>
  <c r="AA348" i="1"/>
  <c r="X349" i="1"/>
  <c r="F354" i="1"/>
  <c r="J306" i="1"/>
  <c r="J303" i="1"/>
  <c r="G304" i="1"/>
  <c r="I305" i="1"/>
  <c r="I306" i="1"/>
  <c r="S307" i="1"/>
  <c r="H310" i="1"/>
  <c r="G311" i="1"/>
  <c r="H312" i="1"/>
  <c r="AH313" i="1"/>
  <c r="X315" i="1"/>
  <c r="AH317" i="1"/>
  <c r="X318" i="1"/>
  <c r="AA319" i="1"/>
  <c r="AA320" i="1"/>
  <c r="Z321" i="1"/>
  <c r="Y322" i="1"/>
  <c r="J324" i="1"/>
  <c r="H325" i="1"/>
  <c r="G326" i="1"/>
  <c r="AG328" i="1"/>
  <c r="J331" i="1"/>
  <c r="H332" i="1"/>
  <c r="R334" i="1"/>
  <c r="C335" i="1"/>
  <c r="G336" i="1"/>
  <c r="I337" i="1"/>
  <c r="I338" i="1"/>
  <c r="H339" i="1"/>
  <c r="G340" i="1"/>
  <c r="G341" i="1"/>
  <c r="Q342" i="1"/>
  <c r="S343" i="1"/>
  <c r="Q344" i="1"/>
  <c r="S345" i="1"/>
  <c r="P346" i="1"/>
  <c r="S347" i="1"/>
  <c r="Z348" i="1"/>
  <c r="T351" i="1"/>
  <c r="E354" i="1"/>
  <c r="J302" i="1"/>
  <c r="I303" i="1"/>
  <c r="F304" i="1"/>
  <c r="H305" i="1"/>
  <c r="H306" i="1"/>
  <c r="R307" i="1"/>
  <c r="AH308" i="1"/>
  <c r="G310" i="1"/>
  <c r="F311" i="1"/>
  <c r="G312" i="1"/>
  <c r="J313" i="1"/>
  <c r="AG313" i="1"/>
  <c r="AH314" i="1"/>
  <c r="AH316" i="1"/>
  <c r="AG317" i="1"/>
  <c r="W318" i="1"/>
  <c r="Z319" i="1"/>
  <c r="Z320" i="1"/>
  <c r="Y321" i="1"/>
  <c r="X322" i="1"/>
  <c r="I324" i="1"/>
  <c r="G325" i="1"/>
  <c r="F326" i="1"/>
  <c r="J328" i="1"/>
  <c r="J330" i="1"/>
  <c r="I331" i="1"/>
  <c r="G332" i="1"/>
  <c r="F336" i="1"/>
  <c r="H337" i="1"/>
  <c r="H338" i="1"/>
  <c r="G339" i="1"/>
  <c r="F341" i="1"/>
  <c r="P342" i="1"/>
  <c r="R343" i="1"/>
  <c r="R345" i="1"/>
  <c r="O346" i="1"/>
  <c r="Y348" i="1"/>
  <c r="F312" i="1"/>
  <c r="Y320" i="1"/>
  <c r="X321" i="1"/>
  <c r="H324" i="1"/>
  <c r="F325" i="1"/>
  <c r="E326" i="1"/>
  <c r="I328" i="1"/>
  <c r="H331" i="1"/>
  <c r="E336" i="1"/>
  <c r="R351" i="1"/>
  <c r="T354" i="1"/>
  <c r="H302" i="1"/>
  <c r="G303" i="1"/>
  <c r="J309" i="1"/>
  <c r="D311" i="1"/>
  <c r="E312" i="1"/>
  <c r="H313" i="1"/>
  <c r="AH318" i="1"/>
  <c r="X320" i="1"/>
  <c r="W321" i="1"/>
  <c r="AH322" i="1"/>
  <c r="G324" i="1"/>
  <c r="E325" i="1"/>
  <c r="D326" i="1"/>
  <c r="H328" i="1"/>
  <c r="H330" i="1"/>
  <c r="G331" i="1"/>
  <c r="O334" i="1"/>
  <c r="D336" i="1"/>
  <c r="F338" i="1"/>
  <c r="E339" i="1"/>
  <c r="AH348" i="1"/>
  <c r="Q351" i="1"/>
  <c r="S354" i="1"/>
  <c r="G302" i="1"/>
  <c r="I309" i="1"/>
  <c r="D312" i="1"/>
  <c r="AG322" i="1"/>
  <c r="F324" i="1"/>
  <c r="D325" i="1"/>
  <c r="G328" i="1"/>
  <c r="AD343" i="1"/>
  <c r="AG348" i="1"/>
  <c r="R354" i="1"/>
  <c r="T313" i="1"/>
  <c r="I315" i="1"/>
  <c r="AD342" i="1"/>
  <c r="AC343" i="1"/>
  <c r="AD344" i="1"/>
  <c r="T302" i="1"/>
  <c r="S303" i="1"/>
  <c r="R304" i="1"/>
  <c r="R305" i="1"/>
  <c r="Q306" i="1"/>
  <c r="AA307" i="1"/>
  <c r="T309" i="1"/>
  <c r="Q310" i="1"/>
  <c r="S311" i="1"/>
  <c r="T312" i="1"/>
  <c r="S313" i="1"/>
  <c r="G314" i="1"/>
  <c r="H315" i="1"/>
  <c r="H316" i="1"/>
  <c r="G317" i="1"/>
  <c r="G318" i="1"/>
  <c r="J319" i="1"/>
  <c r="J320" i="1"/>
  <c r="J323" i="1"/>
  <c r="T328" i="1"/>
  <c r="T330" i="1"/>
  <c r="AD334" i="1"/>
  <c r="S336" i="1"/>
  <c r="R337" i="1"/>
  <c r="T338" i="1"/>
  <c r="Q341" i="1"/>
  <c r="AC342" i="1"/>
  <c r="AB343" i="1"/>
  <c r="AC344" i="1"/>
  <c r="AA345" i="1"/>
  <c r="AB346" i="1"/>
  <c r="AB347" i="1"/>
  <c r="AD354" i="1"/>
  <c r="S302" i="1"/>
  <c r="R303" i="1"/>
  <c r="Q304" i="1"/>
  <c r="Q305" i="1"/>
  <c r="P306" i="1"/>
  <c r="Z307" i="1"/>
  <c r="S309" i="1"/>
  <c r="P310" i="1"/>
  <c r="R311" i="1"/>
  <c r="S312" i="1"/>
  <c r="R313" i="1"/>
  <c r="F314" i="1"/>
  <c r="G315" i="1"/>
  <c r="G316" i="1"/>
  <c r="F317" i="1"/>
  <c r="F318" i="1"/>
  <c r="I319" i="1"/>
  <c r="I320" i="1"/>
  <c r="I323" i="1"/>
  <c r="S324" i="1"/>
  <c r="S325" i="1"/>
  <c r="R326" i="1"/>
  <c r="T327" i="1"/>
  <c r="S328" i="1"/>
  <c r="T329" i="1"/>
  <c r="S330" i="1"/>
  <c r="R331" i="1"/>
  <c r="P332" i="1"/>
  <c r="AD333" i="1"/>
  <c r="AC334" i="1"/>
  <c r="R336" i="1"/>
  <c r="Q337" i="1"/>
  <c r="S338" i="1"/>
  <c r="P341" i="1"/>
  <c r="AB342" i="1"/>
  <c r="AA343" i="1"/>
  <c r="AB344" i="1"/>
  <c r="Z345" i="1"/>
  <c r="AA346" i="1"/>
  <c r="AA347" i="1"/>
  <c r="I349" i="1"/>
  <c r="T350" i="1"/>
  <c r="AD353" i="1"/>
  <c r="AC354" i="1"/>
  <c r="R302" i="1"/>
  <c r="Q303" i="1"/>
  <c r="P304" i="1"/>
  <c r="P305" i="1"/>
  <c r="Y307" i="1"/>
  <c r="R309" i="1"/>
  <c r="O310" i="1"/>
  <c r="Q311" i="1"/>
  <c r="R312" i="1"/>
  <c r="Q313" i="1"/>
  <c r="E314" i="1"/>
  <c r="F315" i="1"/>
  <c r="F316" i="1"/>
  <c r="E317" i="1"/>
  <c r="E318" i="1"/>
  <c r="H319" i="1"/>
  <c r="H320" i="1"/>
  <c r="J321" i="1"/>
  <c r="J322" i="1"/>
  <c r="H323" i="1"/>
  <c r="R324" i="1"/>
  <c r="R325" i="1"/>
  <c r="Q326" i="1"/>
  <c r="S327" i="1"/>
  <c r="R328" i="1"/>
  <c r="S329" i="1"/>
  <c r="R330" i="1"/>
  <c r="Q331" i="1"/>
  <c r="O332" i="1"/>
  <c r="AC333" i="1"/>
  <c r="AB334" i="1"/>
  <c r="Q336" i="1"/>
  <c r="P337" i="1"/>
  <c r="R338" i="1"/>
  <c r="Q339" i="1"/>
  <c r="AD340" i="1"/>
  <c r="O341" i="1"/>
  <c r="AA342" i="1"/>
  <c r="Z343" i="1"/>
  <c r="AA344" i="1"/>
  <c r="Y345" i="1"/>
  <c r="Z346" i="1"/>
  <c r="Z347" i="1"/>
  <c r="H349" i="1"/>
  <c r="S350" i="1"/>
  <c r="AA351" i="1"/>
  <c r="AD352" i="1"/>
  <c r="AC353" i="1"/>
  <c r="AB354" i="1"/>
  <c r="Q302" i="1"/>
  <c r="P303" i="1"/>
  <c r="O305" i="1"/>
  <c r="AD306" i="1"/>
  <c r="X307" i="1"/>
  <c r="Q309" i="1"/>
  <c r="N310" i="1"/>
  <c r="P311" i="1"/>
  <c r="Q312" i="1"/>
  <c r="P313" i="1"/>
  <c r="D314" i="1"/>
  <c r="E315" i="1"/>
  <c r="D317" i="1"/>
  <c r="D318" i="1"/>
  <c r="G319" i="1"/>
  <c r="G320" i="1"/>
  <c r="I321" i="1"/>
  <c r="I322" i="1"/>
  <c r="G323" i="1"/>
  <c r="Q324" i="1"/>
  <c r="P326" i="1"/>
  <c r="R327" i="1"/>
  <c r="Q328" i="1"/>
  <c r="R329" i="1"/>
  <c r="Q330" i="1"/>
  <c r="AB333" i="1"/>
  <c r="AA334" i="1"/>
  <c r="AD335" i="1"/>
  <c r="P336" i="1"/>
  <c r="O337" i="1"/>
  <c r="Q338" i="1"/>
  <c r="AC340" i="1"/>
  <c r="N341" i="1"/>
  <c r="Z342" i="1"/>
  <c r="Y343" i="1"/>
  <c r="Z344" i="1"/>
  <c r="X345" i="1"/>
  <c r="Y346" i="1"/>
  <c r="Y347" i="1"/>
  <c r="G349" i="1"/>
  <c r="R350" i="1"/>
  <c r="Z351" i="1"/>
  <c r="AC352" i="1"/>
  <c r="AB353" i="1"/>
  <c r="AA354" i="1"/>
  <c r="P302" i="1"/>
  <c r="AC306" i="1"/>
  <c r="P312" i="1"/>
  <c r="O313" i="1"/>
  <c r="D315" i="1"/>
  <c r="T316" i="1"/>
  <c r="F319" i="1"/>
  <c r="F320" i="1"/>
  <c r="H321" i="1"/>
  <c r="H322" i="1"/>
  <c r="Q327" i="1"/>
  <c r="P328" i="1"/>
  <c r="Q329" i="1"/>
  <c r="P330" i="1"/>
  <c r="AD331" i="1"/>
  <c r="AD332" i="1"/>
  <c r="AA333" i="1"/>
  <c r="Z334" i="1"/>
  <c r="AC335" i="1"/>
  <c r="N337" i="1"/>
  <c r="AD339" i="1"/>
  <c r="AB340" i="1"/>
  <c r="Y342" i="1"/>
  <c r="X343" i="1"/>
  <c r="Y344" i="1"/>
  <c r="W345" i="1"/>
  <c r="X346" i="1"/>
  <c r="AB352" i="1"/>
  <c r="AA353" i="1"/>
  <c r="Z354" i="1"/>
  <c r="O302" i="1"/>
  <c r="AC304" i="1"/>
  <c r="AB306" i="1"/>
  <c r="AD310" i="1"/>
  <c r="AD311" i="1"/>
  <c r="O312" i="1"/>
  <c r="N313" i="1"/>
  <c r="T314" i="1"/>
  <c r="C315" i="1"/>
  <c r="S316" i="1"/>
  <c r="T317" i="1"/>
  <c r="T318" i="1"/>
  <c r="E319" i="1"/>
  <c r="E320" i="1"/>
  <c r="G321" i="1"/>
  <c r="G322" i="1"/>
  <c r="T323" i="1"/>
  <c r="AD324" i="1"/>
  <c r="AD326" i="1"/>
  <c r="P327" i="1"/>
  <c r="O328" i="1"/>
  <c r="P329" i="1"/>
  <c r="O330" i="1"/>
  <c r="AC331" i="1"/>
  <c r="AC332" i="1"/>
  <c r="Z333" i="1"/>
  <c r="Y334" i="1"/>
  <c r="AB335" i="1"/>
  <c r="AD336" i="1"/>
  <c r="AC339" i="1"/>
  <c r="X342" i="1"/>
  <c r="W343" i="1"/>
  <c r="X344" i="1"/>
  <c r="AD350" i="1"/>
  <c r="AH351" i="1"/>
  <c r="AA352" i="1"/>
  <c r="Z353" i="1"/>
  <c r="Y354" i="1"/>
  <c r="AD305" i="1"/>
  <c r="AA306" i="1"/>
  <c r="AH307" i="1"/>
  <c r="N312" i="1"/>
  <c r="M313" i="1"/>
  <c r="S314" i="1"/>
  <c r="R316" i="1"/>
  <c r="S317" i="1"/>
  <c r="D319" i="1"/>
  <c r="D320" i="1"/>
  <c r="F321" i="1"/>
  <c r="F322" i="1"/>
  <c r="AC324" i="1"/>
  <c r="AC326" i="1"/>
  <c r="O327" i="1"/>
  <c r="N328" i="1"/>
  <c r="AG351" i="1"/>
  <c r="Z352" i="1"/>
  <c r="E321" i="1"/>
  <c r="AB324" i="1"/>
  <c r="M328" i="1"/>
  <c r="AA331" i="1"/>
  <c r="X333" i="1"/>
  <c r="AB336" i="1"/>
  <c r="AC337" i="1"/>
  <c r="AH343" i="1"/>
  <c r="Y352" i="1"/>
  <c r="X353" i="1"/>
  <c r="AB305" i="1"/>
  <c r="Y306" i="1"/>
  <c r="J308" i="1"/>
  <c r="AD313" i="1"/>
  <c r="AA324" i="1"/>
  <c r="Z331" i="1"/>
  <c r="W333" i="1"/>
  <c r="AH334" i="1"/>
  <c r="AA336" i="1"/>
  <c r="AB337" i="1"/>
  <c r="AG343" i="1"/>
  <c r="J346" i="1"/>
  <c r="S348" i="1"/>
  <c r="R349" i="1"/>
  <c r="X352" i="1"/>
  <c r="W353" i="1"/>
  <c r="AA305" i="1"/>
  <c r="X306" i="1"/>
  <c r="I308" i="1"/>
  <c r="AC313" i="1"/>
  <c r="P314" i="1"/>
  <c r="T321" i="1"/>
  <c r="Z324" i="1"/>
  <c r="Z326" i="1"/>
  <c r="Y331" i="1"/>
  <c r="Z336" i="1"/>
  <c r="AB313" i="1"/>
  <c r="AD317" i="1"/>
  <c r="S321" i="1"/>
  <c r="Y324" i="1"/>
  <c r="Y326" i="1"/>
  <c r="X331" i="1"/>
  <c r="Y336" i="1"/>
  <c r="Z337" i="1"/>
  <c r="H346" i="1"/>
  <c r="Q348" i="1"/>
  <c r="Y305" i="1"/>
  <c r="AA313" i="1"/>
  <c r="AD314" i="1"/>
  <c r="AD316" i="1"/>
  <c r="AC317" i="1"/>
  <c r="R321" i="1"/>
  <c r="X324" i="1"/>
  <c r="X326" i="1"/>
  <c r="W331" i="1"/>
  <c r="J335" i="1"/>
  <c r="X336" i="1"/>
  <c r="Y337" i="1"/>
  <c r="G342" i="1"/>
  <c r="H343" i="1"/>
  <c r="H345" i="1"/>
  <c r="G346" i="1"/>
  <c r="P348" i="1"/>
  <c r="AD349" i="1"/>
  <c r="G352" i="1"/>
  <c r="AG353" i="1"/>
  <c r="X305" i="1"/>
  <c r="Z312" i="1"/>
  <c r="Z313" i="1"/>
  <c r="AC314" i="1"/>
  <c r="AD315" i="1"/>
  <c r="AC316" i="1"/>
  <c r="AB317" i="1"/>
  <c r="AD318" i="1"/>
  <c r="R319" i="1"/>
  <c r="P320" i="1"/>
  <c r="Q321" i="1"/>
  <c r="Y323" i="1"/>
  <c r="W324" i="1"/>
  <c r="W326" i="1"/>
  <c r="Z327" i="1"/>
  <c r="AA328" i="1"/>
  <c r="AA329" i="1"/>
  <c r="Z330" i="1"/>
  <c r="V331" i="1"/>
  <c r="I335" i="1"/>
  <c r="AH335" i="1"/>
  <c r="W336" i="1"/>
  <c r="X337" i="1"/>
  <c r="AH339" i="1"/>
  <c r="AH340" i="1"/>
  <c r="F342" i="1"/>
  <c r="G343" i="1"/>
  <c r="H344" i="1"/>
  <c r="G345" i="1"/>
  <c r="F346" i="1"/>
  <c r="F347" i="1"/>
  <c r="O348" i="1"/>
  <c r="AC349" i="1"/>
  <c r="F352" i="1"/>
  <c r="J353" i="1"/>
  <c r="Y313" i="1"/>
  <c r="AC315" i="1"/>
  <c r="AA317" i="1"/>
  <c r="AC318" i="1"/>
  <c r="AD322" i="1"/>
  <c r="H335" i="1"/>
  <c r="J354" i="1"/>
  <c r="Z301" i="1"/>
  <c r="W302" i="1"/>
  <c r="AG304" i="1"/>
  <c r="AH305" i="1"/>
  <c r="I307" i="1"/>
  <c r="AG311" i="1"/>
  <c r="X312" i="1"/>
  <c r="X313" i="1"/>
  <c r="AA314" i="1"/>
  <c r="AB315" i="1"/>
  <c r="AA316" i="1"/>
  <c r="Z317" i="1"/>
  <c r="AB318" i="1"/>
  <c r="AD321" i="1"/>
  <c r="AC322" i="1"/>
  <c r="V323" i="1"/>
  <c r="AH324" i="1"/>
  <c r="AH326" i="1"/>
  <c r="X327" i="1"/>
  <c r="Y328" i="1"/>
  <c r="Y329" i="1"/>
  <c r="I333" i="1"/>
  <c r="G335" i="1"/>
  <c r="AH336" i="1"/>
  <c r="AH337" i="1"/>
  <c r="E343" i="1"/>
  <c r="E345" i="1"/>
  <c r="T346" i="1"/>
  <c r="D347" i="1"/>
  <c r="AD348" i="1"/>
  <c r="AA349" i="1"/>
  <c r="I351" i="1"/>
  <c r="D352" i="1"/>
  <c r="H353" i="1"/>
  <c r="I354" i="1"/>
  <c r="Y301" i="1"/>
  <c r="J304" i="1"/>
  <c r="AF304" i="1"/>
  <c r="AG305" i="1"/>
  <c r="H307" i="1"/>
  <c r="AD308" i="1"/>
  <c r="J311" i="1"/>
  <c r="W312" i="1"/>
  <c r="W313" i="1"/>
  <c r="Z314" i="1"/>
  <c r="AA315" i="1"/>
  <c r="Z316" i="1"/>
  <c r="Y317" i="1"/>
  <c r="AA318" i="1"/>
  <c r="AD319" i="1"/>
  <c r="AD320" i="1"/>
  <c r="AC321" i="1"/>
  <c r="AB322" i="1"/>
  <c r="J326" i="1"/>
  <c r="AG326" i="1"/>
  <c r="X328" i="1"/>
  <c r="H333" i="1"/>
  <c r="F335" i="1"/>
  <c r="J336" i="1"/>
  <c r="AG336" i="1"/>
  <c r="AG337" i="1"/>
  <c r="J340" i="1"/>
  <c r="J341" i="1"/>
  <c r="T342" i="1"/>
  <c r="D343" i="1"/>
  <c r="T344" i="1"/>
  <c r="D345" i="1"/>
  <c r="S346" i="1"/>
  <c r="C347" i="1"/>
  <c r="AC348" i="1"/>
  <c r="Z349" i="1"/>
  <c r="H351" i="1"/>
  <c r="C352" i="1"/>
  <c r="G353" i="1"/>
  <c r="H354" i="1"/>
  <c r="AH302" i="1"/>
  <c r="I304" i="1"/>
  <c r="AC308" i="1"/>
  <c r="J310" i="1"/>
  <c r="I311" i="1"/>
  <c r="J312" i="1"/>
  <c r="V313" i="1"/>
  <c r="Y314" i="1"/>
  <c r="Z315" i="1"/>
  <c r="Y316" i="1"/>
  <c r="X317" i="1"/>
  <c r="Z318" i="1"/>
  <c r="AC319" i="1"/>
  <c r="AC320" i="1"/>
  <c r="AB321" i="1"/>
  <c r="AA322" i="1"/>
  <c r="J325" i="1"/>
  <c r="I326" i="1"/>
  <c r="AH327" i="1"/>
  <c r="AH329" i="1"/>
  <c r="J332" i="1"/>
  <c r="G333" i="1"/>
  <c r="T334" i="1"/>
  <c r="E335" i="1"/>
  <c r="I336" i="1"/>
  <c r="J339" i="1"/>
  <c r="I340" i="1"/>
  <c r="I341" i="1"/>
  <c r="S342" i="1"/>
  <c r="S344" i="1"/>
  <c r="R346" i="1"/>
  <c r="AB348" i="1"/>
  <c r="Y349" i="1"/>
  <c r="G351" i="1"/>
  <c r="F353" i="1"/>
  <c r="G354" i="1"/>
  <c r="AB245" i="1"/>
  <c r="O274" i="1"/>
  <c r="AA245" i="1"/>
  <c r="AH247" i="1"/>
  <c r="AF248" i="1"/>
  <c r="AH249" i="1"/>
  <c r="AH250" i="1"/>
  <c r="R253" i="1"/>
  <c r="P254" i="1"/>
  <c r="Z255" i="1"/>
  <c r="H259" i="1"/>
  <c r="I260" i="1"/>
  <c r="F261" i="1"/>
  <c r="I262" i="1"/>
  <c r="G263" i="1"/>
  <c r="F264" i="1"/>
  <c r="F265" i="1"/>
  <c r="H266" i="1"/>
  <c r="F267" i="1"/>
  <c r="F268" i="1"/>
  <c r="H269" i="1"/>
  <c r="G270" i="1"/>
  <c r="T271" i="1"/>
  <c r="P272" i="1"/>
  <c r="P273" i="1"/>
  <c r="N274" i="1"/>
  <c r="AD275" i="1"/>
  <c r="AD276" i="1"/>
  <c r="W278" i="1"/>
  <c r="W279" i="1"/>
  <c r="I281" i="1"/>
  <c r="G283" i="1"/>
  <c r="G284" i="1"/>
  <c r="F285" i="1"/>
  <c r="H286" i="1"/>
  <c r="H287" i="1"/>
  <c r="S288" i="1"/>
  <c r="P289" i="1"/>
  <c r="R290" i="1"/>
  <c r="AA292" i="1"/>
  <c r="AG293" i="1"/>
  <c r="W296" i="1"/>
  <c r="Z297" i="1"/>
  <c r="Y298" i="1"/>
  <c r="AA291" i="1"/>
  <c r="I295" i="1"/>
  <c r="I300" i="1"/>
  <c r="I246" i="1"/>
  <c r="I247" i="1"/>
  <c r="H248" i="1"/>
  <c r="G250" i="1"/>
  <c r="H251" i="1"/>
  <c r="P252" i="1"/>
  <c r="AA254" i="1"/>
  <c r="H257" i="1"/>
  <c r="F258" i="1"/>
  <c r="R260" i="1"/>
  <c r="S264" i="1"/>
  <c r="S267" i="1"/>
  <c r="AA273" i="1"/>
  <c r="Y275" i="1"/>
  <c r="I278" i="1"/>
  <c r="J279" i="1"/>
  <c r="R284" i="1"/>
  <c r="Q287" i="1"/>
  <c r="Z291" i="1"/>
  <c r="H295" i="1"/>
  <c r="AH297" i="1"/>
  <c r="H300" i="1"/>
  <c r="H246" i="1"/>
  <c r="H247" i="1"/>
  <c r="G248" i="1"/>
  <c r="F250" i="1"/>
  <c r="G251" i="1"/>
  <c r="O252" i="1"/>
  <c r="G257" i="1"/>
  <c r="Q260" i="1"/>
  <c r="R264" i="1"/>
  <c r="R267" i="1"/>
  <c r="Z273" i="1"/>
  <c r="H278" i="1"/>
  <c r="I279" i="1"/>
  <c r="Q284" i="1"/>
  <c r="X291" i="1"/>
  <c r="G295" i="1"/>
  <c r="AG297" i="1"/>
  <c r="G300" i="1"/>
  <c r="G246" i="1"/>
  <c r="F248" i="1"/>
  <c r="E250" i="1"/>
  <c r="F251" i="1"/>
  <c r="AH254" i="1"/>
  <c r="AH275" i="1"/>
  <c r="AD260" i="1"/>
  <c r="AC287" i="1"/>
  <c r="T295" i="1"/>
  <c r="T300" i="1"/>
  <c r="AA244" i="1"/>
  <c r="T246" i="1"/>
  <c r="S247" i="1"/>
  <c r="T248" i="1"/>
  <c r="T250" i="1"/>
  <c r="T251" i="1"/>
  <c r="AC252" i="1"/>
  <c r="Z253" i="1"/>
  <c r="J255" i="1"/>
  <c r="G256" i="1"/>
  <c r="AC260" i="1"/>
  <c r="AD264" i="1"/>
  <c r="AD267" i="1"/>
  <c r="J276" i="1"/>
  <c r="T278" i="1"/>
  <c r="T279" i="1"/>
  <c r="AD284" i="1"/>
  <c r="AB287" i="1"/>
  <c r="S295" i="1"/>
  <c r="D296" i="1"/>
  <c r="G297" i="1"/>
  <c r="I298" i="1"/>
  <c r="F299" i="1"/>
  <c r="S300" i="1"/>
  <c r="D301" i="1"/>
  <c r="S246" i="1"/>
  <c r="R247" i="1"/>
  <c r="S248" i="1"/>
  <c r="T249" i="1"/>
  <c r="S250" i="1"/>
  <c r="S251" i="1"/>
  <c r="AB252" i="1"/>
  <c r="Y253" i="1"/>
  <c r="I255" i="1"/>
  <c r="F256" i="1"/>
  <c r="S257" i="1"/>
  <c r="Q258" i="1"/>
  <c r="O259" i="1"/>
  <c r="AB260" i="1"/>
  <c r="O261" i="1"/>
  <c r="AD263" i="1"/>
  <c r="AC264" i="1"/>
  <c r="N265" i="1"/>
  <c r="AD266" i="1"/>
  <c r="AC267" i="1"/>
  <c r="O268" i="1"/>
  <c r="Z270" i="1"/>
  <c r="X271" i="1"/>
  <c r="AH272" i="1"/>
  <c r="AH274" i="1"/>
  <c r="I276" i="1"/>
  <c r="T277" i="1"/>
  <c r="S278" i="1"/>
  <c r="S279" i="1"/>
  <c r="T280" i="1"/>
  <c r="AD282" i="1"/>
  <c r="AC284" i="1"/>
  <c r="AD285" i="1"/>
  <c r="AA287" i="1"/>
  <c r="T294" i="1"/>
  <c r="R295" i="1"/>
  <c r="R300" i="1"/>
  <c r="AH244" i="1"/>
  <c r="R246" i="1"/>
  <c r="Q247" i="1"/>
  <c r="R248" i="1"/>
  <c r="S249" i="1"/>
  <c r="R250" i="1"/>
  <c r="R251" i="1"/>
  <c r="AA252" i="1"/>
  <c r="AA260" i="1"/>
  <c r="AD262" i="1"/>
  <c r="AC263" i="1"/>
  <c r="AB264" i="1"/>
  <c r="AC266" i="1"/>
  <c r="AB267" i="1"/>
  <c r="AD269" i="1"/>
  <c r="Y270" i="1"/>
  <c r="J274" i="1"/>
  <c r="AG274" i="1"/>
  <c r="H276" i="1"/>
  <c r="S277" i="1"/>
  <c r="R278" i="1"/>
  <c r="R279" i="1"/>
  <c r="S280" i="1"/>
  <c r="N281" i="1"/>
  <c r="AC282" i="1"/>
  <c r="AD283" i="1"/>
  <c r="AB284" i="1"/>
  <c r="AC285" i="1"/>
  <c r="Z287" i="1"/>
  <c r="X288" i="1"/>
  <c r="AG289" i="1"/>
  <c r="I292" i="1"/>
  <c r="S293" i="1"/>
  <c r="S294" i="1"/>
  <c r="Q295" i="1"/>
  <c r="T296" i="1"/>
  <c r="G298" i="1"/>
  <c r="T299" i="1"/>
  <c r="Q300" i="1"/>
  <c r="T301" i="1"/>
  <c r="Q246" i="1"/>
  <c r="P247" i="1"/>
  <c r="Q248" i="1"/>
  <c r="R249" i="1"/>
  <c r="Q251" i="1"/>
  <c r="T256" i="1"/>
  <c r="AD258" i="1"/>
  <c r="AD259" i="1"/>
  <c r="Z260" i="1"/>
  <c r="AD261" i="1"/>
  <c r="AC262" i="1"/>
  <c r="AB263" i="1"/>
  <c r="AA264" i="1"/>
  <c r="AD265" i="1"/>
  <c r="AB266" i="1"/>
  <c r="AA267" i="1"/>
  <c r="AD268" i="1"/>
  <c r="AC269" i="1"/>
  <c r="X270" i="1"/>
  <c r="AH271" i="1"/>
  <c r="J273" i="1"/>
  <c r="I274" i="1"/>
  <c r="G276" i="1"/>
  <c r="R277" i="1"/>
  <c r="Q278" i="1"/>
  <c r="Q279" i="1"/>
  <c r="R280" i="1"/>
  <c r="AB282" i="1"/>
  <c r="AC283" i="1"/>
  <c r="AA284" i="1"/>
  <c r="AB285" i="1"/>
  <c r="AD286" i="1"/>
  <c r="Y287" i="1"/>
  <c r="H292" i="1"/>
  <c r="R293" i="1"/>
  <c r="R294" i="1"/>
  <c r="P295" i="1"/>
  <c r="S296" i="1"/>
  <c r="S299" i="1"/>
  <c r="P300" i="1"/>
  <c r="S301" i="1"/>
  <c r="J245" i="1"/>
  <c r="P246" i="1"/>
  <c r="O247" i="1"/>
  <c r="P248" i="1"/>
  <c r="Q249" i="1"/>
  <c r="P250" i="1"/>
  <c r="P251" i="1"/>
  <c r="AH253" i="1"/>
  <c r="T255" i="1"/>
  <c r="S256" i="1"/>
  <c r="AD257" i="1"/>
  <c r="AC258" i="1"/>
  <c r="AC259" i="1"/>
  <c r="Y260" i="1"/>
  <c r="AC261" i="1"/>
  <c r="AB262" i="1"/>
  <c r="AA263" i="1"/>
  <c r="Z264" i="1"/>
  <c r="AC265" i="1"/>
  <c r="AA266" i="1"/>
  <c r="Z267" i="1"/>
  <c r="AC268" i="1"/>
  <c r="I273" i="1"/>
  <c r="H274" i="1"/>
  <c r="J275" i="1"/>
  <c r="F276" i="1"/>
  <c r="Q277" i="1"/>
  <c r="P278" i="1"/>
  <c r="P279" i="1"/>
  <c r="Q280" i="1"/>
  <c r="AD281" i="1"/>
  <c r="AA282" i="1"/>
  <c r="AB283" i="1"/>
  <c r="Z284" i="1"/>
  <c r="AA285" i="1"/>
  <c r="AC286" i="1"/>
  <c r="X287" i="1"/>
  <c r="J290" i="1"/>
  <c r="G292" i="1"/>
  <c r="Q293" i="1"/>
  <c r="Q294" i="1"/>
  <c r="O295" i="1"/>
  <c r="R296" i="1"/>
  <c r="S297" i="1"/>
  <c r="T298" i="1"/>
  <c r="R299" i="1"/>
  <c r="O300" i="1"/>
  <c r="R301" i="1"/>
  <c r="I245" i="1"/>
  <c r="O246" i="1"/>
  <c r="N247" i="1"/>
  <c r="P249" i="1"/>
  <c r="O251" i="1"/>
  <c r="J253" i="1"/>
  <c r="AG253" i="1"/>
  <c r="S255" i="1"/>
  <c r="R256" i="1"/>
  <c r="AC257" i="1"/>
  <c r="AB258" i="1"/>
  <c r="AB259" i="1"/>
  <c r="X260" i="1"/>
  <c r="AB261" i="1"/>
  <c r="AA262" i="1"/>
  <c r="Z263" i="1"/>
  <c r="Y264" i="1"/>
  <c r="AB265" i="1"/>
  <c r="Z266" i="1"/>
  <c r="Y267" i="1"/>
  <c r="AB268" i="1"/>
  <c r="AA269" i="1"/>
  <c r="AH270" i="1"/>
  <c r="J272" i="1"/>
  <c r="H273" i="1"/>
  <c r="G274" i="1"/>
  <c r="I275" i="1"/>
  <c r="E276" i="1"/>
  <c r="P277" i="1"/>
  <c r="O278" i="1"/>
  <c r="O279" i="1"/>
  <c r="P280" i="1"/>
  <c r="AC281" i="1"/>
  <c r="Z282" i="1"/>
  <c r="AA283" i="1"/>
  <c r="Y284" i="1"/>
  <c r="Z285" i="1"/>
  <c r="W287" i="1"/>
  <c r="J289" i="1"/>
  <c r="P294" i="1"/>
  <c r="N295" i="1"/>
  <c r="Q296" i="1"/>
  <c r="R297" i="1"/>
  <c r="S298" i="1"/>
  <c r="Q299" i="1"/>
  <c r="N300" i="1"/>
  <c r="Q301" i="1"/>
  <c r="N246" i="1"/>
  <c r="AD250" i="1"/>
  <c r="N251" i="1"/>
  <c r="AF253" i="1"/>
  <c r="AA259" i="1"/>
  <c r="W260" i="1"/>
  <c r="Y263" i="1"/>
  <c r="X264" i="1"/>
  <c r="Y266" i="1"/>
  <c r="X267" i="1"/>
  <c r="F274" i="1"/>
  <c r="N278" i="1"/>
  <c r="N279" i="1"/>
  <c r="X284" i="1"/>
  <c r="O294" i="1"/>
  <c r="M295" i="1"/>
  <c r="P296" i="1"/>
  <c r="P301" i="1"/>
  <c r="E274" i="1"/>
  <c r="AC247" i="1"/>
  <c r="AC249" i="1"/>
  <c r="AB250" i="1"/>
  <c r="AD251" i="1"/>
  <c r="I271" i="1"/>
  <c r="AD278" i="1"/>
  <c r="AD279" i="1"/>
  <c r="AC280" i="1"/>
  <c r="R292" i="1"/>
  <c r="AD296" i="1"/>
  <c r="E245" i="1"/>
  <c r="AC246" i="1"/>
  <c r="AB247" i="1"/>
  <c r="AA248" i="1"/>
  <c r="AB249" i="1"/>
  <c r="AA250" i="1"/>
  <c r="AC251" i="1"/>
  <c r="F253" i="1"/>
  <c r="H254" i="1"/>
  <c r="O255" i="1"/>
  <c r="AB256" i="1"/>
  <c r="Y257" i="1"/>
  <c r="W258" i="1"/>
  <c r="X259" i="1"/>
  <c r="AG260" i="1"/>
  <c r="X261" i="1"/>
  <c r="AH263" i="1"/>
  <c r="AG264" i="1"/>
  <c r="X265" i="1"/>
  <c r="AH266" i="1"/>
  <c r="AG267" i="1"/>
  <c r="X268" i="1"/>
  <c r="H271" i="1"/>
  <c r="E272" i="1"/>
  <c r="C273" i="1"/>
  <c r="T274" i="1"/>
  <c r="T275" i="1"/>
  <c r="T276" i="1"/>
  <c r="AB277" i="1"/>
  <c r="AC278" i="1"/>
  <c r="AC279" i="1"/>
  <c r="AB280" i="1"/>
  <c r="I288" i="1"/>
  <c r="F289" i="1"/>
  <c r="E290" i="1"/>
  <c r="F291" i="1"/>
  <c r="Q292" i="1"/>
  <c r="AA293" i="1"/>
  <c r="AC294" i="1"/>
  <c r="AC295" i="1"/>
  <c r="AC296" i="1"/>
  <c r="AB299" i="1"/>
  <c r="AB300" i="1"/>
  <c r="AA247" i="1"/>
  <c r="AA249" i="1"/>
  <c r="Z250" i="1"/>
  <c r="AB251" i="1"/>
  <c r="W259" i="1"/>
  <c r="AH262" i="1"/>
  <c r="AH269" i="1"/>
  <c r="G271" i="1"/>
  <c r="S274" i="1"/>
  <c r="S275" i="1"/>
  <c r="S276" i="1"/>
  <c r="AA277" i="1"/>
  <c r="AB278" i="1"/>
  <c r="AB279" i="1"/>
  <c r="AA280" i="1"/>
  <c r="X281" i="1"/>
  <c r="AH282" i="1"/>
  <c r="AH283" i="1"/>
  <c r="P292" i="1"/>
  <c r="Z293" i="1"/>
  <c r="AB294" i="1"/>
  <c r="AB295" i="1"/>
  <c r="AB296" i="1"/>
  <c r="AD298" i="1"/>
  <c r="AA299" i="1"/>
  <c r="AA300" i="1"/>
  <c r="Z247" i="1"/>
  <c r="Z249" i="1"/>
  <c r="Y250" i="1"/>
  <c r="T254" i="1"/>
  <c r="AD255" i="1"/>
  <c r="J261" i="1"/>
  <c r="J264" i="1"/>
  <c r="J265" i="1"/>
  <c r="J267" i="1"/>
  <c r="F271" i="1"/>
  <c r="T272" i="1"/>
  <c r="T273" i="1"/>
  <c r="R274" i="1"/>
  <c r="R275" i="1"/>
  <c r="AA278" i="1"/>
  <c r="AA279" i="1"/>
  <c r="J285" i="1"/>
  <c r="T289" i="1"/>
  <c r="AA296" i="1"/>
  <c r="AD297" i="1"/>
  <c r="AC298" i="1"/>
  <c r="AD245" i="1"/>
  <c r="Z246" i="1"/>
  <c r="Y247" i="1"/>
  <c r="X248" i="1"/>
  <c r="Y249" i="1"/>
  <c r="X250" i="1"/>
  <c r="S254" i="1"/>
  <c r="AC255" i="1"/>
  <c r="Y256" i="1"/>
  <c r="AH259" i="1"/>
  <c r="I261" i="1"/>
  <c r="AG261" i="1"/>
  <c r="J263" i="1"/>
  <c r="I264" i="1"/>
  <c r="I265" i="1"/>
  <c r="I267" i="1"/>
  <c r="I268" i="1"/>
  <c r="J270" i="1"/>
  <c r="E271" i="1"/>
  <c r="S272" i="1"/>
  <c r="S273" i="1"/>
  <c r="Q274" i="1"/>
  <c r="Q275" i="1"/>
  <c r="Q276" i="1"/>
  <c r="Y277" i="1"/>
  <c r="Z278" i="1"/>
  <c r="Z279" i="1"/>
  <c r="J283" i="1"/>
  <c r="J284" i="1"/>
  <c r="I285" i="1"/>
  <c r="F288" i="1"/>
  <c r="S289" i="1"/>
  <c r="S291" i="1"/>
  <c r="AD292" i="1"/>
  <c r="X293" i="1"/>
  <c r="Z294" i="1"/>
  <c r="Z295" i="1"/>
  <c r="Z296" i="1"/>
  <c r="AC297" i="1"/>
  <c r="AB298" i="1"/>
  <c r="Y299" i="1"/>
  <c r="Y300" i="1"/>
  <c r="J268" i="1"/>
  <c r="AC245" i="1"/>
  <c r="Y246" i="1"/>
  <c r="X247" i="1"/>
  <c r="X249" i="1"/>
  <c r="W250" i="1"/>
  <c r="T253" i="1"/>
  <c r="R254" i="1"/>
  <c r="AB255" i="1"/>
  <c r="X256" i="1"/>
  <c r="AH257" i="1"/>
  <c r="J259" i="1"/>
  <c r="H261" i="1"/>
  <c r="I263" i="1"/>
  <c r="H264" i="1"/>
  <c r="H265" i="1"/>
  <c r="J266" i="1"/>
  <c r="H267" i="1"/>
  <c r="H268" i="1"/>
  <c r="J269" i="1"/>
  <c r="I270" i="1"/>
  <c r="D271" i="1"/>
  <c r="R272" i="1"/>
  <c r="R273" i="1"/>
  <c r="P274" i="1"/>
  <c r="P275" i="1"/>
  <c r="P276" i="1"/>
  <c r="X277" i="1"/>
  <c r="Y278" i="1"/>
  <c r="Y279" i="1"/>
  <c r="AH281" i="1"/>
  <c r="I283" i="1"/>
  <c r="I284" i="1"/>
  <c r="H285" i="1"/>
  <c r="J286" i="1"/>
  <c r="J287" i="1"/>
  <c r="R289" i="1"/>
  <c r="T290" i="1"/>
  <c r="R291" i="1"/>
  <c r="AC292" i="1"/>
  <c r="Y294" i="1"/>
  <c r="Y295" i="1"/>
  <c r="Y296" i="1"/>
  <c r="AB297" i="1"/>
  <c r="AA298" i="1"/>
  <c r="X299" i="1"/>
  <c r="X300" i="1"/>
  <c r="AH248" i="1"/>
  <c r="S253" i="1"/>
  <c r="Q254" i="1"/>
  <c r="AA255" i="1"/>
  <c r="I259" i="1"/>
  <c r="J260" i="1"/>
  <c r="G261" i="1"/>
  <c r="J262" i="1"/>
  <c r="H263" i="1"/>
  <c r="G264" i="1"/>
  <c r="G265" i="1"/>
  <c r="I266" i="1"/>
  <c r="G267" i="1"/>
  <c r="G268" i="1"/>
  <c r="I269" i="1"/>
  <c r="H270" i="1"/>
  <c r="Q272" i="1"/>
  <c r="Q273" i="1"/>
  <c r="X278" i="1"/>
  <c r="X279" i="1"/>
  <c r="J281" i="1"/>
  <c r="H283" i="1"/>
  <c r="H284" i="1"/>
  <c r="G285" i="1"/>
  <c r="I286" i="1"/>
  <c r="I287" i="1"/>
  <c r="T288" i="1"/>
  <c r="Q289" i="1"/>
  <c r="S290" i="1"/>
  <c r="AB292" i="1"/>
  <c r="AH293" i="1"/>
  <c r="X296" i="1"/>
  <c r="AA297" i="1"/>
  <c r="Z298" i="1"/>
  <c r="T185" i="1"/>
  <c r="AC194" i="1"/>
  <c r="T219" i="1"/>
  <c r="T220" i="1"/>
  <c r="AD223" i="1"/>
  <c r="AC226" i="1"/>
  <c r="AD230" i="1"/>
  <c r="I239" i="1"/>
  <c r="AB242" i="1"/>
  <c r="AH177" i="1"/>
  <c r="AG179" i="1"/>
  <c r="I181" i="1"/>
  <c r="F182" i="1"/>
  <c r="T183" i="1"/>
  <c r="S184" i="1"/>
  <c r="P185" i="1"/>
  <c r="AB186" i="1"/>
  <c r="X187" i="1"/>
  <c r="AG188" i="1"/>
  <c r="E190" i="1"/>
  <c r="H191" i="1"/>
  <c r="AG191" i="1"/>
  <c r="Z192" i="1"/>
  <c r="AB193" i="1"/>
  <c r="Y194" i="1"/>
  <c r="AH195" i="1"/>
  <c r="H197" i="1"/>
  <c r="Q198" i="1"/>
  <c r="AB199" i="1"/>
  <c r="I201" i="1"/>
  <c r="J202" i="1"/>
  <c r="F203" i="1"/>
  <c r="S204" i="1"/>
  <c r="R205" i="1"/>
  <c r="R206" i="1"/>
  <c r="AD207" i="1"/>
  <c r="AC208" i="1"/>
  <c r="Y209" i="1"/>
  <c r="W210" i="1"/>
  <c r="J213" i="1"/>
  <c r="J214" i="1"/>
  <c r="H215" i="1"/>
  <c r="I216" i="1"/>
  <c r="H217" i="1"/>
  <c r="T218" i="1"/>
  <c r="P219" i="1"/>
  <c r="P220" i="1"/>
  <c r="P221" i="1"/>
  <c r="AD222" i="1"/>
  <c r="Z223" i="1"/>
  <c r="AC224" i="1"/>
  <c r="AB225" i="1"/>
  <c r="Y226" i="1"/>
  <c r="AA227" i="1"/>
  <c r="AD228" i="1"/>
  <c r="AA229" i="1"/>
  <c r="Z230" i="1"/>
  <c r="W231" i="1"/>
  <c r="I235" i="1"/>
  <c r="H236" i="1"/>
  <c r="F237" i="1"/>
  <c r="E239" i="1"/>
  <c r="S240" i="1"/>
  <c r="AA241" i="1"/>
  <c r="X242" i="1"/>
  <c r="H244" i="1"/>
  <c r="AG178" i="1"/>
  <c r="G181" i="1"/>
  <c r="AH186" i="1"/>
  <c r="X192" i="1"/>
  <c r="Z193" i="1"/>
  <c r="Z199" i="1"/>
  <c r="H202" i="1"/>
  <c r="P205" i="1"/>
  <c r="P206" i="1"/>
  <c r="AH209" i="1"/>
  <c r="J212" i="1"/>
  <c r="H213" i="1"/>
  <c r="F215" i="1"/>
  <c r="F217" i="1"/>
  <c r="Z225" i="1"/>
  <c r="Y227" i="1"/>
  <c r="S238" i="1"/>
  <c r="Q240" i="1"/>
  <c r="Y241" i="1"/>
  <c r="AH242" i="1"/>
  <c r="O205" i="1"/>
  <c r="O206" i="1"/>
  <c r="AH210" i="1"/>
  <c r="I212" i="1"/>
  <c r="E217" i="1"/>
  <c r="W223" i="1"/>
  <c r="Z224" i="1"/>
  <c r="Y225" i="1"/>
  <c r="X227" i="1"/>
  <c r="X229" i="1"/>
  <c r="W230" i="1"/>
  <c r="H233" i="1"/>
  <c r="H234" i="1"/>
  <c r="F235" i="1"/>
  <c r="R238" i="1"/>
  <c r="T239" i="1"/>
  <c r="P240" i="1"/>
  <c r="X241" i="1"/>
  <c r="AG242" i="1"/>
  <c r="H189" i="1"/>
  <c r="AH199" i="1"/>
  <c r="N205" i="1"/>
  <c r="N206" i="1"/>
  <c r="AG210" i="1"/>
  <c r="H212" i="1"/>
  <c r="D217" i="1"/>
  <c r="Y224" i="1"/>
  <c r="X225" i="1"/>
  <c r="W227" i="1"/>
  <c r="W229" i="1"/>
  <c r="F234" i="1"/>
  <c r="N240" i="1"/>
  <c r="AH227" i="1"/>
  <c r="T191" i="1"/>
  <c r="R180" i="1"/>
  <c r="Q182" i="1"/>
  <c r="AD183" i="1"/>
  <c r="Y184" i="1"/>
  <c r="X185" i="1"/>
  <c r="F187" i="1"/>
  <c r="G188" i="1"/>
  <c r="O190" i="1"/>
  <c r="S191" i="1"/>
  <c r="E192" i="1"/>
  <c r="J193" i="1"/>
  <c r="J194" i="1"/>
  <c r="I195" i="1"/>
  <c r="E196" i="1"/>
  <c r="X198" i="1"/>
  <c r="T200" i="1"/>
  <c r="S201" i="1"/>
  <c r="N203" i="1"/>
  <c r="AC204" i="1"/>
  <c r="AB205" i="1"/>
  <c r="T210" i="1"/>
  <c r="T211" i="1"/>
  <c r="R212" i="1"/>
  <c r="Q213" i="1"/>
  <c r="T214" i="1"/>
  <c r="P215" i="1"/>
  <c r="P216" i="1"/>
  <c r="R217" i="1"/>
  <c r="Z218" i="1"/>
  <c r="X219" i="1"/>
  <c r="X220" i="1"/>
  <c r="J224" i="1"/>
  <c r="J228" i="1"/>
  <c r="AH228" i="1"/>
  <c r="T231" i="1"/>
  <c r="F232" i="1"/>
  <c r="R233" i="1"/>
  <c r="AD237" i="1"/>
  <c r="AB238" i="1"/>
  <c r="AB239" i="1"/>
  <c r="AC240" i="1"/>
  <c r="T243" i="1"/>
  <c r="AD204" i="1"/>
  <c r="AC239" i="1"/>
  <c r="J177" i="1"/>
  <c r="T178" i="1"/>
  <c r="T179" i="1"/>
  <c r="Q180" i="1"/>
  <c r="AD181" i="1"/>
  <c r="AC183" i="1"/>
  <c r="X184" i="1"/>
  <c r="E187" i="1"/>
  <c r="F188" i="1"/>
  <c r="AD189" i="1"/>
  <c r="R191" i="1"/>
  <c r="D192" i="1"/>
  <c r="I193" i="1"/>
  <c r="I194" i="1"/>
  <c r="H195" i="1"/>
  <c r="D196" i="1"/>
  <c r="AD197" i="1"/>
  <c r="S200" i="1"/>
  <c r="R201" i="1"/>
  <c r="O202" i="1"/>
  <c r="M203" i="1"/>
  <c r="AB204" i="1"/>
  <c r="AA205" i="1"/>
  <c r="AH207" i="1"/>
  <c r="J209" i="1"/>
  <c r="S210" i="1"/>
  <c r="S211" i="1"/>
  <c r="Q212" i="1"/>
  <c r="P213" i="1"/>
  <c r="S214" i="1"/>
  <c r="O215" i="1"/>
  <c r="O216" i="1"/>
  <c r="Q217" i="1"/>
  <c r="Y218" i="1"/>
  <c r="W219" i="1"/>
  <c r="W220" i="1"/>
  <c r="X221" i="1"/>
  <c r="I224" i="1"/>
  <c r="J225" i="1"/>
  <c r="J226" i="1"/>
  <c r="I227" i="1"/>
  <c r="I228" i="1"/>
  <c r="AG228" i="1"/>
  <c r="J230" i="1"/>
  <c r="S231" i="1"/>
  <c r="E232" i="1"/>
  <c r="Q233" i="1"/>
  <c r="R234" i="1"/>
  <c r="AD236" i="1"/>
  <c r="AC237" i="1"/>
  <c r="AA238" i="1"/>
  <c r="AA239" i="1"/>
  <c r="AB240" i="1"/>
  <c r="J242" i="1"/>
  <c r="S243" i="1"/>
  <c r="I177" i="1"/>
  <c r="S178" i="1"/>
  <c r="S179" i="1"/>
  <c r="P180" i="1"/>
  <c r="AC181" i="1"/>
  <c r="AD182" i="1"/>
  <c r="AB183" i="1"/>
  <c r="W184" i="1"/>
  <c r="AH185" i="1"/>
  <c r="D187" i="1"/>
  <c r="E188" i="1"/>
  <c r="AC189" i="1"/>
  <c r="AD190" i="1"/>
  <c r="Q191" i="1"/>
  <c r="C192" i="1"/>
  <c r="H193" i="1"/>
  <c r="R200" i="1"/>
  <c r="AA204" i="1"/>
  <c r="Z205" i="1"/>
  <c r="I209" i="1"/>
  <c r="R210" i="1"/>
  <c r="R211" i="1"/>
  <c r="J223" i="1"/>
  <c r="H224" i="1"/>
  <c r="I225" i="1"/>
  <c r="I226" i="1"/>
  <c r="H228" i="1"/>
  <c r="I230" i="1"/>
  <c r="R231" i="1"/>
  <c r="P233" i="1"/>
  <c r="AD235" i="1"/>
  <c r="AC236" i="1"/>
  <c r="AB237" i="1"/>
  <c r="Z238" i="1"/>
  <c r="Z239" i="1"/>
  <c r="AA240" i="1"/>
  <c r="I242" i="1"/>
  <c r="R243" i="1"/>
  <c r="R178" i="1"/>
  <c r="R179" i="1"/>
  <c r="AB181" i="1"/>
  <c r="AC182" i="1"/>
  <c r="AA183" i="1"/>
  <c r="AB189" i="1"/>
  <c r="AC190" i="1"/>
  <c r="P191" i="1"/>
  <c r="G193" i="1"/>
  <c r="G194" i="1"/>
  <c r="F195" i="1"/>
  <c r="T196" i="1"/>
  <c r="AD203" i="1"/>
  <c r="Z204" i="1"/>
  <c r="Y205" i="1"/>
  <c r="J207" i="1"/>
  <c r="J208" i="1"/>
  <c r="H209" i="1"/>
  <c r="Q210" i="1"/>
  <c r="Q211" i="1"/>
  <c r="O212" i="1"/>
  <c r="AD214" i="1"/>
  <c r="AD215" i="1"/>
  <c r="AD217" i="1"/>
  <c r="AH219" i="1"/>
  <c r="AH220" i="1"/>
  <c r="AH221" i="1"/>
  <c r="I223" i="1"/>
  <c r="G224" i="1"/>
  <c r="H225" i="1"/>
  <c r="H226" i="1"/>
  <c r="G227" i="1"/>
  <c r="G228" i="1"/>
  <c r="J229" i="1"/>
  <c r="H230" i="1"/>
  <c r="Q231" i="1"/>
  <c r="T232" i="1"/>
  <c r="O233" i="1"/>
  <c r="AD234" i="1"/>
  <c r="AC235" i="1"/>
  <c r="AB236" i="1"/>
  <c r="AA237" i="1"/>
  <c r="Y238" i="1"/>
  <c r="Y239" i="1"/>
  <c r="H242" i="1"/>
  <c r="Q243" i="1"/>
  <c r="AD205" i="1"/>
  <c r="AC205" i="1"/>
  <c r="G177" i="1"/>
  <c r="Q178" i="1"/>
  <c r="Q179" i="1"/>
  <c r="AD180" i="1"/>
  <c r="AA181" i="1"/>
  <c r="AB182" i="1"/>
  <c r="Z183" i="1"/>
  <c r="AH184" i="1"/>
  <c r="J186" i="1"/>
  <c r="T187" i="1"/>
  <c r="T188" i="1"/>
  <c r="AA189" i="1"/>
  <c r="AB190" i="1"/>
  <c r="O191" i="1"/>
  <c r="T192" i="1"/>
  <c r="F193" i="1"/>
  <c r="F194" i="1"/>
  <c r="S196" i="1"/>
  <c r="AA197" i="1"/>
  <c r="AD200" i="1"/>
  <c r="AD201" i="1"/>
  <c r="AD202" i="1"/>
  <c r="AC203" i="1"/>
  <c r="Y204" i="1"/>
  <c r="X205" i="1"/>
  <c r="I207" i="1"/>
  <c r="I208" i="1"/>
  <c r="G209" i="1"/>
  <c r="P210" i="1"/>
  <c r="P211" i="1"/>
  <c r="AC214" i="1"/>
  <c r="AC215" i="1"/>
  <c r="AD216" i="1"/>
  <c r="AC217" i="1"/>
  <c r="AH218" i="1"/>
  <c r="AG219" i="1"/>
  <c r="AG220" i="1"/>
  <c r="AG221" i="1"/>
  <c r="H223" i="1"/>
  <c r="F224" i="1"/>
  <c r="G225" i="1"/>
  <c r="G226" i="1"/>
  <c r="F228" i="1"/>
  <c r="I229" i="1"/>
  <c r="G230" i="1"/>
  <c r="P231" i="1"/>
  <c r="S232" i="1"/>
  <c r="N233" i="1"/>
  <c r="AC234" i="1"/>
  <c r="AB235" i="1"/>
  <c r="AA236" i="1"/>
  <c r="Z237" i="1"/>
  <c r="X238" i="1"/>
  <c r="X239" i="1"/>
  <c r="G242" i="1"/>
  <c r="P243" i="1"/>
  <c r="AC238" i="1"/>
  <c r="P178" i="1"/>
  <c r="P179" i="1"/>
  <c r="AC180" i="1"/>
  <c r="Z181" i="1"/>
  <c r="AA182" i="1"/>
  <c r="Y183" i="1"/>
  <c r="AG184" i="1"/>
  <c r="I186" i="1"/>
  <c r="S187" i="1"/>
  <c r="S188" i="1"/>
  <c r="Z189" i="1"/>
  <c r="AA190" i="1"/>
  <c r="N191" i="1"/>
  <c r="T195" i="1"/>
  <c r="R196" i="1"/>
  <c r="J199" i="1"/>
  <c r="AC200" i="1"/>
  <c r="AC201" i="1"/>
  <c r="AC202" i="1"/>
  <c r="AB203" i="1"/>
  <c r="X204" i="1"/>
  <c r="W205" i="1"/>
  <c r="H207" i="1"/>
  <c r="H208" i="1"/>
  <c r="F209" i="1"/>
  <c r="O210" i="1"/>
  <c r="O211" i="1"/>
  <c r="AD212" i="1"/>
  <c r="AD213" i="1"/>
  <c r="AB214" i="1"/>
  <c r="AB215" i="1"/>
  <c r="AC216" i="1"/>
  <c r="AB217" i="1"/>
  <c r="G223" i="1"/>
  <c r="E224" i="1"/>
  <c r="F225" i="1"/>
  <c r="F226" i="1"/>
  <c r="T227" i="1"/>
  <c r="E228" i="1"/>
  <c r="G229" i="1"/>
  <c r="F230" i="1"/>
  <c r="O231" i="1"/>
  <c r="R232" i="1"/>
  <c r="AB234" i="1"/>
  <c r="AA235" i="1"/>
  <c r="Z236" i="1"/>
  <c r="Y237" i="1"/>
  <c r="W238" i="1"/>
  <c r="W239" i="1"/>
  <c r="E229" i="1"/>
  <c r="N231" i="1"/>
  <c r="Q232" i="1"/>
  <c r="Y236" i="1"/>
  <c r="X237" i="1"/>
  <c r="V238" i="1"/>
  <c r="V239" i="1"/>
  <c r="M231" i="1"/>
  <c r="W237" i="1"/>
  <c r="Y201" i="1"/>
  <c r="Z213" i="1"/>
  <c r="AD178" i="1"/>
  <c r="AB179" i="1"/>
  <c r="X180" i="1"/>
  <c r="AG181" i="1"/>
  <c r="AH182" i="1"/>
  <c r="J184" i="1"/>
  <c r="AD187" i="1"/>
  <c r="H198" i="1"/>
  <c r="X201" i="1"/>
  <c r="AC210" i="1"/>
  <c r="Y212" i="1"/>
  <c r="Y213" i="1"/>
  <c r="X216" i="1"/>
  <c r="O227" i="1"/>
  <c r="R229" i="1"/>
  <c r="AC231" i="1"/>
  <c r="AG237" i="1"/>
  <c r="AD242" i="1"/>
  <c r="Z243" i="1"/>
  <c r="Y180" i="1"/>
  <c r="I198" i="1"/>
  <c r="AD210" i="1"/>
  <c r="Z212" i="1"/>
  <c r="Y216" i="1"/>
  <c r="P227" i="1"/>
  <c r="S229" i="1"/>
  <c r="AD231" i="1"/>
  <c r="AH237" i="1"/>
  <c r="AA243" i="1"/>
  <c r="AA179" i="1"/>
  <c r="W180" i="1"/>
  <c r="I184" i="1"/>
  <c r="P186" i="1"/>
  <c r="AC187" i="1"/>
  <c r="Z188" i="1"/>
  <c r="J190" i="1"/>
  <c r="AG190" i="1"/>
  <c r="O193" i="1"/>
  <c r="AD194" i="1"/>
  <c r="AH196" i="1"/>
  <c r="G198" i="1"/>
  <c r="W201" i="1"/>
  <c r="H205" i="1"/>
  <c r="AD209" i="1"/>
  <c r="AB210" i="1"/>
  <c r="X212" i="1"/>
  <c r="X213" i="1"/>
  <c r="W216" i="1"/>
  <c r="AH217" i="1"/>
  <c r="T222" i="1"/>
  <c r="R224" i="1"/>
  <c r="P225" i="1"/>
  <c r="AD226" i="1"/>
  <c r="N227" i="1"/>
  <c r="P228" i="1"/>
  <c r="Q229" i="1"/>
  <c r="AB231" i="1"/>
  <c r="AA232" i="1"/>
  <c r="Y233" i="1"/>
  <c r="AH234" i="1"/>
  <c r="AH235" i="1"/>
  <c r="AF237" i="1"/>
  <c r="J239" i="1"/>
  <c r="J240" i="1"/>
  <c r="T241" i="1"/>
  <c r="AC242" i="1"/>
  <c r="Y243" i="1"/>
  <c r="J182" i="1"/>
  <c r="AB187" i="1"/>
  <c r="I190" i="1"/>
  <c r="AD192" i="1"/>
  <c r="J203" i="1"/>
  <c r="AC209" i="1"/>
  <c r="AA210" i="1"/>
  <c r="AA231" i="1"/>
  <c r="J237" i="1"/>
  <c r="AB177" i="1"/>
  <c r="AA178" i="1"/>
  <c r="Y179" i="1"/>
  <c r="AH180" i="1"/>
  <c r="I182" i="1"/>
  <c r="I183" i="1"/>
  <c r="G184" i="1"/>
  <c r="S185" i="1"/>
  <c r="N186" i="1"/>
  <c r="AA187" i="1"/>
  <c r="H190" i="1"/>
  <c r="AC192" i="1"/>
  <c r="AB194" i="1"/>
  <c r="T198" i="1"/>
  <c r="I203" i="1"/>
  <c r="S207" i="1"/>
  <c r="R208" i="1"/>
  <c r="AB209" i="1"/>
  <c r="Z210" i="1"/>
  <c r="Y211" i="1"/>
  <c r="AH212" i="1"/>
  <c r="AH213" i="1"/>
  <c r="AG215" i="1"/>
  <c r="J218" i="1"/>
  <c r="S219" i="1"/>
  <c r="S220" i="1"/>
  <c r="S221" i="1"/>
  <c r="R222" i="1"/>
  <c r="AC223" i="1"/>
  <c r="P224" i="1"/>
  <c r="AB226" i="1"/>
  <c r="AD227" i="1"/>
  <c r="N228" i="1"/>
  <c r="AD229" i="1"/>
  <c r="AC230" i="1"/>
  <c r="Z231" i="1"/>
  <c r="W233" i="1"/>
  <c r="AF234" i="1"/>
  <c r="I237" i="1"/>
  <c r="H239" i="1"/>
  <c r="AD241" i="1"/>
  <c r="AA242" i="1"/>
  <c r="T221" i="1"/>
  <c r="H182" i="1"/>
  <c r="R185" i="1"/>
  <c r="Z187" i="1"/>
  <c r="G190" i="1"/>
  <c r="J191" i="1"/>
  <c r="AB192" i="1"/>
  <c r="AD193" i="1"/>
  <c r="AA194" i="1"/>
  <c r="Z195" i="1"/>
  <c r="J197" i="1"/>
  <c r="S198" i="1"/>
  <c r="AD199" i="1"/>
  <c r="AG201" i="1"/>
  <c r="H203" i="1"/>
  <c r="T205" i="1"/>
  <c r="T206" i="1"/>
  <c r="R207" i="1"/>
  <c r="AA209" i="1"/>
  <c r="Y210" i="1"/>
  <c r="X211" i="1"/>
  <c r="AG212" i="1"/>
  <c r="AG213" i="1"/>
  <c r="J215" i="1"/>
  <c r="J217" i="1"/>
  <c r="I218" i="1"/>
  <c r="R219" i="1"/>
  <c r="R220" i="1"/>
  <c r="R221" i="1"/>
  <c r="Q222" i="1"/>
  <c r="AB223" i="1"/>
  <c r="AD225" i="1"/>
  <c r="AA226" i="1"/>
  <c r="AC227" i="1"/>
  <c r="AC229" i="1"/>
  <c r="AB230" i="1"/>
  <c r="Y231" i="1"/>
  <c r="J236" i="1"/>
  <c r="H237" i="1"/>
  <c r="G239" i="1"/>
  <c r="AC241" i="1"/>
  <c r="Z242" i="1"/>
  <c r="J244" i="1"/>
  <c r="Y178" i="1"/>
  <c r="AH179" i="1"/>
  <c r="J181" i="1"/>
  <c r="G182" i="1"/>
  <c r="T184" i="1"/>
  <c r="Q185" i="1"/>
  <c r="AD186" i="1"/>
  <c r="Y187" i="1"/>
  <c r="AH188" i="1"/>
  <c r="F190" i="1"/>
  <c r="I191" i="1"/>
  <c r="AH191" i="1"/>
  <c r="AA192" i="1"/>
  <c r="AC193" i="1"/>
  <c r="Z194" i="1"/>
  <c r="I197" i="1"/>
  <c r="R198" i="1"/>
  <c r="AC199" i="1"/>
  <c r="J201" i="1"/>
  <c r="G203" i="1"/>
  <c r="T204" i="1"/>
  <c r="S205" i="1"/>
  <c r="S206" i="1"/>
  <c r="AD208" i="1"/>
  <c r="Z209" i="1"/>
  <c r="X210" i="1"/>
  <c r="W211" i="1"/>
  <c r="I215" i="1"/>
  <c r="J216" i="1"/>
  <c r="I217" i="1"/>
  <c r="Q219" i="1"/>
  <c r="Q220" i="1"/>
  <c r="Q221" i="1"/>
  <c r="AA223" i="1"/>
  <c r="AD224" i="1"/>
  <c r="AC225" i="1"/>
  <c r="Z226" i="1"/>
  <c r="AB227" i="1"/>
  <c r="AB229" i="1"/>
  <c r="AA230" i="1"/>
  <c r="X231" i="1"/>
  <c r="AH233" i="1"/>
  <c r="J235" i="1"/>
  <c r="I236" i="1"/>
  <c r="G237" i="1"/>
  <c r="H238" i="1"/>
  <c r="F239" i="1"/>
  <c r="T240" i="1"/>
  <c r="AB241" i="1"/>
  <c r="Y242" i="1"/>
  <c r="I244" i="1"/>
  <c r="D113" i="1"/>
  <c r="E135" i="1"/>
  <c r="F138" i="1"/>
  <c r="F140" i="1"/>
  <c r="Y153" i="1"/>
  <c r="G167" i="1"/>
  <c r="D168" i="1"/>
  <c r="S111" i="1"/>
  <c r="S112" i="1"/>
  <c r="T113" i="1"/>
  <c r="N114" i="1"/>
  <c r="AB115" i="1"/>
  <c r="AA116" i="1"/>
  <c r="Z117" i="1"/>
  <c r="AC118" i="1"/>
  <c r="AA119" i="1"/>
  <c r="AF120" i="1"/>
  <c r="W122" i="1"/>
  <c r="H126" i="1"/>
  <c r="G127" i="1"/>
  <c r="R128" i="1"/>
  <c r="R129" i="1"/>
  <c r="AC130" i="1"/>
  <c r="O131" i="1"/>
  <c r="Q132" i="1"/>
  <c r="P134" i="1"/>
  <c r="T135" i="1"/>
  <c r="D136" i="1"/>
  <c r="T138" i="1"/>
  <c r="F139" i="1"/>
  <c r="T140" i="1"/>
  <c r="S141" i="1"/>
  <c r="P142" i="1"/>
  <c r="N143" i="1"/>
  <c r="AC144" i="1"/>
  <c r="AC145" i="1"/>
  <c r="AB146" i="1"/>
  <c r="AG148" i="1"/>
  <c r="G150" i="1"/>
  <c r="H151" i="1"/>
  <c r="I152" i="1"/>
  <c r="AG152" i="1"/>
  <c r="G155" i="1"/>
  <c r="S156" i="1"/>
  <c r="E157" i="1"/>
  <c r="S158" i="1"/>
  <c r="P160" i="1"/>
  <c r="M161" i="1"/>
  <c r="AB162" i="1"/>
  <c r="AA163" i="1"/>
  <c r="H165" i="1"/>
  <c r="G166" i="1"/>
  <c r="T167" i="1"/>
  <c r="T168" i="1"/>
  <c r="Q169" i="1"/>
  <c r="R170" i="1"/>
  <c r="O171" i="1"/>
  <c r="Q172" i="1"/>
  <c r="M173" i="1"/>
  <c r="Y175" i="1"/>
  <c r="Z176" i="1"/>
  <c r="X175" i="1"/>
  <c r="Y176" i="1"/>
  <c r="AG124" i="1"/>
  <c r="M131" i="1"/>
  <c r="N134" i="1"/>
  <c r="Q141" i="1"/>
  <c r="E150" i="1"/>
  <c r="Q158" i="1"/>
  <c r="N160" i="1"/>
  <c r="R167" i="1"/>
  <c r="R168" i="1"/>
  <c r="O169" i="1"/>
  <c r="AD170" i="1"/>
  <c r="AD172" i="1"/>
  <c r="W175" i="1"/>
  <c r="X176" i="1"/>
  <c r="P141" i="1"/>
  <c r="Q167" i="1"/>
  <c r="N169" i="1"/>
  <c r="AC170" i="1"/>
  <c r="AC172" i="1"/>
  <c r="V175" i="1"/>
  <c r="W176" i="1"/>
  <c r="AD134" i="1"/>
  <c r="AB172" i="1"/>
  <c r="T126" i="1"/>
  <c r="AD128" i="1"/>
  <c r="AB134" i="1"/>
  <c r="AD137" i="1"/>
  <c r="AD140" i="1"/>
  <c r="AC141" i="1"/>
  <c r="T148" i="1"/>
  <c r="AC167" i="1"/>
  <c r="AD169" i="1"/>
  <c r="AD167" i="1"/>
  <c r="AD112" i="1"/>
  <c r="AC113" i="1"/>
  <c r="Y114" i="1"/>
  <c r="AH115" i="1"/>
  <c r="AF117" i="1"/>
  <c r="AH118" i="1"/>
  <c r="J120" i="1"/>
  <c r="E121" i="1"/>
  <c r="D122" i="1"/>
  <c r="H123" i="1"/>
  <c r="F124" i="1"/>
  <c r="R125" i="1"/>
  <c r="S126" i="1"/>
  <c r="AD127" i="1"/>
  <c r="AC128" i="1"/>
  <c r="AA131" i="1"/>
  <c r="AD132" i="1"/>
  <c r="AA134" i="1"/>
  <c r="AD136" i="1"/>
  <c r="AC137" i="1"/>
  <c r="AC140" i="1"/>
  <c r="AB141" i="1"/>
  <c r="S148" i="1"/>
  <c r="T149" i="1"/>
  <c r="Q150" i="1"/>
  <c r="S151" i="1"/>
  <c r="AD156" i="1"/>
  <c r="AD157" i="1"/>
  <c r="AA158" i="1"/>
  <c r="X159" i="1"/>
  <c r="AA160" i="1"/>
  <c r="Y161" i="1"/>
  <c r="J164" i="1"/>
  <c r="P165" i="1"/>
  <c r="AD166" i="1"/>
  <c r="AB167" i="1"/>
  <c r="AA168" i="1"/>
  <c r="AC169" i="1"/>
  <c r="AG170" i="1"/>
  <c r="Z171" i="1"/>
  <c r="AG172" i="1"/>
  <c r="Y173" i="1"/>
  <c r="X174" i="1"/>
  <c r="J176" i="1"/>
  <c r="AD111" i="1"/>
  <c r="AC112" i="1"/>
  <c r="J117" i="1"/>
  <c r="AG118" i="1"/>
  <c r="I120" i="1"/>
  <c r="D121" i="1"/>
  <c r="G123" i="1"/>
  <c r="Q125" i="1"/>
  <c r="R126" i="1"/>
  <c r="AC127" i="1"/>
  <c r="AB128" i="1"/>
  <c r="AH130" i="1"/>
  <c r="Z131" i="1"/>
  <c r="AC132" i="1"/>
  <c r="W133" i="1"/>
  <c r="Z134" i="1"/>
  <c r="AD135" i="1"/>
  <c r="AC136" i="1"/>
  <c r="AB137" i="1"/>
  <c r="AB140" i="1"/>
  <c r="AA141" i="1"/>
  <c r="X142" i="1"/>
  <c r="AH144" i="1"/>
  <c r="T147" i="1"/>
  <c r="R148" i="1"/>
  <c r="S149" i="1"/>
  <c r="P150" i="1"/>
  <c r="R151" i="1"/>
  <c r="T152" i="1"/>
  <c r="T153" i="1"/>
  <c r="T154" i="1"/>
  <c r="AD155" i="1"/>
  <c r="AC156" i="1"/>
  <c r="AC157" i="1"/>
  <c r="Z158" i="1"/>
  <c r="W159" i="1"/>
  <c r="X161" i="1"/>
  <c r="J163" i="1"/>
  <c r="I164" i="1"/>
  <c r="O165" i="1"/>
  <c r="AC166" i="1"/>
  <c r="AA167" i="1"/>
  <c r="Z168" i="1"/>
  <c r="AB169" i="1"/>
  <c r="Y171" i="1"/>
  <c r="X173" i="1"/>
  <c r="I176" i="1"/>
  <c r="AC111" i="1"/>
  <c r="AB112" i="1"/>
  <c r="W114" i="1"/>
  <c r="J116" i="1"/>
  <c r="I117" i="1"/>
  <c r="J118" i="1"/>
  <c r="H120" i="1"/>
  <c r="T122" i="1"/>
  <c r="F123" i="1"/>
  <c r="T124" i="1"/>
  <c r="P125" i="1"/>
  <c r="Q126" i="1"/>
  <c r="AB127" i="1"/>
  <c r="AA128" i="1"/>
  <c r="J130" i="1"/>
  <c r="AG130" i="1"/>
  <c r="Y131" i="1"/>
  <c r="AB132" i="1"/>
  <c r="Y134" i="1"/>
  <c r="AC135" i="1"/>
  <c r="AB136" i="1"/>
  <c r="AA137" i="1"/>
  <c r="AD138" i="1"/>
  <c r="AD139" i="1"/>
  <c r="AA140" i="1"/>
  <c r="Z141" i="1"/>
  <c r="AH143" i="1"/>
  <c r="AG144" i="1"/>
  <c r="J146" i="1"/>
  <c r="S147" i="1"/>
  <c r="Q148" i="1"/>
  <c r="R149" i="1"/>
  <c r="O150" i="1"/>
  <c r="Q151" i="1"/>
  <c r="S152" i="1"/>
  <c r="S153" i="1"/>
  <c r="S154" i="1"/>
  <c r="AC155" i="1"/>
  <c r="AB156" i="1"/>
  <c r="AB157" i="1"/>
  <c r="Y158" i="1"/>
  <c r="AH160" i="1"/>
  <c r="I163" i="1"/>
  <c r="H164" i="1"/>
  <c r="AB166" i="1"/>
  <c r="Z167" i="1"/>
  <c r="Y168" i="1"/>
  <c r="AA169" i="1"/>
  <c r="X171" i="1"/>
  <c r="J173" i="1"/>
  <c r="W173" i="1"/>
  <c r="AH174" i="1"/>
  <c r="H176" i="1"/>
  <c r="AB111" i="1"/>
  <c r="AA112" i="1"/>
  <c r="AH113" i="1"/>
  <c r="I116" i="1"/>
  <c r="H117" i="1"/>
  <c r="I118" i="1"/>
  <c r="J119" i="1"/>
  <c r="G120" i="1"/>
  <c r="T121" i="1"/>
  <c r="S122" i="1"/>
  <c r="E123" i="1"/>
  <c r="S124" i="1"/>
  <c r="P126" i="1"/>
  <c r="AA127" i="1"/>
  <c r="Z128" i="1"/>
  <c r="I130" i="1"/>
  <c r="AF130" i="1"/>
  <c r="X131" i="1"/>
  <c r="AA132" i="1"/>
  <c r="AH133" i="1"/>
  <c r="X134" i="1"/>
  <c r="AB135" i="1"/>
  <c r="AA136" i="1"/>
  <c r="Z137" i="1"/>
  <c r="AC138" i="1"/>
  <c r="AC139" i="1"/>
  <c r="Z140" i="1"/>
  <c r="Y141" i="1"/>
  <c r="AH142" i="1"/>
  <c r="AG143" i="1"/>
  <c r="I146" i="1"/>
  <c r="R147" i="1"/>
  <c r="P148" i="1"/>
  <c r="Q149" i="1"/>
  <c r="N150" i="1"/>
  <c r="P151" i="1"/>
  <c r="R152" i="1"/>
  <c r="R153" i="1"/>
  <c r="R154" i="1"/>
  <c r="AB155" i="1"/>
  <c r="AA156" i="1"/>
  <c r="AA157" i="1"/>
  <c r="X158" i="1"/>
  <c r="AH159" i="1"/>
  <c r="AG160" i="1"/>
  <c r="AH161" i="1"/>
  <c r="H163" i="1"/>
  <c r="AA166" i="1"/>
  <c r="Y167" i="1"/>
  <c r="X168" i="1"/>
  <c r="Z169" i="1"/>
  <c r="J171" i="1"/>
  <c r="I173" i="1"/>
  <c r="G176" i="1"/>
  <c r="AC134" i="1"/>
  <c r="AD141" i="1"/>
  <c r="AA111" i="1"/>
  <c r="Z112" i="1"/>
  <c r="AH114" i="1"/>
  <c r="H116" i="1"/>
  <c r="G117" i="1"/>
  <c r="H118" i="1"/>
  <c r="I119" i="1"/>
  <c r="S121" i="1"/>
  <c r="R122" i="1"/>
  <c r="R124" i="1"/>
  <c r="O126" i="1"/>
  <c r="Z127" i="1"/>
  <c r="Y128" i="1"/>
  <c r="H130" i="1"/>
  <c r="Z132" i="1"/>
  <c r="W134" i="1"/>
  <c r="AA135" i="1"/>
  <c r="Z136" i="1"/>
  <c r="Y137" i="1"/>
  <c r="AB139" i="1"/>
  <c r="Y140" i="1"/>
  <c r="X141" i="1"/>
  <c r="H146" i="1"/>
  <c r="Q147" i="1"/>
  <c r="O148" i="1"/>
  <c r="Q152" i="1"/>
  <c r="Q153" i="1"/>
  <c r="Q154" i="1"/>
  <c r="AA155" i="1"/>
  <c r="Z156" i="1"/>
  <c r="Z157" i="1"/>
  <c r="AG159" i="1"/>
  <c r="AG161" i="1"/>
  <c r="G163" i="1"/>
  <c r="T164" i="1"/>
  <c r="Z166" i="1"/>
  <c r="X167" i="1"/>
  <c r="Y169" i="1"/>
  <c r="I171" i="1"/>
  <c r="AH171" i="1"/>
  <c r="H173" i="1"/>
  <c r="AH173" i="1"/>
  <c r="J175" i="1"/>
  <c r="H119" i="1"/>
  <c r="R121" i="1"/>
  <c r="Y127" i="1"/>
  <c r="Y136" i="1"/>
  <c r="X137" i="1"/>
  <c r="X140" i="1"/>
  <c r="G146" i="1"/>
  <c r="P147" i="1"/>
  <c r="N148" i="1"/>
  <c r="P152" i="1"/>
  <c r="P154" i="1"/>
  <c r="Z155" i="1"/>
  <c r="Y156" i="1"/>
  <c r="Y157" i="1"/>
  <c r="AG158" i="1"/>
  <c r="AF159" i="1"/>
  <c r="J161" i="1"/>
  <c r="F163" i="1"/>
  <c r="R164" i="1"/>
  <c r="Y166" i="1"/>
  <c r="W167" i="1"/>
  <c r="X169" i="1"/>
  <c r="H171" i="1"/>
  <c r="G173" i="1"/>
  <c r="AG173" i="1"/>
  <c r="I175" i="1"/>
  <c r="Q121" i="1"/>
  <c r="X127" i="1"/>
  <c r="F130" i="1"/>
  <c r="Y135" i="1"/>
  <c r="X136" i="1"/>
  <c r="W137" i="1"/>
  <c r="W140" i="1"/>
  <c r="AH141" i="1"/>
  <c r="F146" i="1"/>
  <c r="X156" i="1"/>
  <c r="E163" i="1"/>
  <c r="X166" i="1"/>
  <c r="G171" i="1"/>
  <c r="F173" i="1"/>
  <c r="H175" i="1"/>
  <c r="AD148" i="1"/>
  <c r="W156" i="1"/>
  <c r="H161" i="1"/>
  <c r="D163" i="1"/>
  <c r="W166" i="1"/>
  <c r="AH167" i="1"/>
  <c r="AH169" i="1"/>
  <c r="F171" i="1"/>
  <c r="E173" i="1"/>
  <c r="J174" i="1"/>
  <c r="G175" i="1"/>
  <c r="AH140" i="1"/>
  <c r="AD147" i="1"/>
  <c r="AC148" i="1"/>
  <c r="AD152" i="1"/>
  <c r="E171" i="1"/>
  <c r="I174" i="1"/>
  <c r="AC152" i="1"/>
  <c r="J168" i="1"/>
  <c r="D171" i="1"/>
  <c r="H174" i="1"/>
  <c r="AC121" i="1"/>
  <c r="AC147" i="1"/>
  <c r="AB148" i="1"/>
  <c r="H111" i="1"/>
  <c r="AH111" i="1"/>
  <c r="J113" i="1"/>
  <c r="T118" i="1"/>
  <c r="AB121" i="1"/>
  <c r="AD122" i="1"/>
  <c r="J128" i="1"/>
  <c r="S130" i="1"/>
  <c r="E131" i="1"/>
  <c r="J135" i="1"/>
  <c r="J141" i="1"/>
  <c r="R146" i="1"/>
  <c r="AB147" i="1"/>
  <c r="AA148" i="1"/>
  <c r="Y149" i="1"/>
  <c r="AB152" i="1"/>
  <c r="AD153" i="1"/>
  <c r="AG156" i="1"/>
  <c r="J158" i="1"/>
  <c r="G160" i="1"/>
  <c r="T161" i="1"/>
  <c r="S163" i="1"/>
  <c r="AA164" i="1"/>
  <c r="AG166" i="1"/>
  <c r="I168" i="1"/>
  <c r="H169" i="1"/>
  <c r="I170" i="1"/>
  <c r="C171" i="1"/>
  <c r="F172" i="1"/>
  <c r="T173" i="1"/>
  <c r="G174" i="1"/>
  <c r="S175" i="1"/>
  <c r="O176" i="1"/>
  <c r="N176" i="1"/>
  <c r="J111" i="1"/>
  <c r="D118" i="1"/>
  <c r="AD121" i="1"/>
  <c r="I135" i="1"/>
  <c r="J136" i="1"/>
  <c r="J138" i="1"/>
  <c r="J140" i="1"/>
  <c r="I141" i="1"/>
  <c r="T143" i="1"/>
  <c r="T144" i="1"/>
  <c r="T145" i="1"/>
  <c r="AA147" i="1"/>
  <c r="Z148" i="1"/>
  <c r="F111" i="1"/>
  <c r="J112" i="1"/>
  <c r="H113" i="1"/>
  <c r="S114" i="1"/>
  <c r="O115" i="1"/>
  <c r="P116" i="1"/>
  <c r="R118" i="1"/>
  <c r="O119" i="1"/>
  <c r="Y120" i="1"/>
  <c r="Z121" i="1"/>
  <c r="AB122" i="1"/>
  <c r="AA123" i="1"/>
  <c r="AA124" i="1"/>
  <c r="AG126" i="1"/>
  <c r="H128" i="1"/>
  <c r="G129" i="1"/>
  <c r="Q130" i="1"/>
  <c r="T131" i="1"/>
  <c r="D132" i="1"/>
  <c r="H135" i="1"/>
  <c r="I136" i="1"/>
  <c r="H137" i="1"/>
  <c r="I138" i="1"/>
  <c r="I140" i="1"/>
  <c r="H141" i="1"/>
  <c r="S143" i="1"/>
  <c r="S144" i="1"/>
  <c r="S145" i="1"/>
  <c r="P146" i="1"/>
  <c r="Z147" i="1"/>
  <c r="Y148" i="1"/>
  <c r="AH149" i="1"/>
  <c r="Z152" i="1"/>
  <c r="AB153" i="1"/>
  <c r="AG154" i="1"/>
  <c r="I156" i="1"/>
  <c r="J157" i="1"/>
  <c r="H158" i="1"/>
  <c r="R161" i="1"/>
  <c r="S162" i="1"/>
  <c r="Q163" i="1"/>
  <c r="AG165" i="1"/>
  <c r="J167" i="1"/>
  <c r="G168" i="1"/>
  <c r="F169" i="1"/>
  <c r="T171" i="1"/>
  <c r="R173" i="1"/>
  <c r="AD175" i="1"/>
  <c r="I113" i="1"/>
  <c r="T114" i="1"/>
  <c r="S118" i="1"/>
  <c r="AA121" i="1"/>
  <c r="AC122" i="1"/>
  <c r="R130" i="1"/>
  <c r="AA152" i="1"/>
  <c r="AC153" i="1"/>
  <c r="I158" i="1"/>
  <c r="S161" i="1"/>
  <c r="H168" i="1"/>
  <c r="E111" i="1"/>
  <c r="I112" i="1"/>
  <c r="G113" i="1"/>
  <c r="R114" i="1"/>
  <c r="N115" i="1"/>
  <c r="AD117" i="1"/>
  <c r="Q118" i="1"/>
  <c r="X120" i="1"/>
  <c r="Y121" i="1"/>
  <c r="AA122" i="1"/>
  <c r="Z123" i="1"/>
  <c r="Z124" i="1"/>
  <c r="AH125" i="1"/>
  <c r="G128" i="1"/>
  <c r="F129" i="1"/>
  <c r="P130" i="1"/>
  <c r="S131" i="1"/>
  <c r="T134" i="1"/>
  <c r="G135" i="1"/>
  <c r="H136" i="1"/>
  <c r="G137" i="1"/>
  <c r="H138" i="1"/>
  <c r="J139" i="1"/>
  <c r="H140" i="1"/>
  <c r="G141" i="1"/>
  <c r="T142" i="1"/>
  <c r="R143" i="1"/>
  <c r="R144" i="1"/>
  <c r="R145" i="1"/>
  <c r="O146" i="1"/>
  <c r="Y147" i="1"/>
  <c r="X148" i="1"/>
  <c r="AH151" i="1"/>
  <c r="Y152" i="1"/>
  <c r="AA153" i="1"/>
  <c r="H156" i="1"/>
  <c r="I157" i="1"/>
  <c r="G158" i="1"/>
  <c r="R159" i="1"/>
  <c r="T160" i="1"/>
  <c r="Q161" i="1"/>
  <c r="I167" i="1"/>
  <c r="F168" i="1"/>
  <c r="F170" i="1"/>
  <c r="S171" i="1"/>
  <c r="Q173" i="1"/>
  <c r="S174" i="1"/>
  <c r="AC175" i="1"/>
  <c r="AD176" i="1"/>
  <c r="I111" i="1"/>
  <c r="T130" i="1"/>
  <c r="G111" i="1"/>
  <c r="J156" i="1"/>
  <c r="D111" i="1"/>
  <c r="H112" i="1"/>
  <c r="E113" i="1"/>
  <c r="Q114" i="1"/>
  <c r="AD116" i="1"/>
  <c r="AC117" i="1"/>
  <c r="P118" i="1"/>
  <c r="AD119" i="1"/>
  <c r="X121" i="1"/>
  <c r="Z122" i="1"/>
  <c r="Y123" i="1"/>
  <c r="J127" i="1"/>
  <c r="O130" i="1"/>
  <c r="R131" i="1"/>
  <c r="T132" i="1"/>
  <c r="T133" i="1"/>
  <c r="S134" i="1"/>
  <c r="F135" i="1"/>
  <c r="G136" i="1"/>
  <c r="F137" i="1"/>
  <c r="G138" i="1"/>
  <c r="I139" i="1"/>
  <c r="G140" i="1"/>
  <c r="F141" i="1"/>
  <c r="S142" i="1"/>
  <c r="Q143" i="1"/>
  <c r="Q144" i="1"/>
  <c r="Q145" i="1"/>
  <c r="X147" i="1"/>
  <c r="W148" i="1"/>
  <c r="J150" i="1"/>
  <c r="AG151" i="1"/>
  <c r="X152" i="1"/>
  <c r="Z153" i="1"/>
  <c r="J155" i="1"/>
  <c r="G156" i="1"/>
  <c r="H157" i="1"/>
  <c r="F158" i="1"/>
  <c r="Q159" i="1"/>
  <c r="S160" i="1"/>
  <c r="P161" i="1"/>
  <c r="AD163" i="1"/>
  <c r="J166" i="1"/>
  <c r="H167" i="1"/>
  <c r="E168" i="1"/>
  <c r="T169" i="1"/>
  <c r="R171" i="1"/>
  <c r="T172" i="1"/>
  <c r="P173" i="1"/>
  <c r="R174" i="1"/>
  <c r="AB175" i="1"/>
  <c r="AC176" i="1"/>
  <c r="AB51" i="1"/>
  <c r="AH57" i="1"/>
  <c r="AH58" i="1"/>
  <c r="V61" i="1"/>
  <c r="F64" i="1"/>
  <c r="Q66" i="1"/>
  <c r="N69" i="1"/>
  <c r="AF72" i="1"/>
  <c r="G76" i="1"/>
  <c r="AG88" i="1"/>
  <c r="X96" i="1"/>
  <c r="W99" i="1"/>
  <c r="H106" i="1"/>
  <c r="P107" i="1"/>
  <c r="X97" i="1"/>
  <c r="X98" i="1"/>
  <c r="X102" i="1"/>
  <c r="X103" i="1"/>
  <c r="I105" i="1"/>
  <c r="M109" i="1"/>
  <c r="T52" i="1"/>
  <c r="Q55" i="1"/>
  <c r="P56" i="1"/>
  <c r="S57" i="1"/>
  <c r="D58" i="1"/>
  <c r="T59" i="1"/>
  <c r="F60" i="1"/>
  <c r="G61" i="1"/>
  <c r="G62" i="1"/>
  <c r="N64" i="1"/>
  <c r="AG68" i="1"/>
  <c r="I70" i="1"/>
  <c r="H71" i="1"/>
  <c r="T72" i="1"/>
  <c r="R73" i="1"/>
  <c r="P74" i="1"/>
  <c r="O75" i="1"/>
  <c r="N76" i="1"/>
  <c r="AA78" i="1"/>
  <c r="J82" i="1"/>
  <c r="E85" i="1"/>
  <c r="T86" i="1"/>
  <c r="Q87" i="1"/>
  <c r="R88" i="1"/>
  <c r="T89" i="1"/>
  <c r="S90" i="1"/>
  <c r="AC91" i="1"/>
  <c r="J94" i="1"/>
  <c r="J95" i="1"/>
  <c r="G96" i="1"/>
  <c r="G97" i="1"/>
  <c r="I98" i="1"/>
  <c r="H100" i="1"/>
  <c r="I102" i="1"/>
  <c r="I103" i="1"/>
  <c r="I104" i="1"/>
  <c r="P105" i="1"/>
  <c r="AB106" i="1"/>
  <c r="X107" i="1"/>
  <c r="W108" i="1"/>
  <c r="Z109" i="1"/>
  <c r="AA110" i="1"/>
  <c r="Q79" i="1"/>
  <c r="R57" i="1"/>
  <c r="S59" i="1"/>
  <c r="Q63" i="1"/>
  <c r="M64" i="1"/>
  <c r="Z65" i="1"/>
  <c r="AH66" i="1"/>
  <c r="AH67" i="1"/>
  <c r="H70" i="1"/>
  <c r="G71" i="1"/>
  <c r="S72" i="1"/>
  <c r="N75" i="1"/>
  <c r="N77" i="1"/>
  <c r="Z78" i="1"/>
  <c r="J81" i="1"/>
  <c r="I82" i="1"/>
  <c r="J83" i="1"/>
  <c r="S86" i="1"/>
  <c r="P87" i="1"/>
  <c r="Q88" i="1"/>
  <c r="S89" i="1"/>
  <c r="AB91" i="1"/>
  <c r="I94" i="1"/>
  <c r="I95" i="1"/>
  <c r="H98" i="1"/>
  <c r="T99" i="1"/>
  <c r="G100" i="1"/>
  <c r="J101" i="1"/>
  <c r="H102" i="1"/>
  <c r="AA106" i="1"/>
  <c r="Y109" i="1"/>
  <c r="Z110" i="1"/>
  <c r="R52" i="1"/>
  <c r="Q53" i="1"/>
  <c r="S54" i="1"/>
  <c r="AD55" i="1"/>
  <c r="N56" i="1"/>
  <c r="Q57" i="1"/>
  <c r="T58" i="1"/>
  <c r="R59" i="1"/>
  <c r="T60" i="1"/>
  <c r="T61" i="1"/>
  <c r="T62" i="1"/>
  <c r="Y65" i="1"/>
  <c r="J69" i="1"/>
  <c r="G70" i="1"/>
  <c r="R72" i="1"/>
  <c r="AD74" i="1"/>
  <c r="M75" i="1"/>
  <c r="AD76" i="1"/>
  <c r="Y78" i="1"/>
  <c r="J80" i="1"/>
  <c r="I81" i="1"/>
  <c r="H82" i="1"/>
  <c r="I83" i="1"/>
  <c r="T85" i="1"/>
  <c r="R86" i="1"/>
  <c r="O87" i="1"/>
  <c r="P88" i="1"/>
  <c r="R89" i="1"/>
  <c r="Q90" i="1"/>
  <c r="AA91" i="1"/>
  <c r="AG92" i="1"/>
  <c r="H94" i="1"/>
  <c r="H95" i="1"/>
  <c r="T96" i="1"/>
  <c r="E97" i="1"/>
  <c r="G98" i="1"/>
  <c r="S99" i="1"/>
  <c r="F100" i="1"/>
  <c r="I101" i="1"/>
  <c r="G102" i="1"/>
  <c r="G103" i="1"/>
  <c r="T104" i="1"/>
  <c r="Z106" i="1"/>
  <c r="AH107" i="1"/>
  <c r="AH108" i="1"/>
  <c r="X109" i="1"/>
  <c r="Y110" i="1"/>
  <c r="P79" i="1"/>
  <c r="J98" i="1"/>
  <c r="Q52" i="1"/>
  <c r="R54" i="1"/>
  <c r="AC55" i="1"/>
  <c r="P57" i="1"/>
  <c r="S58" i="1"/>
  <c r="Q59" i="1"/>
  <c r="S60" i="1"/>
  <c r="S61" i="1"/>
  <c r="S62" i="1"/>
  <c r="AD64" i="1"/>
  <c r="X65" i="1"/>
  <c r="J67" i="1"/>
  <c r="I69" i="1"/>
  <c r="F70" i="1"/>
  <c r="T71" i="1"/>
  <c r="Q72" i="1"/>
  <c r="AD73" i="1"/>
  <c r="AC74" i="1"/>
  <c r="AC76" i="1"/>
  <c r="AD77" i="1"/>
  <c r="X78" i="1"/>
  <c r="I80" i="1"/>
  <c r="H81" i="1"/>
  <c r="G82" i="1"/>
  <c r="H83" i="1"/>
  <c r="S85" i="1"/>
  <c r="Q86" i="1"/>
  <c r="N87" i="1"/>
  <c r="O88" i="1"/>
  <c r="Q89" i="1"/>
  <c r="Z91" i="1"/>
  <c r="G94" i="1"/>
  <c r="G95" i="1"/>
  <c r="S96" i="1"/>
  <c r="F98" i="1"/>
  <c r="R99" i="1"/>
  <c r="E100" i="1"/>
  <c r="H101" i="1"/>
  <c r="F102" i="1"/>
  <c r="F103" i="1"/>
  <c r="S104" i="1"/>
  <c r="AD105" i="1"/>
  <c r="Y106" i="1"/>
  <c r="AG108" i="1"/>
  <c r="W109" i="1"/>
  <c r="X110" i="1"/>
  <c r="T57" i="1"/>
  <c r="P52" i="1"/>
  <c r="AD53" i="1"/>
  <c r="Q54" i="1"/>
  <c r="AB55" i="1"/>
  <c r="AD56" i="1"/>
  <c r="O57" i="1"/>
  <c r="R58" i="1"/>
  <c r="P59" i="1"/>
  <c r="R60" i="1"/>
  <c r="R61" i="1"/>
  <c r="R62" i="1"/>
  <c r="AD63" i="1"/>
  <c r="AC64" i="1"/>
  <c r="I67" i="1"/>
  <c r="J68" i="1"/>
  <c r="H69" i="1"/>
  <c r="S71" i="1"/>
  <c r="AC73" i="1"/>
  <c r="AB74" i="1"/>
  <c r="AD75" i="1"/>
  <c r="AB76" i="1"/>
  <c r="AC77" i="1"/>
  <c r="H80" i="1"/>
  <c r="G81" i="1"/>
  <c r="F82" i="1"/>
  <c r="R85" i="1"/>
  <c r="AD90" i="1"/>
  <c r="J93" i="1"/>
  <c r="R96" i="1"/>
  <c r="T97" i="1"/>
  <c r="E98" i="1"/>
  <c r="Q99" i="1"/>
  <c r="R104" i="1"/>
  <c r="AC105" i="1"/>
  <c r="X106" i="1"/>
  <c r="W110" i="1"/>
  <c r="AC53" i="1"/>
  <c r="AA55" i="1"/>
  <c r="AC56" i="1"/>
  <c r="N57" i="1"/>
  <c r="Q58" i="1"/>
  <c r="O59" i="1"/>
  <c r="Q60" i="1"/>
  <c r="Q61" i="1"/>
  <c r="AC63" i="1"/>
  <c r="AB64" i="1"/>
  <c r="H67" i="1"/>
  <c r="I68" i="1"/>
  <c r="G69" i="1"/>
  <c r="R71" i="1"/>
  <c r="AD72" i="1"/>
  <c r="AB73" i="1"/>
  <c r="AA74" i="1"/>
  <c r="AC75" i="1"/>
  <c r="AA76" i="1"/>
  <c r="AB77" i="1"/>
  <c r="AH78" i="1"/>
  <c r="G80" i="1"/>
  <c r="F81" i="1"/>
  <c r="E82" i="1"/>
  <c r="Q85" i="1"/>
  <c r="AC90" i="1"/>
  <c r="AH91" i="1"/>
  <c r="I93" i="1"/>
  <c r="Q96" i="1"/>
  <c r="S97" i="1"/>
  <c r="D98" i="1"/>
  <c r="P99" i="1"/>
  <c r="T102" i="1"/>
  <c r="Q104" i="1"/>
  <c r="AB105" i="1"/>
  <c r="J109" i="1"/>
  <c r="AH109" i="1"/>
  <c r="J92" i="1"/>
  <c r="AC85" i="1"/>
  <c r="I92" i="1"/>
  <c r="T69" i="1"/>
  <c r="AB85" i="1"/>
  <c r="AC99" i="1"/>
  <c r="H110" i="1"/>
  <c r="Y52" i="1"/>
  <c r="Y54" i="1"/>
  <c r="AH55" i="1"/>
  <c r="W56" i="1"/>
  <c r="Z57" i="1"/>
  <c r="Z58" i="1"/>
  <c r="AA59" i="1"/>
  <c r="AC60" i="1"/>
  <c r="AA61" i="1"/>
  <c r="Y62" i="1"/>
  <c r="J65" i="1"/>
  <c r="G66" i="1"/>
  <c r="T67" i="1"/>
  <c r="P68" i="1"/>
  <c r="S69" i="1"/>
  <c r="AD71" i="1"/>
  <c r="X72" i="1"/>
  <c r="AH73" i="1"/>
  <c r="AH74" i="1"/>
  <c r="AH75" i="1"/>
  <c r="AH77" i="1"/>
  <c r="G79" i="1"/>
  <c r="Q80" i="1"/>
  <c r="P82" i="1"/>
  <c r="O83" i="1"/>
  <c r="AA85" i="1"/>
  <c r="X86" i="1"/>
  <c r="Y88" i="1"/>
  <c r="G92" i="1"/>
  <c r="AC96" i="1"/>
  <c r="AB99" i="1"/>
  <c r="C108" i="1"/>
  <c r="T109" i="1"/>
  <c r="G110" i="1"/>
  <c r="AD61" i="1"/>
  <c r="AD85" i="1"/>
  <c r="AC61" i="1"/>
  <c r="AD60" i="1"/>
  <c r="T51" i="1"/>
  <c r="X52" i="1"/>
  <c r="AH53" i="1"/>
  <c r="X54" i="1"/>
  <c r="Y57" i="1"/>
  <c r="Y58" i="1"/>
  <c r="Z59" i="1"/>
  <c r="AB60" i="1"/>
  <c r="Z61" i="1"/>
  <c r="X62" i="1"/>
  <c r="J64" i="1"/>
  <c r="I65" i="1"/>
  <c r="S67" i="1"/>
  <c r="O68" i="1"/>
  <c r="R69" i="1"/>
  <c r="AD70" i="1"/>
  <c r="AC71" i="1"/>
  <c r="W72" i="1"/>
  <c r="J77" i="1"/>
  <c r="F79" i="1"/>
  <c r="O82" i="1"/>
  <c r="N83" i="1"/>
  <c r="AD84" i="1"/>
  <c r="Z85" i="1"/>
  <c r="W86" i="1"/>
  <c r="AG87" i="1"/>
  <c r="X88" i="1"/>
  <c r="F92" i="1"/>
  <c r="N94" i="1"/>
  <c r="AB96" i="1"/>
  <c r="AD97" i="1"/>
  <c r="AD98" i="1"/>
  <c r="AA99" i="1"/>
  <c r="N100" i="1"/>
  <c r="M101" i="1"/>
  <c r="AD102" i="1"/>
  <c r="AD103" i="1"/>
  <c r="T107" i="1"/>
  <c r="S109" i="1"/>
  <c r="F110" i="1"/>
  <c r="I110" i="1"/>
  <c r="H92" i="1"/>
  <c r="AD96" i="1"/>
  <c r="AG53" i="1"/>
  <c r="AH56" i="1"/>
  <c r="X57" i="1"/>
  <c r="X58" i="1"/>
  <c r="Y59" i="1"/>
  <c r="AA60" i="1"/>
  <c r="Y61" i="1"/>
  <c r="W62" i="1"/>
  <c r="I64" i="1"/>
  <c r="H65" i="1"/>
  <c r="T66" i="1"/>
  <c r="R67" i="1"/>
  <c r="N68" i="1"/>
  <c r="Q69" i="1"/>
  <c r="AC70" i="1"/>
  <c r="AB71" i="1"/>
  <c r="J76" i="1"/>
  <c r="I77" i="1"/>
  <c r="J78" i="1"/>
  <c r="E79" i="1"/>
  <c r="AD80" i="1"/>
  <c r="AD81" i="1"/>
  <c r="N82" i="1"/>
  <c r="M83" i="1"/>
  <c r="Y85" i="1"/>
  <c r="W88" i="1"/>
  <c r="J91" i="1"/>
  <c r="E92" i="1"/>
  <c r="AD93" i="1"/>
  <c r="AD95" i="1"/>
  <c r="AA96" i="1"/>
  <c r="AC97" i="1"/>
  <c r="AC98" i="1"/>
  <c r="Z99" i="1"/>
  <c r="AC102" i="1"/>
  <c r="AC103" i="1"/>
  <c r="Y104" i="1"/>
  <c r="S107" i="1"/>
  <c r="T108" i="1"/>
  <c r="R109" i="1"/>
  <c r="E110" i="1"/>
  <c r="AB61" i="1"/>
  <c r="AD51" i="1"/>
  <c r="AH52" i="1"/>
  <c r="AF53" i="1"/>
  <c r="AH54" i="1"/>
  <c r="J56" i="1"/>
  <c r="AG56" i="1"/>
  <c r="W57" i="1"/>
  <c r="W58" i="1"/>
  <c r="X59" i="1"/>
  <c r="Z60" i="1"/>
  <c r="X61" i="1"/>
  <c r="H64" i="1"/>
  <c r="G65" i="1"/>
  <c r="S66" i="1"/>
  <c r="Q67" i="1"/>
  <c r="P69" i="1"/>
  <c r="AB70" i="1"/>
  <c r="AA71" i="1"/>
  <c r="AH72" i="1"/>
  <c r="J74" i="1"/>
  <c r="J75" i="1"/>
  <c r="I76" i="1"/>
  <c r="H77" i="1"/>
  <c r="I78" i="1"/>
  <c r="AC80" i="1"/>
  <c r="AC81" i="1"/>
  <c r="X85" i="1"/>
  <c r="AH86" i="1"/>
  <c r="J88" i="1"/>
  <c r="I91" i="1"/>
  <c r="C92" i="1"/>
  <c r="AC93" i="1"/>
  <c r="AD94" i="1"/>
  <c r="AC95" i="1"/>
  <c r="Z96" i="1"/>
  <c r="AB97" i="1"/>
  <c r="AB98" i="1"/>
  <c r="Y99" i="1"/>
  <c r="AD100" i="1"/>
  <c r="AD101" i="1"/>
  <c r="AB102" i="1"/>
  <c r="AB103" i="1"/>
  <c r="X104" i="1"/>
  <c r="J106" i="1"/>
  <c r="R107" i="1"/>
  <c r="S108" i="1"/>
  <c r="Q109" i="1"/>
  <c r="D110" i="1"/>
  <c r="J110" i="1"/>
  <c r="AD99" i="1"/>
  <c r="AC51" i="1"/>
  <c r="I56" i="1"/>
  <c r="Y60" i="1"/>
  <c r="W61" i="1"/>
  <c r="G64" i="1"/>
  <c r="C65" i="1"/>
  <c r="R66" i="1"/>
  <c r="P67" i="1"/>
  <c r="AD68" i="1"/>
  <c r="O69" i="1"/>
  <c r="AA70" i="1"/>
  <c r="Z71" i="1"/>
  <c r="AG72" i="1"/>
  <c r="I74" i="1"/>
  <c r="I75" i="1"/>
  <c r="H76" i="1"/>
  <c r="G77" i="1"/>
  <c r="H78" i="1"/>
  <c r="T79" i="1"/>
  <c r="AB80" i="1"/>
  <c r="AB81" i="1"/>
  <c r="AD82" i="1"/>
  <c r="AD83" i="1"/>
  <c r="W85" i="1"/>
  <c r="AG86" i="1"/>
  <c r="I88" i="1"/>
  <c r="AH88" i="1"/>
  <c r="J90" i="1"/>
  <c r="H91" i="1"/>
  <c r="B92" i="1"/>
  <c r="AB93" i="1"/>
  <c r="AC94" i="1"/>
  <c r="AB95" i="1"/>
  <c r="Y96" i="1"/>
  <c r="AA97" i="1"/>
  <c r="AA98" i="1"/>
  <c r="X99" i="1"/>
  <c r="AC100" i="1"/>
  <c r="AC101" i="1"/>
  <c r="AA102" i="1"/>
  <c r="AA103" i="1"/>
  <c r="I106" i="1"/>
  <c r="Q107" i="1"/>
  <c r="R108" i="1"/>
  <c r="P109" i="1"/>
  <c r="C110" i="1"/>
  <c r="G35" i="1"/>
  <c r="H36" i="1"/>
  <c r="AC37" i="1"/>
  <c r="Z38" i="1"/>
  <c r="X39" i="1"/>
  <c r="V40" i="1"/>
  <c r="AA41" i="1"/>
  <c r="AA42" i="1"/>
  <c r="AA44" i="1"/>
  <c r="I47" i="1"/>
  <c r="R48" i="1"/>
  <c r="Q49" i="1"/>
  <c r="S50" i="1"/>
  <c r="AC34" i="1"/>
  <c r="AB34" i="1"/>
  <c r="AD35" i="1"/>
  <c r="AA34" i="1"/>
  <c r="AC35" i="1"/>
  <c r="T38" i="1"/>
  <c r="T42" i="1"/>
  <c r="Q45" i="1"/>
  <c r="AD46" i="1"/>
  <c r="P47" i="1"/>
  <c r="Z34" i="1"/>
  <c r="AB35" i="1"/>
  <c r="S38" i="1"/>
  <c r="R40" i="1"/>
  <c r="T41" i="1"/>
  <c r="S42" i="1"/>
  <c r="E43" i="1"/>
  <c r="T44" i="1"/>
  <c r="P45" i="1"/>
  <c r="AC46" i="1"/>
  <c r="AG48" i="1"/>
  <c r="J51" i="1"/>
  <c r="Y34" i="1"/>
  <c r="AA35" i="1"/>
  <c r="J37" i="1"/>
  <c r="R38" i="1"/>
  <c r="T39" i="1"/>
  <c r="Q40" i="1"/>
  <c r="S41" i="1"/>
  <c r="R42" i="1"/>
  <c r="D43" i="1"/>
  <c r="S44" i="1"/>
  <c r="O45" i="1"/>
  <c r="AB46" i="1"/>
  <c r="AD47" i="1"/>
  <c r="AF48" i="1"/>
  <c r="J50" i="1"/>
  <c r="I51" i="1"/>
  <c r="X34" i="1"/>
  <c r="Z35" i="1"/>
  <c r="I37" i="1"/>
  <c r="Q38" i="1"/>
  <c r="S39" i="1"/>
  <c r="R41" i="1"/>
  <c r="Q42" i="1"/>
  <c r="R44" i="1"/>
  <c r="N45" i="1"/>
  <c r="AA46" i="1"/>
  <c r="AC47" i="1"/>
  <c r="I50" i="1"/>
  <c r="H51" i="1"/>
  <c r="W34" i="1"/>
  <c r="Y35" i="1"/>
  <c r="H37" i="1"/>
  <c r="P38" i="1"/>
  <c r="R39" i="1"/>
  <c r="AD40" i="1"/>
  <c r="Q41" i="1"/>
  <c r="P42" i="1"/>
  <c r="T43" i="1"/>
  <c r="Q44" i="1"/>
  <c r="Z46" i="1"/>
  <c r="AB47" i="1"/>
  <c r="J49" i="1"/>
  <c r="H50" i="1"/>
  <c r="G51" i="1"/>
  <c r="AC40" i="1"/>
  <c r="M38" i="1"/>
  <c r="AD39" i="1"/>
  <c r="AB40" i="1"/>
  <c r="X46" i="1"/>
  <c r="E51" i="1"/>
  <c r="AA40" i="1"/>
  <c r="AD38" i="1"/>
  <c r="AB39" i="1"/>
  <c r="Z40" i="1"/>
  <c r="AA45" i="1"/>
  <c r="AH46" i="1"/>
  <c r="H48" i="1"/>
  <c r="D50" i="1"/>
  <c r="J35" i="1"/>
  <c r="Q37" i="1"/>
  <c r="AC38" i="1"/>
  <c r="AA39" i="1"/>
  <c r="Y40" i="1"/>
  <c r="AD41" i="1"/>
  <c r="AD42" i="1"/>
  <c r="O43" i="1"/>
  <c r="AD44" i="1"/>
  <c r="T49" i="1"/>
  <c r="C50" i="1"/>
  <c r="I35" i="1"/>
  <c r="J36" i="1"/>
  <c r="AB38" i="1"/>
  <c r="Z39" i="1"/>
  <c r="X40" i="1"/>
  <c r="AC41" i="1"/>
  <c r="AC42" i="1"/>
  <c r="N43" i="1"/>
  <c r="AC44" i="1"/>
  <c r="T48" i="1"/>
  <c r="S49" i="1"/>
  <c r="AC39" i="1"/>
  <c r="H35" i="1"/>
  <c r="I36" i="1"/>
  <c r="AD37" i="1"/>
  <c r="AA38" i="1"/>
  <c r="Y39" i="1"/>
  <c r="W40" i="1"/>
  <c r="AB41" i="1"/>
  <c r="AB42" i="1"/>
  <c r="M43" i="1"/>
  <c r="AB44" i="1"/>
  <c r="X45" i="1"/>
  <c r="J47" i="1"/>
  <c r="S48" i="1"/>
  <c r="R49" i="1"/>
  <c r="T50" i="1"/>
  <c r="AB17" i="1"/>
  <c r="Z17" i="1"/>
  <c r="AC18" i="1"/>
  <c r="AD19" i="1"/>
  <c r="AB20" i="1"/>
  <c r="AC21" i="1"/>
  <c r="P23" i="1"/>
  <c r="AF24" i="1"/>
  <c r="AH25" i="1"/>
  <c r="Y26" i="1"/>
  <c r="AF31" i="1"/>
  <c r="I34" i="1"/>
  <c r="X17" i="1"/>
  <c r="AA18" i="1"/>
  <c r="AB19" i="1"/>
  <c r="Z20" i="1"/>
  <c r="AA21" i="1"/>
  <c r="AC22" i="1"/>
  <c r="N23" i="1"/>
  <c r="AF25" i="1"/>
  <c r="W26" i="1"/>
  <c r="I31" i="1"/>
  <c r="J32" i="1"/>
  <c r="G34" i="1"/>
  <c r="AH16" i="1"/>
  <c r="W17" i="1"/>
  <c r="Z18" i="1"/>
  <c r="AA19" i="1"/>
  <c r="Y20" i="1"/>
  <c r="Z21" i="1"/>
  <c r="AB22" i="1"/>
  <c r="AG28" i="1"/>
  <c r="J30" i="1"/>
  <c r="H31" i="1"/>
  <c r="I32" i="1"/>
  <c r="J33" i="1"/>
  <c r="F34" i="1"/>
  <c r="AH26" i="1"/>
  <c r="G31" i="1"/>
  <c r="Y18" i="1"/>
  <c r="Z19" i="1"/>
  <c r="X20" i="1"/>
  <c r="Y21" i="1"/>
  <c r="J17" i="1"/>
  <c r="AH17" i="1"/>
  <c r="X18" i="1"/>
  <c r="Y19" i="1"/>
  <c r="W20" i="1"/>
  <c r="X21" i="1"/>
  <c r="Z22" i="1"/>
  <c r="AH23" i="1"/>
  <c r="G25" i="1"/>
  <c r="J26" i="1"/>
  <c r="AG26" i="1"/>
  <c r="J29" i="1"/>
  <c r="H30" i="1"/>
  <c r="F31" i="1"/>
  <c r="D32" i="1"/>
  <c r="H33" i="1"/>
  <c r="T34" i="1"/>
  <c r="W21" i="1"/>
  <c r="Y22" i="1"/>
  <c r="AG23" i="1"/>
  <c r="G33" i="1"/>
  <c r="S34" i="1"/>
  <c r="X22" i="1"/>
  <c r="E25" i="1"/>
  <c r="H29" i="1"/>
  <c r="R34" i="1"/>
  <c r="D25" i="1"/>
  <c r="G29" i="1"/>
  <c r="J21" i="1"/>
  <c r="AG21" i="1"/>
  <c r="R31" i="1"/>
  <c r="R32" i="1"/>
  <c r="S33" i="1"/>
  <c r="F18" i="1"/>
  <c r="AG22" i="1"/>
  <c r="G27" i="1"/>
  <c r="F28" i="1"/>
  <c r="T29" i="1"/>
  <c r="T30" i="1"/>
  <c r="Q31" i="1"/>
  <c r="Q32" i="1"/>
  <c r="R33" i="1"/>
  <c r="W18" i="1"/>
  <c r="D17" i="1"/>
  <c r="E18" i="1"/>
  <c r="I20" i="1"/>
  <c r="H21" i="1"/>
  <c r="J22" i="1"/>
  <c r="AF22" i="1"/>
  <c r="G24" i="1"/>
  <c r="T26" i="1"/>
  <c r="E17" i="1"/>
  <c r="C17" i="1"/>
  <c r="D18" i="1"/>
  <c r="H20" i="1"/>
  <c r="G21" i="1"/>
  <c r="I22" i="1"/>
  <c r="F24" i="1"/>
  <c r="S26" i="1"/>
  <c r="D28" i="1"/>
  <c r="R30" i="1"/>
  <c r="O32" i="1"/>
  <c r="AD33" i="1"/>
  <c r="G20" i="1"/>
  <c r="H22" i="1"/>
  <c r="E24" i="1"/>
  <c r="R25" i="1"/>
  <c r="R26" i="1"/>
  <c r="Q30" i="1"/>
  <c r="AD31" i="1"/>
  <c r="N32" i="1"/>
  <c r="AC33" i="1"/>
  <c r="F17" i="1"/>
  <c r="S16" i="1"/>
  <c r="T18" i="1"/>
  <c r="T21" i="1"/>
  <c r="G22" i="1"/>
  <c r="D24" i="1"/>
  <c r="Q26" i="1"/>
  <c r="S27" i="1"/>
  <c r="AD29" i="1"/>
  <c r="AC31" i="1"/>
  <c r="M32" i="1"/>
  <c r="AB33" i="1"/>
  <c r="X19" i="1"/>
  <c r="AG18" i="1"/>
  <c r="H18" i="1"/>
  <c r="T16" i="1"/>
  <c r="R16" i="1"/>
  <c r="S18" i="1"/>
  <c r="T20" i="1"/>
  <c r="S21" i="1"/>
  <c r="F22" i="1"/>
  <c r="P26" i="1"/>
  <c r="R27" i="1"/>
  <c r="AC29" i="1"/>
  <c r="AD30" i="1"/>
  <c r="AB31" i="1"/>
  <c r="AA33" i="1"/>
  <c r="Q16" i="1"/>
  <c r="R17" i="1"/>
  <c r="R18" i="1"/>
  <c r="D19" i="1"/>
  <c r="S20" i="1"/>
  <c r="R21" i="1"/>
  <c r="E22" i="1"/>
  <c r="G23" i="1"/>
  <c r="AC25" i="1"/>
  <c r="O26" i="1"/>
  <c r="Q27" i="1"/>
  <c r="R28" i="1"/>
  <c r="AB29" i="1"/>
  <c r="AC30" i="1"/>
  <c r="AA31" i="1"/>
  <c r="AD32" i="1"/>
  <c r="Z33" i="1"/>
  <c r="H17" i="1"/>
  <c r="Q18" i="1"/>
  <c r="R20" i="1"/>
  <c r="Q21" i="1"/>
  <c r="D22" i="1"/>
  <c r="F23" i="1"/>
  <c r="AD24" i="1"/>
  <c r="AB25" i="1"/>
  <c r="N26" i="1"/>
  <c r="P27" i="1"/>
  <c r="Q28" i="1"/>
  <c r="AA29" i="1"/>
  <c r="AB30" i="1"/>
  <c r="Z31" i="1"/>
  <c r="AC32" i="1"/>
  <c r="Y33" i="1"/>
  <c r="Z29" i="1"/>
  <c r="AA30" i="1"/>
  <c r="Y31" i="1"/>
  <c r="AB32" i="1"/>
  <c r="X33" i="1"/>
  <c r="I17" i="1"/>
  <c r="P21" i="1"/>
  <c r="AC16" i="1"/>
  <c r="O18" i="1"/>
  <c r="S19" i="1"/>
  <c r="P20" i="1"/>
  <c r="O21" i="1"/>
  <c r="T22" i="1"/>
  <c r="AB24" i="1"/>
  <c r="Z25" i="1"/>
  <c r="AD26" i="1"/>
  <c r="AD27" i="1"/>
  <c r="AD28" i="1"/>
  <c r="Y29" i="1"/>
  <c r="Z30" i="1"/>
  <c r="X31" i="1"/>
  <c r="AA32" i="1"/>
  <c r="W33" i="1"/>
  <c r="P18" i="1"/>
  <c r="AB16" i="1"/>
  <c r="AD17" i="1"/>
  <c r="N18" i="1"/>
  <c r="O20" i="1"/>
  <c r="N21" i="1"/>
  <c r="S22" i="1"/>
  <c r="T23" i="1"/>
  <c r="AC26" i="1"/>
  <c r="AC28" i="1"/>
  <c r="X29" i="1"/>
  <c r="Y30" i="1"/>
  <c r="AH20" i="1"/>
  <c r="G17" i="1"/>
  <c r="AD16" i="1"/>
  <c r="AA16" i="1"/>
  <c r="AC17" i="1"/>
  <c r="M18" i="1"/>
  <c r="M21" i="1"/>
  <c r="R22" i="1"/>
  <c r="S23" i="1"/>
  <c r="AB26" i="1"/>
  <c r="AB27" i="1"/>
  <c r="AB28" i="1"/>
  <c r="W29" i="1"/>
  <c r="X30" i="1"/>
  <c r="Y32" i="1"/>
  <c r="AH33" i="1"/>
  <c r="AH24" i="1"/>
  <c r="AH31" i="1"/>
  <c r="X32" i="1"/>
  <c r="AD20" i="1"/>
  <c r="Y16" i="1"/>
  <c r="AA17" i="1"/>
  <c r="AD18" i="1"/>
  <c r="AC20" i="1"/>
  <c r="AD21" i="1"/>
  <c r="P22" i="1"/>
  <c r="Q23" i="1"/>
  <c r="AG24" i="1"/>
  <c r="Z26" i="1"/>
  <c r="Z27" i="1"/>
  <c r="Z28" i="1"/>
  <c r="AH29" i="1"/>
  <c r="AH30" i="1"/>
  <c r="AG31" i="1"/>
  <c r="W32" i="1"/>
  <c r="J34" i="1"/>
  <c r="AB9" i="1"/>
  <c r="AA11" i="1"/>
  <c r="AC13" i="1"/>
  <c r="AC14" i="1"/>
  <c r="AH15" i="1"/>
  <c r="Z9" i="1"/>
  <c r="Y11" i="1"/>
  <c r="AA13" i="1"/>
  <c r="AA14" i="1"/>
  <c r="AF15" i="1"/>
  <c r="Y9" i="1"/>
  <c r="Z13" i="1"/>
  <c r="Z14" i="1"/>
  <c r="X9" i="1"/>
  <c r="Y13" i="1"/>
  <c r="V9" i="1"/>
  <c r="J16" i="1"/>
  <c r="J15" i="1"/>
  <c r="H16" i="1"/>
  <c r="AD12" i="1"/>
  <c r="AD8" i="1"/>
  <c r="J10" i="1"/>
  <c r="AC12" i="1"/>
  <c r="J14" i="1"/>
  <c r="I15" i="1"/>
  <c r="G16" i="1"/>
  <c r="I14" i="1"/>
  <c r="H15" i="1"/>
  <c r="F16" i="1"/>
  <c r="AC8" i="1"/>
  <c r="AB8" i="1"/>
  <c r="AG12" i="1"/>
  <c r="H14" i="1"/>
  <c r="G15" i="1"/>
  <c r="E16" i="1"/>
  <c r="AA8" i="1"/>
  <c r="AF12" i="1"/>
  <c r="G14" i="1"/>
  <c r="F15" i="1"/>
  <c r="D16" i="1"/>
  <c r="F14" i="1"/>
  <c r="E15" i="1"/>
  <c r="J11" i="1"/>
  <c r="Y8" i="1"/>
  <c r="E14" i="1"/>
  <c r="X8" i="1"/>
  <c r="I11" i="1"/>
  <c r="I13" i="1"/>
  <c r="D14" i="1"/>
  <c r="T15" i="1"/>
  <c r="S15" i="1"/>
  <c r="V8" i="1"/>
  <c r="G11" i="1"/>
  <c r="G13" i="1"/>
  <c r="T14" i="1"/>
  <c r="R15" i="1"/>
  <c r="Z8" i="1"/>
  <c r="W8" i="1"/>
  <c r="H11" i="1"/>
  <c r="F11" i="1"/>
  <c r="F13" i="1"/>
  <c r="S14" i="1"/>
  <c r="Q15" i="1"/>
  <c r="E11" i="1"/>
  <c r="R14" i="1"/>
  <c r="P15" i="1"/>
  <c r="T13" i="1"/>
  <c r="Q14" i="1"/>
  <c r="O15" i="1"/>
  <c r="S13" i="1"/>
  <c r="P14" i="1"/>
  <c r="N15" i="1"/>
  <c r="AD11" i="1"/>
  <c r="R13" i="1"/>
  <c r="O14" i="1"/>
  <c r="AD15" i="1"/>
  <c r="M6" i="1"/>
  <c r="AD9" i="1"/>
  <c r="AC9" i="1"/>
  <c r="AD13" i="1"/>
  <c r="AF969" i="1"/>
  <c r="X969" i="1"/>
  <c r="W969" i="1"/>
  <c r="V969" i="1"/>
  <c r="M969" i="1"/>
  <c r="L969" i="1"/>
  <c r="E969" i="1"/>
  <c r="D969" i="1"/>
  <c r="C969" i="1"/>
  <c r="B969" i="1"/>
  <c r="AG968" i="1"/>
  <c r="AF968" i="1"/>
  <c r="W968" i="1"/>
  <c r="V968" i="1"/>
  <c r="O968" i="1"/>
  <c r="N968" i="1"/>
  <c r="M968" i="1"/>
  <c r="L968" i="1"/>
  <c r="E968" i="1"/>
  <c r="D968" i="1"/>
  <c r="C968" i="1"/>
  <c r="B968" i="1"/>
  <c r="AG967" i="1"/>
  <c r="AF967" i="1"/>
  <c r="V967" i="1"/>
  <c r="M967" i="1"/>
  <c r="L967" i="1"/>
  <c r="C967" i="1"/>
  <c r="B967" i="1"/>
  <c r="AG966" i="1"/>
  <c r="AF966" i="1"/>
  <c r="X966" i="1"/>
  <c r="W966" i="1"/>
  <c r="V966" i="1"/>
  <c r="O966" i="1"/>
  <c r="N966" i="1"/>
  <c r="M966" i="1"/>
  <c r="L966" i="1"/>
  <c r="E966" i="1"/>
  <c r="D966" i="1"/>
  <c r="C966" i="1"/>
  <c r="B966" i="1"/>
  <c r="AF965" i="1"/>
  <c r="Y965" i="1"/>
  <c r="X965" i="1"/>
  <c r="W965" i="1"/>
  <c r="V965" i="1"/>
  <c r="O965" i="1"/>
  <c r="N965" i="1"/>
  <c r="M965" i="1"/>
  <c r="L965" i="1"/>
  <c r="F965" i="1"/>
  <c r="E965" i="1"/>
  <c r="D965" i="1"/>
  <c r="C965" i="1"/>
  <c r="B965" i="1"/>
  <c r="AF964" i="1"/>
  <c r="W964" i="1"/>
  <c r="V964" i="1"/>
  <c r="O964" i="1"/>
  <c r="N964" i="1"/>
  <c r="M964" i="1"/>
  <c r="L964" i="1"/>
  <c r="G964" i="1"/>
  <c r="F964" i="1"/>
  <c r="E964" i="1"/>
  <c r="D964" i="1"/>
  <c r="C964" i="1"/>
  <c r="B964" i="1"/>
  <c r="AF963" i="1"/>
  <c r="V963" i="1"/>
  <c r="M963" i="1"/>
  <c r="L963" i="1"/>
  <c r="C963" i="1"/>
  <c r="B963" i="1"/>
  <c r="AF962" i="1"/>
  <c r="X962" i="1"/>
  <c r="W962" i="1"/>
  <c r="V962" i="1"/>
  <c r="N962" i="1"/>
  <c r="M962" i="1"/>
  <c r="L962" i="1"/>
  <c r="C962" i="1"/>
  <c r="B962" i="1"/>
  <c r="AH961" i="1"/>
  <c r="AG961" i="1"/>
  <c r="AF961" i="1"/>
  <c r="X961" i="1"/>
  <c r="W961" i="1"/>
  <c r="V961" i="1"/>
  <c r="N961" i="1"/>
  <c r="M961" i="1"/>
  <c r="L961" i="1"/>
  <c r="F961" i="1"/>
  <c r="E961" i="1"/>
  <c r="D961" i="1"/>
  <c r="C961" i="1"/>
  <c r="B961" i="1"/>
  <c r="W960" i="1"/>
  <c r="V960" i="1"/>
  <c r="O960" i="1"/>
  <c r="N960" i="1"/>
  <c r="M960" i="1"/>
  <c r="L960" i="1"/>
  <c r="G960" i="1"/>
  <c r="F960" i="1"/>
  <c r="E960" i="1"/>
  <c r="D960" i="1"/>
  <c r="C960" i="1"/>
  <c r="B960" i="1"/>
  <c r="AG959" i="1"/>
  <c r="AF959" i="1"/>
  <c r="X959" i="1"/>
  <c r="W959" i="1"/>
  <c r="V959" i="1"/>
  <c r="N959" i="1"/>
  <c r="M959" i="1"/>
  <c r="L959" i="1"/>
  <c r="E959" i="1"/>
  <c r="D959" i="1"/>
  <c r="C959" i="1"/>
  <c r="B959" i="1"/>
  <c r="AG958" i="1"/>
  <c r="AF958" i="1"/>
  <c r="W958" i="1"/>
  <c r="V958" i="1"/>
  <c r="M958" i="1"/>
  <c r="L958" i="1"/>
  <c r="G958" i="1"/>
  <c r="F958" i="1"/>
  <c r="E958" i="1"/>
  <c r="D958" i="1"/>
  <c r="C958" i="1"/>
  <c r="B958" i="1"/>
  <c r="AG957" i="1"/>
  <c r="AF957" i="1"/>
  <c r="X957" i="1"/>
  <c r="W957" i="1"/>
  <c r="V957" i="1"/>
  <c r="P957" i="1"/>
  <c r="O957" i="1"/>
  <c r="N957" i="1"/>
  <c r="M957" i="1"/>
  <c r="L957" i="1"/>
  <c r="G957" i="1"/>
  <c r="F957" i="1"/>
  <c r="E957" i="1"/>
  <c r="D957" i="1"/>
  <c r="C957" i="1"/>
  <c r="B957" i="1"/>
  <c r="AG956" i="1"/>
  <c r="AF956" i="1"/>
  <c r="V956" i="1"/>
  <c r="O956" i="1"/>
  <c r="N956" i="1"/>
  <c r="M956" i="1"/>
  <c r="L956" i="1"/>
  <c r="F956" i="1"/>
  <c r="E956" i="1"/>
  <c r="D956" i="1"/>
  <c r="C956" i="1"/>
  <c r="B956" i="1"/>
  <c r="AG955" i="1"/>
  <c r="AF955" i="1"/>
  <c r="V955" i="1"/>
  <c r="N955" i="1"/>
  <c r="M955" i="1"/>
  <c r="L955" i="1"/>
  <c r="D955" i="1"/>
  <c r="C955" i="1"/>
  <c r="B955" i="1"/>
  <c r="W954" i="1"/>
  <c r="V954" i="1"/>
  <c r="N954" i="1"/>
  <c r="M954" i="1"/>
  <c r="L954" i="1"/>
  <c r="H954" i="1"/>
  <c r="G954" i="1"/>
  <c r="F954" i="1"/>
  <c r="E954" i="1"/>
  <c r="D954" i="1"/>
  <c r="C954" i="1"/>
  <c r="B954" i="1"/>
  <c r="AF953" i="1"/>
  <c r="W953" i="1"/>
  <c r="V953" i="1"/>
  <c r="N953" i="1"/>
  <c r="M953" i="1"/>
  <c r="L953" i="1"/>
  <c r="D953" i="1"/>
  <c r="C953" i="1"/>
  <c r="B953" i="1"/>
  <c r="AG952" i="1"/>
  <c r="AF952" i="1"/>
  <c r="X952" i="1"/>
  <c r="W952" i="1"/>
  <c r="V952" i="1"/>
  <c r="Q952" i="1"/>
  <c r="P952" i="1"/>
  <c r="O952" i="1"/>
  <c r="N952" i="1"/>
  <c r="M952" i="1"/>
  <c r="L952" i="1"/>
  <c r="H952" i="1"/>
  <c r="G952" i="1"/>
  <c r="F952" i="1"/>
  <c r="E952" i="1"/>
  <c r="D952" i="1"/>
  <c r="C952" i="1"/>
  <c r="B952" i="1"/>
  <c r="AG951" i="1"/>
  <c r="AF951" i="1"/>
  <c r="V951" i="1"/>
  <c r="O951" i="1"/>
  <c r="N951" i="1"/>
  <c r="M951" i="1"/>
  <c r="L951" i="1"/>
  <c r="C951" i="1"/>
  <c r="B951" i="1"/>
  <c r="AH950" i="1"/>
  <c r="AG950" i="1"/>
  <c r="AF950" i="1"/>
  <c r="W950" i="1"/>
  <c r="V950" i="1"/>
  <c r="M950" i="1"/>
  <c r="L950" i="1"/>
  <c r="F950" i="1"/>
  <c r="E950" i="1"/>
  <c r="D950" i="1"/>
  <c r="C950" i="1"/>
  <c r="B950" i="1"/>
  <c r="AF949" i="1"/>
  <c r="X949" i="1"/>
  <c r="W949" i="1"/>
  <c r="V949" i="1"/>
  <c r="M949" i="1"/>
  <c r="L949" i="1"/>
  <c r="D949" i="1"/>
  <c r="C949" i="1"/>
  <c r="B949" i="1"/>
  <c r="AF948" i="1"/>
  <c r="X948" i="1"/>
  <c r="W948" i="1"/>
  <c r="V948" i="1"/>
  <c r="N948" i="1"/>
  <c r="M948" i="1"/>
  <c r="L948" i="1"/>
  <c r="E948" i="1"/>
  <c r="D948" i="1"/>
  <c r="C948" i="1"/>
  <c r="B948" i="1"/>
  <c r="AF947" i="1"/>
  <c r="W947" i="1"/>
  <c r="V947" i="1"/>
  <c r="N947" i="1"/>
  <c r="M947" i="1"/>
  <c r="L947" i="1"/>
  <c r="C947" i="1"/>
  <c r="B947" i="1"/>
  <c r="AG946" i="1"/>
  <c r="AF946" i="1"/>
  <c r="X946" i="1"/>
  <c r="W946" i="1"/>
  <c r="V946" i="1"/>
  <c r="M946" i="1"/>
  <c r="L946" i="1"/>
  <c r="F946" i="1"/>
  <c r="E946" i="1"/>
  <c r="D946" i="1"/>
  <c r="C946" i="1"/>
  <c r="B946" i="1"/>
  <c r="AG945" i="1"/>
  <c r="AF945" i="1"/>
  <c r="W945" i="1"/>
  <c r="V945" i="1"/>
  <c r="O945" i="1"/>
  <c r="N945" i="1"/>
  <c r="M945" i="1"/>
  <c r="L945" i="1"/>
  <c r="C945" i="1"/>
  <c r="B945" i="1"/>
  <c r="AG944" i="1"/>
  <c r="AF944" i="1"/>
  <c r="W944" i="1"/>
  <c r="V944" i="1"/>
  <c r="N944" i="1"/>
  <c r="M944" i="1"/>
  <c r="L944" i="1"/>
  <c r="B944" i="1"/>
  <c r="AH943" i="1"/>
  <c r="AG943" i="1"/>
  <c r="AF943" i="1"/>
  <c r="W943" i="1"/>
  <c r="V943" i="1"/>
  <c r="L943" i="1"/>
  <c r="F943" i="1"/>
  <c r="E943" i="1"/>
  <c r="D943" i="1"/>
  <c r="C943" i="1"/>
  <c r="B943" i="1"/>
  <c r="AF942" i="1"/>
  <c r="W942" i="1"/>
  <c r="V942" i="1"/>
  <c r="N942" i="1"/>
  <c r="M942" i="1"/>
  <c r="L942" i="1"/>
  <c r="F942" i="1"/>
  <c r="E942" i="1"/>
  <c r="D942" i="1"/>
  <c r="C942" i="1"/>
  <c r="B942" i="1"/>
  <c r="AG941" i="1"/>
  <c r="AF941" i="1"/>
  <c r="W941" i="1"/>
  <c r="V941" i="1"/>
  <c r="N941" i="1"/>
  <c r="M941" i="1"/>
  <c r="L941" i="1"/>
  <c r="D941" i="1"/>
  <c r="C941" i="1"/>
  <c r="B941" i="1"/>
  <c r="AG940" i="1"/>
  <c r="AF940" i="1"/>
  <c r="X940" i="1"/>
  <c r="W940" i="1"/>
  <c r="V940" i="1"/>
  <c r="M940" i="1"/>
  <c r="L940" i="1"/>
  <c r="J940" i="1"/>
  <c r="I940" i="1"/>
  <c r="H940" i="1"/>
  <c r="G940" i="1"/>
  <c r="F940" i="1"/>
  <c r="E940" i="1"/>
  <c r="D940" i="1"/>
  <c r="C940" i="1"/>
  <c r="B940" i="1"/>
  <c r="AG939" i="1"/>
  <c r="AF939" i="1"/>
  <c r="W939" i="1"/>
  <c r="V939" i="1"/>
  <c r="N939" i="1"/>
  <c r="M939" i="1"/>
  <c r="L939" i="1"/>
  <c r="G939" i="1"/>
  <c r="F939" i="1"/>
  <c r="E939" i="1"/>
  <c r="D939" i="1"/>
  <c r="C939" i="1"/>
  <c r="B939" i="1"/>
  <c r="AG938" i="1"/>
  <c r="AF938" i="1"/>
  <c r="V938" i="1"/>
  <c r="N938" i="1"/>
  <c r="M938" i="1"/>
  <c r="L938" i="1"/>
  <c r="F938" i="1"/>
  <c r="E938" i="1"/>
  <c r="D938" i="1"/>
  <c r="C938" i="1"/>
  <c r="B938" i="1"/>
  <c r="AG937" i="1"/>
  <c r="AF937" i="1"/>
  <c r="Y937" i="1"/>
  <c r="X937" i="1"/>
  <c r="W937" i="1"/>
  <c r="V937" i="1"/>
  <c r="N937" i="1"/>
  <c r="M937" i="1"/>
  <c r="L937" i="1"/>
  <c r="I937" i="1"/>
  <c r="H937" i="1"/>
  <c r="G937" i="1"/>
  <c r="F937" i="1"/>
  <c r="E937" i="1"/>
  <c r="D937" i="1"/>
  <c r="C937" i="1"/>
  <c r="B937" i="1"/>
  <c r="AH936" i="1"/>
  <c r="AG936" i="1"/>
  <c r="AF936" i="1"/>
  <c r="AB936" i="1"/>
  <c r="AA936" i="1"/>
  <c r="Z936" i="1"/>
  <c r="Y936" i="1"/>
  <c r="X936" i="1"/>
  <c r="W936" i="1"/>
  <c r="V936" i="1"/>
  <c r="P936" i="1"/>
  <c r="O936" i="1"/>
  <c r="N936" i="1"/>
  <c r="M936" i="1"/>
  <c r="L936" i="1"/>
  <c r="F936" i="1"/>
  <c r="E936" i="1"/>
  <c r="D936" i="1"/>
  <c r="C936" i="1"/>
  <c r="B936" i="1"/>
  <c r="AH935" i="1"/>
  <c r="AG935" i="1"/>
  <c r="AF935" i="1"/>
  <c r="Z935" i="1"/>
  <c r="Y935" i="1"/>
  <c r="X935" i="1"/>
  <c r="W935" i="1"/>
  <c r="V935" i="1"/>
  <c r="Q935" i="1"/>
  <c r="P935" i="1"/>
  <c r="O935" i="1"/>
  <c r="N935" i="1"/>
  <c r="M935" i="1"/>
  <c r="L935" i="1"/>
  <c r="C935" i="1"/>
  <c r="B935" i="1"/>
  <c r="AG934" i="1"/>
  <c r="AF934" i="1"/>
  <c r="W934" i="1"/>
  <c r="V934" i="1"/>
  <c r="N934" i="1"/>
  <c r="M934" i="1"/>
  <c r="L934" i="1"/>
  <c r="E934" i="1"/>
  <c r="D934" i="1"/>
  <c r="C934" i="1"/>
  <c r="B934" i="1"/>
  <c r="AH933" i="1"/>
  <c r="AG933" i="1"/>
  <c r="AF933" i="1"/>
  <c r="W933" i="1"/>
  <c r="V933" i="1"/>
  <c r="N933" i="1"/>
  <c r="M933" i="1"/>
  <c r="L933" i="1"/>
  <c r="E933" i="1"/>
  <c r="D933" i="1"/>
  <c r="C933" i="1"/>
  <c r="B933" i="1"/>
  <c r="AG932" i="1"/>
  <c r="AF932" i="1"/>
  <c r="W932" i="1"/>
  <c r="V932" i="1"/>
  <c r="N932" i="1"/>
  <c r="M932" i="1"/>
  <c r="L932" i="1"/>
  <c r="C932" i="1"/>
  <c r="B932" i="1"/>
  <c r="AF931" i="1"/>
  <c r="W931" i="1"/>
  <c r="V931" i="1"/>
  <c r="M931" i="1"/>
  <c r="L931" i="1"/>
  <c r="D931" i="1"/>
  <c r="C931" i="1"/>
  <c r="B931" i="1"/>
  <c r="AG930" i="1"/>
  <c r="AF930" i="1"/>
  <c r="W930" i="1"/>
  <c r="V930" i="1"/>
  <c r="Q930" i="1"/>
  <c r="P930" i="1"/>
  <c r="O930" i="1"/>
  <c r="N930" i="1"/>
  <c r="M930" i="1"/>
  <c r="L930" i="1"/>
  <c r="D930" i="1"/>
  <c r="C930" i="1"/>
  <c r="B930" i="1"/>
  <c r="AF929" i="1"/>
  <c r="X929" i="1"/>
  <c r="W929" i="1"/>
  <c r="V929" i="1"/>
  <c r="N929" i="1"/>
  <c r="M929" i="1"/>
  <c r="L929" i="1"/>
  <c r="F929" i="1"/>
  <c r="E929" i="1"/>
  <c r="D929" i="1"/>
  <c r="C929" i="1"/>
  <c r="B929" i="1"/>
  <c r="AG928" i="1"/>
  <c r="AF928" i="1"/>
  <c r="W928" i="1"/>
  <c r="V928" i="1"/>
  <c r="N928" i="1"/>
  <c r="M928" i="1"/>
  <c r="L928" i="1"/>
  <c r="G928" i="1"/>
  <c r="F928" i="1"/>
  <c r="E928" i="1"/>
  <c r="D928" i="1"/>
  <c r="C928" i="1"/>
  <c r="B928" i="1"/>
  <c r="AG927" i="1"/>
  <c r="AF927" i="1"/>
  <c r="W927" i="1"/>
  <c r="V927" i="1"/>
  <c r="O927" i="1"/>
  <c r="N927" i="1"/>
  <c r="M927" i="1"/>
  <c r="L927" i="1"/>
  <c r="E927" i="1"/>
  <c r="D927" i="1"/>
  <c r="AG926" i="1"/>
  <c r="AF926" i="1"/>
  <c r="V926" i="1"/>
  <c r="N926" i="1"/>
  <c r="M926" i="1"/>
  <c r="L926" i="1"/>
  <c r="C926" i="1"/>
  <c r="B926" i="1"/>
  <c r="AH925" i="1"/>
  <c r="AG925" i="1"/>
  <c r="AF925" i="1"/>
  <c r="W925" i="1"/>
  <c r="V925" i="1"/>
  <c r="M925" i="1"/>
  <c r="L925" i="1"/>
  <c r="D925" i="1"/>
  <c r="C925" i="1"/>
  <c r="B925" i="1"/>
  <c r="AG924" i="1"/>
  <c r="AF924" i="1"/>
  <c r="W924" i="1"/>
  <c r="V924" i="1"/>
  <c r="N924" i="1"/>
  <c r="M924" i="1"/>
  <c r="L924" i="1"/>
  <c r="F924" i="1"/>
  <c r="E924" i="1"/>
  <c r="D924" i="1"/>
  <c r="C924" i="1"/>
  <c r="B924" i="1"/>
  <c r="AG923" i="1"/>
  <c r="AF923" i="1"/>
  <c r="W923" i="1"/>
  <c r="V923" i="1"/>
  <c r="N923" i="1"/>
  <c r="M923" i="1"/>
  <c r="L923" i="1"/>
  <c r="D923" i="1"/>
  <c r="C923" i="1"/>
  <c r="B923" i="1"/>
  <c r="AF922" i="1"/>
  <c r="W922" i="1"/>
  <c r="V922" i="1"/>
  <c r="N922" i="1"/>
  <c r="M922" i="1"/>
  <c r="L922" i="1"/>
  <c r="F922" i="1"/>
  <c r="E922" i="1"/>
  <c r="D922" i="1"/>
  <c r="C922" i="1"/>
  <c r="B922" i="1"/>
  <c r="AH921" i="1"/>
  <c r="AG921" i="1"/>
  <c r="AF921" i="1"/>
  <c r="Y921" i="1"/>
  <c r="X921" i="1"/>
  <c r="W921" i="1"/>
  <c r="V921" i="1"/>
  <c r="Q921" i="1"/>
  <c r="P921" i="1"/>
  <c r="O921" i="1"/>
  <c r="N921" i="1"/>
  <c r="M921" i="1"/>
  <c r="L921" i="1"/>
  <c r="I921" i="1"/>
  <c r="H921" i="1"/>
  <c r="G921" i="1"/>
  <c r="F921" i="1"/>
  <c r="E921" i="1"/>
  <c r="D921" i="1"/>
  <c r="C921" i="1"/>
  <c r="B921" i="1"/>
  <c r="AG920" i="1"/>
  <c r="AF920" i="1"/>
  <c r="AD920" i="1"/>
  <c r="AC920" i="1"/>
  <c r="AB920" i="1"/>
  <c r="AA920" i="1"/>
  <c r="Z920" i="1"/>
  <c r="Y920" i="1"/>
  <c r="X920" i="1"/>
  <c r="W920" i="1"/>
  <c r="V920" i="1"/>
  <c r="N920" i="1"/>
  <c r="M920" i="1"/>
  <c r="L920" i="1"/>
  <c r="G920" i="1"/>
  <c r="F920" i="1"/>
  <c r="E920" i="1"/>
  <c r="D920" i="1"/>
  <c r="C920" i="1"/>
  <c r="B920" i="1"/>
  <c r="AG919" i="1"/>
  <c r="AF919" i="1"/>
  <c r="X919" i="1"/>
  <c r="W919" i="1"/>
  <c r="V919" i="1"/>
  <c r="M919" i="1"/>
  <c r="L919" i="1"/>
  <c r="E919" i="1"/>
  <c r="D919" i="1"/>
  <c r="C919" i="1"/>
  <c r="B919" i="1"/>
  <c r="AG918" i="1"/>
  <c r="V918" i="1"/>
  <c r="M918" i="1"/>
  <c r="L918" i="1"/>
  <c r="J918" i="1"/>
  <c r="I918" i="1"/>
  <c r="H918" i="1"/>
  <c r="G918" i="1"/>
  <c r="F918" i="1"/>
  <c r="E918" i="1"/>
  <c r="D918" i="1"/>
  <c r="C918" i="1"/>
  <c r="B918" i="1"/>
  <c r="AF917" i="1"/>
  <c r="V917" i="1"/>
  <c r="N917" i="1"/>
  <c r="M917" i="1"/>
  <c r="L917" i="1"/>
  <c r="D917" i="1"/>
  <c r="C917" i="1"/>
  <c r="AG916" i="1"/>
  <c r="AF916" i="1"/>
  <c r="AA916" i="1"/>
  <c r="Z916" i="1"/>
  <c r="Y916" i="1"/>
  <c r="X916" i="1"/>
  <c r="W916" i="1"/>
  <c r="V916" i="1"/>
  <c r="O916" i="1"/>
  <c r="N916" i="1"/>
  <c r="M916" i="1"/>
  <c r="L916" i="1"/>
  <c r="J916" i="1"/>
  <c r="I916" i="1"/>
  <c r="H916" i="1"/>
  <c r="G916" i="1"/>
  <c r="F916" i="1"/>
  <c r="E916" i="1"/>
  <c r="D916" i="1"/>
  <c r="C916" i="1"/>
  <c r="B916" i="1"/>
  <c r="AH915" i="1"/>
  <c r="AG915" i="1"/>
  <c r="AF915" i="1"/>
  <c r="V915" i="1"/>
  <c r="P915" i="1"/>
  <c r="O915" i="1"/>
  <c r="N915" i="1"/>
  <c r="M915" i="1"/>
  <c r="L915" i="1"/>
  <c r="E915" i="1"/>
  <c r="D915" i="1"/>
  <c r="C915" i="1"/>
  <c r="B915" i="1"/>
  <c r="AH914" i="1"/>
  <c r="AG914" i="1"/>
  <c r="AF914" i="1"/>
  <c r="Y914" i="1"/>
  <c r="X914" i="1"/>
  <c r="W914" i="1"/>
  <c r="V914" i="1"/>
  <c r="N914" i="1"/>
  <c r="M914" i="1"/>
  <c r="L914" i="1"/>
  <c r="I914" i="1"/>
  <c r="H914" i="1"/>
  <c r="G914" i="1"/>
  <c r="F914" i="1"/>
  <c r="E914" i="1"/>
  <c r="D914" i="1"/>
  <c r="C914" i="1"/>
  <c r="B914" i="1"/>
  <c r="AF913" i="1"/>
  <c r="V913" i="1"/>
  <c r="O913" i="1"/>
  <c r="N913" i="1"/>
  <c r="M913" i="1"/>
  <c r="L913" i="1"/>
  <c r="C913" i="1"/>
  <c r="B913" i="1"/>
  <c r="X912" i="1"/>
  <c r="W912" i="1"/>
  <c r="V912" i="1"/>
  <c r="N912" i="1"/>
  <c r="M912" i="1"/>
  <c r="L912" i="1"/>
  <c r="C912" i="1"/>
  <c r="B912" i="1"/>
  <c r="AF911" i="1"/>
  <c r="W911" i="1"/>
  <c r="V911" i="1"/>
  <c r="N911" i="1"/>
  <c r="M911" i="1"/>
  <c r="L911" i="1"/>
  <c r="D911" i="1"/>
  <c r="C911" i="1"/>
  <c r="B911" i="1"/>
  <c r="AH910" i="1"/>
  <c r="AG910" i="1"/>
  <c r="AF910" i="1"/>
  <c r="X910" i="1"/>
  <c r="W910" i="1"/>
  <c r="V910" i="1"/>
  <c r="O910" i="1"/>
  <c r="N910" i="1"/>
  <c r="M910" i="1"/>
  <c r="L910" i="1"/>
  <c r="F910" i="1"/>
  <c r="E910" i="1"/>
  <c r="D910" i="1"/>
  <c r="C910" i="1"/>
  <c r="B910" i="1"/>
  <c r="AH909" i="1"/>
  <c r="AG909" i="1"/>
  <c r="AF909" i="1"/>
  <c r="W909" i="1"/>
  <c r="V909" i="1"/>
  <c r="N909" i="1"/>
  <c r="M909" i="1"/>
  <c r="L909" i="1"/>
  <c r="G909" i="1"/>
  <c r="F909" i="1"/>
  <c r="E909" i="1"/>
  <c r="D909" i="1"/>
  <c r="C909" i="1"/>
  <c r="B909" i="1"/>
  <c r="AH908" i="1"/>
  <c r="AG908" i="1"/>
  <c r="AF908" i="1"/>
  <c r="W908" i="1"/>
  <c r="V908" i="1"/>
  <c r="N908" i="1"/>
  <c r="M908" i="1"/>
  <c r="L908" i="1"/>
  <c r="F908" i="1"/>
  <c r="E908" i="1"/>
  <c r="D908" i="1"/>
  <c r="C908" i="1"/>
  <c r="B908" i="1"/>
  <c r="AF907" i="1"/>
  <c r="X907" i="1"/>
  <c r="W907" i="1"/>
  <c r="V907" i="1"/>
  <c r="Q907" i="1"/>
  <c r="P907" i="1"/>
  <c r="O907" i="1"/>
  <c r="N907" i="1"/>
  <c r="M907" i="1"/>
  <c r="L907" i="1"/>
  <c r="F907" i="1"/>
  <c r="E907" i="1"/>
  <c r="D907" i="1"/>
  <c r="C907" i="1"/>
  <c r="B907" i="1"/>
  <c r="AG906" i="1"/>
  <c r="AF906" i="1"/>
  <c r="O906" i="1"/>
  <c r="N906" i="1"/>
  <c r="M906" i="1"/>
  <c r="L906" i="1"/>
  <c r="C906" i="1"/>
  <c r="B906" i="1"/>
  <c r="AF905" i="1"/>
  <c r="V905" i="1"/>
  <c r="P905" i="1"/>
  <c r="O905" i="1"/>
  <c r="N905" i="1"/>
  <c r="M905" i="1"/>
  <c r="L905" i="1"/>
  <c r="G905" i="1"/>
  <c r="F905" i="1"/>
  <c r="E905" i="1"/>
  <c r="D905" i="1"/>
  <c r="C905" i="1"/>
  <c r="B905" i="1"/>
  <c r="AH904" i="1"/>
  <c r="AG904" i="1"/>
  <c r="AF904" i="1"/>
  <c r="V904" i="1"/>
  <c r="O904" i="1"/>
  <c r="N904" i="1"/>
  <c r="M904" i="1"/>
  <c r="L904" i="1"/>
  <c r="F904" i="1"/>
  <c r="E904" i="1"/>
  <c r="D904" i="1"/>
  <c r="C904" i="1"/>
  <c r="B904" i="1"/>
  <c r="AG903" i="1"/>
  <c r="AF903" i="1"/>
  <c r="W903" i="1"/>
  <c r="V903" i="1"/>
  <c r="O903" i="1"/>
  <c r="N903" i="1"/>
  <c r="M903" i="1"/>
  <c r="L903" i="1"/>
  <c r="C903" i="1"/>
  <c r="B903" i="1"/>
  <c r="AH902" i="1"/>
  <c r="AG902" i="1"/>
  <c r="AF902" i="1"/>
  <c r="Z902" i="1"/>
  <c r="Y902" i="1"/>
  <c r="X902" i="1"/>
  <c r="W902" i="1"/>
  <c r="V902" i="1"/>
  <c r="L902" i="1"/>
  <c r="G902" i="1"/>
  <c r="D902" i="1"/>
  <c r="C902" i="1"/>
  <c r="B902" i="1"/>
  <c r="AG901" i="1"/>
  <c r="AF901" i="1"/>
  <c r="AB901" i="1"/>
  <c r="AA901" i="1"/>
  <c r="Z901" i="1"/>
  <c r="Y901" i="1"/>
  <c r="X901" i="1"/>
  <c r="W901" i="1"/>
  <c r="V901" i="1"/>
  <c r="O901" i="1"/>
  <c r="N901" i="1"/>
  <c r="M901" i="1"/>
  <c r="L901" i="1"/>
  <c r="F901" i="1"/>
  <c r="E901" i="1"/>
  <c r="D901" i="1"/>
  <c r="C901" i="1"/>
  <c r="B901" i="1"/>
  <c r="AG900" i="1"/>
  <c r="AF900" i="1"/>
  <c r="W900" i="1"/>
  <c r="V900" i="1"/>
  <c r="O900" i="1"/>
  <c r="N900" i="1"/>
  <c r="M900" i="1"/>
  <c r="L900" i="1"/>
  <c r="C900" i="1"/>
  <c r="B900" i="1"/>
  <c r="AF899" i="1"/>
  <c r="X899" i="1"/>
  <c r="W899" i="1"/>
  <c r="V899" i="1"/>
  <c r="N899" i="1"/>
  <c r="M899" i="1"/>
  <c r="L899" i="1"/>
  <c r="E899" i="1"/>
  <c r="D899" i="1"/>
  <c r="C899" i="1"/>
  <c r="B899" i="1"/>
  <c r="AH898" i="1"/>
  <c r="AG898" i="1"/>
  <c r="AF898" i="1"/>
  <c r="W898" i="1"/>
  <c r="V898" i="1"/>
  <c r="N898" i="1"/>
  <c r="M898" i="1"/>
  <c r="L898" i="1"/>
  <c r="D898" i="1"/>
  <c r="C898" i="1"/>
  <c r="B898" i="1"/>
  <c r="AF897" i="1"/>
  <c r="W897" i="1"/>
  <c r="V897" i="1"/>
  <c r="L897" i="1"/>
  <c r="F897" i="1"/>
  <c r="E897" i="1"/>
  <c r="D897" i="1"/>
  <c r="C897" i="1"/>
  <c r="B897" i="1"/>
  <c r="AF896" i="1"/>
  <c r="Y896" i="1"/>
  <c r="X896" i="1"/>
  <c r="W896" i="1"/>
  <c r="V896" i="1"/>
  <c r="P896" i="1"/>
  <c r="O896" i="1"/>
  <c r="N896" i="1"/>
  <c r="M896" i="1"/>
  <c r="L896" i="1"/>
  <c r="C896" i="1"/>
  <c r="B896" i="1"/>
  <c r="AG895" i="1"/>
  <c r="AF895" i="1"/>
  <c r="V895" i="1"/>
  <c r="Q895" i="1"/>
  <c r="P895" i="1"/>
  <c r="O895" i="1"/>
  <c r="N895" i="1"/>
  <c r="M895" i="1"/>
  <c r="L895" i="1"/>
  <c r="F895" i="1"/>
  <c r="C895" i="1"/>
  <c r="B895" i="1"/>
  <c r="AH894" i="1"/>
  <c r="AG894" i="1"/>
  <c r="AF894" i="1"/>
  <c r="W894" i="1"/>
  <c r="V894" i="1"/>
  <c r="N894" i="1"/>
  <c r="M894" i="1"/>
  <c r="L894" i="1"/>
  <c r="D894" i="1"/>
  <c r="C894" i="1"/>
  <c r="B894" i="1"/>
  <c r="AG893" i="1"/>
  <c r="AF893" i="1"/>
  <c r="W893" i="1"/>
  <c r="V893" i="1"/>
  <c r="M893" i="1"/>
  <c r="L893" i="1"/>
  <c r="D893" i="1"/>
  <c r="C893" i="1"/>
  <c r="B893" i="1"/>
  <c r="AG892" i="1"/>
  <c r="AF892" i="1"/>
  <c r="O892" i="1"/>
  <c r="N892" i="1"/>
  <c r="M892" i="1"/>
  <c r="L892" i="1"/>
  <c r="D892" i="1"/>
  <c r="C892" i="1"/>
  <c r="B892" i="1"/>
  <c r="AG891" i="1"/>
  <c r="W891" i="1"/>
  <c r="V891" i="1"/>
  <c r="N891" i="1"/>
  <c r="M891" i="1"/>
  <c r="L891" i="1"/>
  <c r="C891" i="1"/>
  <c r="B891" i="1"/>
  <c r="AH890" i="1"/>
  <c r="AG890" i="1"/>
  <c r="AF890" i="1"/>
  <c r="Y890" i="1"/>
  <c r="X890" i="1"/>
  <c r="W890" i="1"/>
  <c r="V890" i="1"/>
  <c r="O890" i="1"/>
  <c r="N890" i="1"/>
  <c r="M890" i="1"/>
  <c r="L890" i="1"/>
  <c r="D890" i="1"/>
  <c r="C890" i="1"/>
  <c r="B890" i="1"/>
  <c r="AH889" i="1"/>
  <c r="AG889" i="1"/>
  <c r="AF889" i="1"/>
  <c r="AA889" i="1"/>
  <c r="Z889" i="1"/>
  <c r="Y889" i="1"/>
  <c r="X889" i="1"/>
  <c r="W889" i="1"/>
  <c r="V889" i="1"/>
  <c r="M889" i="1"/>
  <c r="L889" i="1"/>
  <c r="B889" i="1"/>
  <c r="AG888" i="1"/>
  <c r="AF888" i="1"/>
  <c r="V888" i="1"/>
  <c r="N888" i="1"/>
  <c r="M888" i="1"/>
  <c r="L888" i="1"/>
  <c r="F888" i="1"/>
  <c r="E888" i="1"/>
  <c r="D888" i="1"/>
  <c r="C888" i="1"/>
  <c r="B888" i="1"/>
  <c r="AG887" i="1"/>
  <c r="AF887" i="1"/>
  <c r="W887" i="1"/>
  <c r="V887" i="1"/>
  <c r="P887" i="1"/>
  <c r="O887" i="1"/>
  <c r="N887" i="1"/>
  <c r="M887" i="1"/>
  <c r="L887" i="1"/>
  <c r="F887" i="1"/>
  <c r="E887" i="1"/>
  <c r="D887" i="1"/>
  <c r="C887" i="1"/>
  <c r="B887" i="1"/>
  <c r="AG886" i="1"/>
  <c r="AF886" i="1"/>
  <c r="W886" i="1"/>
  <c r="V886" i="1"/>
  <c r="E886" i="1"/>
  <c r="D886" i="1"/>
  <c r="C886" i="1"/>
  <c r="B886" i="1"/>
  <c r="AF885" i="1"/>
  <c r="W885" i="1"/>
  <c r="V885" i="1"/>
  <c r="N885" i="1"/>
  <c r="M885" i="1"/>
  <c r="L885" i="1"/>
  <c r="B885" i="1"/>
  <c r="AG884" i="1"/>
  <c r="AF884" i="1"/>
  <c r="W884" i="1"/>
  <c r="V884" i="1"/>
  <c r="O884" i="1"/>
  <c r="N884" i="1"/>
  <c r="M884" i="1"/>
  <c r="L884" i="1"/>
  <c r="D884" i="1"/>
  <c r="C884" i="1"/>
  <c r="B884" i="1"/>
  <c r="AF883" i="1"/>
  <c r="W883" i="1"/>
  <c r="V883" i="1"/>
  <c r="M883" i="1"/>
  <c r="L883" i="1"/>
  <c r="E883" i="1"/>
  <c r="D883" i="1"/>
  <c r="C883" i="1"/>
  <c r="B883" i="1"/>
  <c r="AF882" i="1"/>
  <c r="X882" i="1"/>
  <c r="W882" i="1"/>
  <c r="V882" i="1"/>
  <c r="N882" i="1"/>
  <c r="M882" i="1"/>
  <c r="L882" i="1"/>
  <c r="F882" i="1"/>
  <c r="E882" i="1"/>
  <c r="D882" i="1"/>
  <c r="C882" i="1"/>
  <c r="B882" i="1"/>
  <c r="AF881" i="1"/>
  <c r="X881" i="1"/>
  <c r="W881" i="1"/>
  <c r="V881" i="1"/>
  <c r="Q881" i="1"/>
  <c r="P881" i="1"/>
  <c r="O881" i="1"/>
  <c r="N881" i="1"/>
  <c r="M881" i="1"/>
  <c r="L881" i="1"/>
  <c r="G881" i="1"/>
  <c r="F881" i="1"/>
  <c r="E881" i="1"/>
  <c r="D881" i="1"/>
  <c r="C881" i="1"/>
  <c r="B881" i="1"/>
  <c r="AG880" i="1"/>
  <c r="AF880" i="1"/>
  <c r="W880" i="1"/>
  <c r="V880" i="1"/>
  <c r="N880" i="1"/>
  <c r="M880" i="1"/>
  <c r="L880" i="1"/>
  <c r="C880" i="1"/>
  <c r="B880" i="1"/>
  <c r="AG879" i="1"/>
  <c r="AF879" i="1"/>
  <c r="W879" i="1"/>
  <c r="V879" i="1"/>
  <c r="N879" i="1"/>
  <c r="M879" i="1"/>
  <c r="L879" i="1"/>
  <c r="H879" i="1"/>
  <c r="G879" i="1"/>
  <c r="F879" i="1"/>
  <c r="E879" i="1"/>
  <c r="D879" i="1"/>
  <c r="C879" i="1"/>
  <c r="B879" i="1"/>
  <c r="AG878" i="1"/>
  <c r="AF878" i="1"/>
  <c r="V878" i="1"/>
  <c r="N878" i="1"/>
  <c r="M878" i="1"/>
  <c r="L878" i="1"/>
  <c r="F878" i="1"/>
  <c r="E878" i="1"/>
  <c r="D878" i="1"/>
  <c r="C878" i="1"/>
  <c r="B878" i="1"/>
  <c r="AG877" i="1"/>
  <c r="AF877" i="1"/>
  <c r="Y877" i="1"/>
  <c r="X877" i="1"/>
  <c r="W877" i="1"/>
  <c r="V877" i="1"/>
  <c r="N877" i="1"/>
  <c r="M877" i="1"/>
  <c r="L877" i="1"/>
  <c r="F877" i="1"/>
  <c r="E877" i="1"/>
  <c r="D877" i="1"/>
  <c r="C877" i="1"/>
  <c r="B877" i="1"/>
  <c r="AH876" i="1"/>
  <c r="AG876" i="1"/>
  <c r="AF876" i="1"/>
  <c r="X876" i="1"/>
  <c r="W876" i="1"/>
  <c r="V876" i="1"/>
  <c r="P876" i="1"/>
  <c r="O876" i="1"/>
  <c r="N876" i="1"/>
  <c r="M876" i="1"/>
  <c r="L876" i="1"/>
  <c r="E876" i="1"/>
  <c r="D876" i="1"/>
  <c r="C876" i="1"/>
  <c r="B876" i="1"/>
  <c r="AH875" i="1"/>
  <c r="AG875" i="1"/>
  <c r="AF875" i="1"/>
  <c r="Y875" i="1"/>
  <c r="X875" i="1"/>
  <c r="W875" i="1"/>
  <c r="V875" i="1"/>
  <c r="P875" i="1"/>
  <c r="O875" i="1"/>
  <c r="N875" i="1"/>
  <c r="M875" i="1"/>
  <c r="L875" i="1"/>
  <c r="C875" i="1"/>
  <c r="B875" i="1"/>
  <c r="AG874" i="1"/>
  <c r="AF874" i="1"/>
  <c r="W874" i="1"/>
  <c r="V874" i="1"/>
  <c r="Q874" i="1"/>
  <c r="O874" i="1"/>
  <c r="N874" i="1"/>
  <c r="M874" i="1"/>
  <c r="L874" i="1"/>
  <c r="F874" i="1"/>
  <c r="D874" i="1"/>
  <c r="C874" i="1"/>
  <c r="B874" i="1"/>
  <c r="AG873" i="1"/>
  <c r="AF873" i="1"/>
  <c r="Z873" i="1"/>
  <c r="Y873" i="1"/>
  <c r="X873" i="1"/>
  <c r="W873" i="1"/>
  <c r="V873" i="1"/>
  <c r="Q873" i="1"/>
  <c r="P873" i="1"/>
  <c r="N873" i="1"/>
  <c r="M873" i="1"/>
  <c r="L873" i="1"/>
  <c r="F873" i="1"/>
  <c r="E873" i="1"/>
  <c r="D873" i="1"/>
  <c r="C873" i="1"/>
  <c r="B873" i="1"/>
  <c r="W872" i="1"/>
  <c r="V872" i="1"/>
  <c r="O872" i="1"/>
  <c r="N872" i="1"/>
  <c r="M872" i="1"/>
  <c r="L872" i="1"/>
  <c r="E872" i="1"/>
  <c r="D872" i="1"/>
  <c r="C872" i="1"/>
  <c r="B872" i="1"/>
  <c r="AG871" i="1"/>
  <c r="AF871" i="1"/>
  <c r="W871" i="1"/>
  <c r="V871" i="1"/>
  <c r="N871" i="1"/>
  <c r="M871" i="1"/>
  <c r="L871" i="1"/>
  <c r="D871" i="1"/>
  <c r="C871" i="1"/>
  <c r="B871" i="1"/>
  <c r="AG870" i="1"/>
  <c r="AF870" i="1"/>
  <c r="X870" i="1"/>
  <c r="W870" i="1"/>
  <c r="V870" i="1"/>
  <c r="Q870" i="1"/>
  <c r="P870" i="1"/>
  <c r="O870" i="1"/>
  <c r="N870" i="1"/>
  <c r="M870" i="1"/>
  <c r="L870" i="1"/>
  <c r="C870" i="1"/>
  <c r="B870" i="1"/>
  <c r="AF869" i="1"/>
  <c r="W869" i="1"/>
  <c r="V869" i="1"/>
  <c r="N869" i="1"/>
  <c r="M869" i="1"/>
  <c r="L869" i="1"/>
  <c r="D869" i="1"/>
  <c r="C869" i="1"/>
  <c r="B869" i="1"/>
  <c r="AF868" i="1"/>
  <c r="X868" i="1"/>
  <c r="W868" i="1"/>
  <c r="V868" i="1"/>
  <c r="N868" i="1"/>
  <c r="L868" i="1"/>
  <c r="C868" i="1"/>
  <c r="B868" i="1"/>
  <c r="AH867" i="1"/>
  <c r="AG867" i="1"/>
  <c r="AF867" i="1"/>
  <c r="W867" i="1"/>
  <c r="V867" i="1"/>
  <c r="M867" i="1"/>
  <c r="L867" i="1"/>
  <c r="I867" i="1"/>
  <c r="H867" i="1"/>
  <c r="G867" i="1"/>
  <c r="F867" i="1"/>
  <c r="E867" i="1"/>
  <c r="D867" i="1"/>
  <c r="C867" i="1"/>
  <c r="B867" i="1"/>
  <c r="AG866" i="1"/>
  <c r="AF866" i="1"/>
  <c r="X866" i="1"/>
  <c r="W866" i="1"/>
  <c r="V866" i="1"/>
  <c r="M866" i="1"/>
  <c r="L866" i="1"/>
  <c r="E866" i="1"/>
  <c r="D866" i="1"/>
  <c r="C866" i="1"/>
  <c r="B866" i="1"/>
  <c r="AH865" i="1"/>
  <c r="AG865" i="1"/>
  <c r="AF865" i="1"/>
  <c r="O865" i="1"/>
  <c r="N865" i="1"/>
  <c r="M865" i="1"/>
  <c r="L865" i="1"/>
  <c r="G865" i="1"/>
  <c r="F865" i="1"/>
  <c r="E865" i="1"/>
  <c r="D865" i="1"/>
  <c r="C865" i="1"/>
  <c r="B865" i="1"/>
  <c r="AG864" i="1"/>
  <c r="AF864" i="1"/>
  <c r="O864" i="1"/>
  <c r="N864" i="1"/>
  <c r="M864" i="1"/>
  <c r="L864" i="1"/>
  <c r="D864" i="1"/>
  <c r="C864" i="1"/>
  <c r="B864" i="1"/>
  <c r="AG863" i="1"/>
  <c r="AF863" i="1"/>
  <c r="W863" i="1"/>
  <c r="V863" i="1"/>
  <c r="N863" i="1"/>
  <c r="M863" i="1"/>
  <c r="L863" i="1"/>
  <c r="D863" i="1"/>
  <c r="C863" i="1"/>
  <c r="B863" i="1"/>
  <c r="AG862" i="1"/>
  <c r="AF862" i="1"/>
  <c r="X862" i="1"/>
  <c r="W862" i="1"/>
  <c r="V862" i="1"/>
  <c r="N862" i="1"/>
  <c r="M862" i="1"/>
  <c r="L862" i="1"/>
  <c r="E862" i="1"/>
  <c r="D862" i="1"/>
  <c r="C862" i="1"/>
  <c r="B862" i="1"/>
  <c r="AG861" i="1"/>
  <c r="AF861" i="1"/>
  <c r="W861" i="1"/>
  <c r="V861" i="1"/>
  <c r="N861" i="1"/>
  <c r="M861" i="1"/>
  <c r="L861" i="1"/>
  <c r="H861" i="1"/>
  <c r="G861" i="1"/>
  <c r="F861" i="1"/>
  <c r="E861" i="1"/>
  <c r="D861" i="1"/>
  <c r="C861" i="1"/>
  <c r="B861" i="1"/>
  <c r="AF860" i="1"/>
  <c r="X860" i="1"/>
  <c r="W860" i="1"/>
  <c r="V860" i="1"/>
  <c r="N860" i="1"/>
  <c r="M860" i="1"/>
  <c r="L860" i="1"/>
  <c r="E860" i="1"/>
  <c r="D860" i="1"/>
  <c r="C860" i="1"/>
  <c r="B860" i="1"/>
  <c r="AG859" i="1"/>
  <c r="AF859" i="1"/>
  <c r="W859" i="1"/>
  <c r="V859" i="1"/>
  <c r="N859" i="1"/>
  <c r="M859" i="1"/>
  <c r="L859" i="1"/>
  <c r="E859" i="1"/>
  <c r="D859" i="1"/>
  <c r="C859" i="1"/>
  <c r="B859" i="1"/>
  <c r="AF858" i="1"/>
  <c r="V858" i="1"/>
  <c r="M858" i="1"/>
  <c r="L858" i="1"/>
  <c r="D858" i="1"/>
  <c r="C858" i="1"/>
  <c r="B858" i="1"/>
  <c r="AF857" i="1"/>
  <c r="Y857" i="1"/>
  <c r="X857" i="1"/>
  <c r="W857" i="1"/>
  <c r="V857" i="1"/>
  <c r="P857" i="1"/>
  <c r="O857" i="1"/>
  <c r="N857" i="1"/>
  <c r="M857" i="1"/>
  <c r="L857" i="1"/>
  <c r="E857" i="1"/>
  <c r="D857" i="1"/>
  <c r="C857" i="1"/>
  <c r="B857" i="1"/>
  <c r="AG856" i="1"/>
  <c r="AF856" i="1"/>
  <c r="X856" i="1"/>
  <c r="W856" i="1"/>
  <c r="V856" i="1"/>
  <c r="N856" i="1"/>
  <c r="M856" i="1"/>
  <c r="L856" i="1"/>
  <c r="C856" i="1"/>
  <c r="B856" i="1"/>
  <c r="AF855" i="1"/>
  <c r="X855" i="1"/>
  <c r="W855" i="1"/>
  <c r="V855" i="1"/>
  <c r="N855" i="1"/>
  <c r="M855" i="1"/>
  <c r="L855" i="1"/>
  <c r="E855" i="1"/>
  <c r="D855" i="1"/>
  <c r="C855" i="1"/>
  <c r="B855" i="1"/>
  <c r="AF854" i="1"/>
  <c r="V854" i="1"/>
  <c r="N854" i="1"/>
  <c r="M854" i="1"/>
  <c r="L854" i="1"/>
  <c r="G854" i="1"/>
  <c r="F854" i="1"/>
  <c r="E854" i="1"/>
  <c r="D854" i="1"/>
  <c r="C854" i="1"/>
  <c r="B854" i="1"/>
  <c r="AF853" i="1"/>
  <c r="W853" i="1"/>
  <c r="V853" i="1"/>
  <c r="Q853" i="1"/>
  <c r="P853" i="1"/>
  <c r="O853" i="1"/>
  <c r="N853" i="1"/>
  <c r="M853" i="1"/>
  <c r="L853" i="1"/>
  <c r="G853" i="1"/>
  <c r="F853" i="1"/>
  <c r="E853" i="1"/>
  <c r="D853" i="1"/>
  <c r="C853" i="1"/>
  <c r="B853" i="1"/>
  <c r="W852" i="1"/>
  <c r="V852" i="1"/>
  <c r="N852" i="1"/>
  <c r="M852" i="1"/>
  <c r="L852" i="1"/>
  <c r="F852" i="1"/>
  <c r="E852" i="1"/>
  <c r="D852" i="1"/>
  <c r="C852" i="1"/>
  <c r="B852" i="1"/>
  <c r="AG851" i="1"/>
  <c r="AF851" i="1"/>
  <c r="N851" i="1"/>
  <c r="M851" i="1"/>
  <c r="L851" i="1"/>
  <c r="E851" i="1"/>
  <c r="D851" i="1"/>
  <c r="C851" i="1"/>
  <c r="B851" i="1"/>
  <c r="AG850" i="1"/>
  <c r="AF850" i="1"/>
  <c r="W850" i="1"/>
  <c r="V850" i="1"/>
  <c r="N850" i="1"/>
  <c r="M850" i="1"/>
  <c r="L850" i="1"/>
  <c r="G850" i="1"/>
  <c r="F850" i="1"/>
  <c r="E850" i="1"/>
  <c r="D850" i="1"/>
  <c r="C850" i="1"/>
  <c r="B850" i="1"/>
  <c r="AG849" i="1"/>
  <c r="AF849" i="1"/>
  <c r="Y849" i="1"/>
  <c r="W849" i="1"/>
  <c r="V849" i="1"/>
  <c r="N849" i="1"/>
  <c r="M849" i="1"/>
  <c r="L849" i="1"/>
  <c r="I849" i="1"/>
  <c r="H849" i="1"/>
  <c r="G849" i="1"/>
  <c r="F849" i="1"/>
  <c r="E849" i="1"/>
  <c r="D849" i="1"/>
  <c r="C849" i="1"/>
  <c r="B849" i="1"/>
  <c r="AF848" i="1"/>
  <c r="W848" i="1"/>
  <c r="V848" i="1"/>
  <c r="P848" i="1"/>
  <c r="O848" i="1"/>
  <c r="N848" i="1"/>
  <c r="M848" i="1"/>
  <c r="L848" i="1"/>
  <c r="E848" i="1"/>
  <c r="D848" i="1"/>
  <c r="C848" i="1"/>
  <c r="B848" i="1"/>
  <c r="AG847" i="1"/>
  <c r="AF847" i="1"/>
  <c r="Y847" i="1"/>
  <c r="X847" i="1"/>
  <c r="W847" i="1"/>
  <c r="V847" i="1"/>
  <c r="M847" i="1"/>
  <c r="L847" i="1"/>
  <c r="G847" i="1"/>
  <c r="F847" i="1"/>
  <c r="E847" i="1"/>
  <c r="D847" i="1"/>
  <c r="C847" i="1"/>
  <c r="B847" i="1"/>
  <c r="AF846" i="1"/>
  <c r="W846" i="1"/>
  <c r="V846" i="1"/>
  <c r="P846" i="1"/>
  <c r="O846" i="1"/>
  <c r="N846" i="1"/>
  <c r="M846" i="1"/>
  <c r="L846" i="1"/>
  <c r="C846" i="1"/>
  <c r="B846" i="1"/>
  <c r="AG845" i="1"/>
  <c r="AF845" i="1"/>
  <c r="V845" i="1"/>
  <c r="M845" i="1"/>
  <c r="L845" i="1"/>
  <c r="I845" i="1"/>
  <c r="H845" i="1"/>
  <c r="G845" i="1"/>
  <c r="F845" i="1"/>
  <c r="E845" i="1"/>
  <c r="D845" i="1"/>
  <c r="C845" i="1"/>
  <c r="B845" i="1"/>
  <c r="AF844" i="1"/>
  <c r="W844" i="1"/>
  <c r="V844" i="1"/>
  <c r="M844" i="1"/>
  <c r="L844" i="1"/>
  <c r="H844" i="1"/>
  <c r="C844" i="1"/>
  <c r="B844" i="1"/>
  <c r="AG843" i="1"/>
  <c r="AF843" i="1"/>
  <c r="V843" i="1"/>
  <c r="P843" i="1"/>
  <c r="O843" i="1"/>
  <c r="N843" i="1"/>
  <c r="M843" i="1"/>
  <c r="L843" i="1"/>
  <c r="C843" i="1"/>
  <c r="B843" i="1"/>
  <c r="AF842" i="1"/>
  <c r="X842" i="1"/>
  <c r="W842" i="1"/>
  <c r="V842" i="1"/>
  <c r="N842" i="1"/>
  <c r="M842" i="1"/>
  <c r="L842" i="1"/>
  <c r="F842" i="1"/>
  <c r="E842" i="1"/>
  <c r="D842" i="1"/>
  <c r="C842" i="1"/>
  <c r="B842" i="1"/>
  <c r="AG841" i="1"/>
  <c r="AF841" i="1"/>
  <c r="W841" i="1"/>
  <c r="V841" i="1"/>
  <c r="M841" i="1"/>
  <c r="L841" i="1"/>
  <c r="F841" i="1"/>
  <c r="E841" i="1"/>
  <c r="D841" i="1"/>
  <c r="C841" i="1"/>
  <c r="B841" i="1"/>
  <c r="AH840" i="1"/>
  <c r="AG840" i="1"/>
  <c r="AF840" i="1"/>
  <c r="Y840" i="1"/>
  <c r="X840" i="1"/>
  <c r="W840" i="1"/>
  <c r="V840" i="1"/>
  <c r="N840" i="1"/>
  <c r="M840" i="1"/>
  <c r="L840" i="1"/>
  <c r="C840" i="1"/>
  <c r="B840" i="1"/>
  <c r="AF839" i="1"/>
  <c r="X839" i="1"/>
  <c r="W839" i="1"/>
  <c r="V839" i="1"/>
  <c r="M839" i="1"/>
  <c r="L839" i="1"/>
  <c r="D839" i="1"/>
  <c r="C839" i="1"/>
  <c r="B839" i="1"/>
  <c r="AG838" i="1"/>
  <c r="AF838" i="1"/>
  <c r="W838" i="1"/>
  <c r="V838" i="1"/>
  <c r="M838" i="1"/>
  <c r="L838" i="1"/>
  <c r="C838" i="1"/>
  <c r="B838" i="1"/>
  <c r="AG837" i="1"/>
  <c r="AF837" i="1"/>
  <c r="W837" i="1"/>
  <c r="V837" i="1"/>
  <c r="O837" i="1"/>
  <c r="N837" i="1"/>
  <c r="M837" i="1"/>
  <c r="L837" i="1"/>
  <c r="H837" i="1"/>
  <c r="G837" i="1"/>
  <c r="F837" i="1"/>
  <c r="E837" i="1"/>
  <c r="D837" i="1"/>
  <c r="C837" i="1"/>
  <c r="B837" i="1"/>
  <c r="AG836" i="1"/>
  <c r="AF836" i="1"/>
  <c r="V836" i="1"/>
  <c r="N836" i="1"/>
  <c r="M836" i="1"/>
  <c r="L836" i="1"/>
  <c r="G836" i="1"/>
  <c r="F836" i="1"/>
  <c r="E836" i="1"/>
  <c r="D836" i="1"/>
  <c r="C836" i="1"/>
  <c r="B836" i="1"/>
  <c r="AG835" i="1"/>
  <c r="AF835" i="1"/>
  <c r="W835" i="1"/>
  <c r="V835" i="1"/>
  <c r="N835" i="1"/>
  <c r="M835" i="1"/>
  <c r="L835" i="1"/>
  <c r="D835" i="1"/>
  <c r="C835" i="1"/>
  <c r="B835" i="1"/>
  <c r="AG834" i="1"/>
  <c r="AF834" i="1"/>
  <c r="W834" i="1"/>
  <c r="V834" i="1"/>
  <c r="N834" i="1"/>
  <c r="M834" i="1"/>
  <c r="L834" i="1"/>
  <c r="F834" i="1"/>
  <c r="E834" i="1"/>
  <c r="D834" i="1"/>
  <c r="C834" i="1"/>
  <c r="AF833" i="1"/>
  <c r="V833" i="1"/>
  <c r="N833" i="1"/>
  <c r="M833" i="1"/>
  <c r="L833" i="1"/>
  <c r="G833" i="1"/>
  <c r="F833" i="1"/>
  <c r="E833" i="1"/>
  <c r="D833" i="1"/>
  <c r="C833" i="1"/>
  <c r="B833" i="1"/>
  <c r="AH832" i="1"/>
  <c r="AG832" i="1"/>
  <c r="AF832" i="1"/>
  <c r="V832" i="1"/>
  <c r="O832" i="1"/>
  <c r="N832" i="1"/>
  <c r="M832" i="1"/>
  <c r="L832" i="1"/>
  <c r="E832" i="1"/>
  <c r="D832" i="1"/>
  <c r="C832" i="1"/>
  <c r="B832" i="1"/>
  <c r="AG831" i="1"/>
  <c r="AF831" i="1"/>
  <c r="V831" i="1"/>
  <c r="M831" i="1"/>
  <c r="L831" i="1"/>
  <c r="D831" i="1"/>
  <c r="C831" i="1"/>
  <c r="B831" i="1"/>
  <c r="AG830" i="1"/>
  <c r="AF830" i="1"/>
  <c r="W830" i="1"/>
  <c r="V830" i="1"/>
  <c r="O830" i="1"/>
  <c r="N830" i="1"/>
  <c r="M830" i="1"/>
  <c r="L830" i="1"/>
  <c r="C830" i="1"/>
  <c r="B830" i="1"/>
  <c r="Z829" i="1"/>
  <c r="Y829" i="1"/>
  <c r="X829" i="1"/>
  <c r="W829" i="1"/>
  <c r="V829" i="1"/>
  <c r="P829" i="1"/>
  <c r="O829" i="1"/>
  <c r="N829" i="1"/>
  <c r="M829" i="1"/>
  <c r="L829" i="1"/>
  <c r="D829" i="1"/>
  <c r="C829" i="1"/>
  <c r="B829" i="1"/>
  <c r="AG828" i="1"/>
  <c r="AF828" i="1"/>
  <c r="W828" i="1"/>
  <c r="V828" i="1"/>
  <c r="M828" i="1"/>
  <c r="L828" i="1"/>
  <c r="D828" i="1"/>
  <c r="C828" i="1"/>
  <c r="B828" i="1"/>
  <c r="AG827" i="1"/>
  <c r="AF827" i="1"/>
  <c r="W827" i="1"/>
  <c r="V827" i="1"/>
  <c r="M827" i="1"/>
  <c r="L827" i="1"/>
  <c r="G827" i="1"/>
  <c r="F827" i="1"/>
  <c r="E827" i="1"/>
  <c r="D827" i="1"/>
  <c r="C827" i="1"/>
  <c r="B827" i="1"/>
  <c r="AG826" i="1"/>
  <c r="AF826" i="1"/>
  <c r="Y826" i="1"/>
  <c r="X826" i="1"/>
  <c r="W826" i="1"/>
  <c r="V826" i="1"/>
  <c r="O826" i="1"/>
  <c r="N826" i="1"/>
  <c r="M826" i="1"/>
  <c r="L826" i="1"/>
  <c r="C826" i="1"/>
  <c r="B826" i="1"/>
  <c r="AG825" i="1"/>
  <c r="AF825" i="1"/>
  <c r="W825" i="1"/>
  <c r="V825" i="1"/>
  <c r="M825" i="1"/>
  <c r="L825" i="1"/>
  <c r="D825" i="1"/>
  <c r="C825" i="1"/>
  <c r="B825" i="1"/>
  <c r="AF824" i="1"/>
  <c r="Y824" i="1"/>
  <c r="X824" i="1"/>
  <c r="W824" i="1"/>
  <c r="V824" i="1"/>
  <c r="O824" i="1"/>
  <c r="N824" i="1"/>
  <c r="M824" i="1"/>
  <c r="L824" i="1"/>
  <c r="C824" i="1"/>
  <c r="B824" i="1"/>
  <c r="AH823" i="1"/>
  <c r="AG823" i="1"/>
  <c r="AF823" i="1"/>
  <c r="AA823" i="1"/>
  <c r="Z823" i="1"/>
  <c r="Y823" i="1"/>
  <c r="X823" i="1"/>
  <c r="W823" i="1"/>
  <c r="V823" i="1"/>
  <c r="S823" i="1"/>
  <c r="R823" i="1"/>
  <c r="Q823" i="1"/>
  <c r="P823" i="1"/>
  <c r="O823" i="1"/>
  <c r="N823" i="1"/>
  <c r="M823" i="1"/>
  <c r="L823" i="1"/>
  <c r="B823" i="1"/>
  <c r="AF822" i="1"/>
  <c r="W822" i="1"/>
  <c r="V822" i="1"/>
  <c r="M822" i="1"/>
  <c r="L822" i="1"/>
  <c r="D822" i="1"/>
  <c r="C822" i="1"/>
  <c r="B822" i="1"/>
  <c r="W821" i="1"/>
  <c r="V821" i="1"/>
  <c r="P821" i="1"/>
  <c r="O821" i="1"/>
  <c r="N821" i="1"/>
  <c r="M821" i="1"/>
  <c r="L821" i="1"/>
  <c r="G821" i="1"/>
  <c r="F821" i="1"/>
  <c r="E821" i="1"/>
  <c r="D821" i="1"/>
  <c r="C821" i="1"/>
  <c r="B821" i="1"/>
  <c r="AG820" i="1"/>
  <c r="X820" i="1"/>
  <c r="W820" i="1"/>
  <c r="V820" i="1"/>
  <c r="N820" i="1"/>
  <c r="M820" i="1"/>
  <c r="L820" i="1"/>
  <c r="D820" i="1"/>
  <c r="C820" i="1"/>
  <c r="B820" i="1"/>
  <c r="AF819" i="1"/>
  <c r="W819" i="1"/>
  <c r="V819" i="1"/>
  <c r="M819" i="1"/>
  <c r="L819" i="1"/>
  <c r="F819" i="1"/>
  <c r="E819" i="1"/>
  <c r="D819" i="1"/>
  <c r="C819" i="1"/>
  <c r="B819" i="1"/>
  <c r="AG818" i="1"/>
  <c r="AF818" i="1"/>
  <c r="X818" i="1"/>
  <c r="W818" i="1"/>
  <c r="V818" i="1"/>
  <c r="Q818" i="1"/>
  <c r="P818" i="1"/>
  <c r="O818" i="1"/>
  <c r="N818" i="1"/>
  <c r="M818" i="1"/>
  <c r="L818" i="1"/>
  <c r="F818" i="1"/>
  <c r="C818" i="1"/>
  <c r="B818" i="1"/>
  <c r="AF817" i="1"/>
  <c r="W817" i="1"/>
  <c r="V817" i="1"/>
  <c r="P817" i="1"/>
  <c r="O817" i="1"/>
  <c r="N817" i="1"/>
  <c r="M817" i="1"/>
  <c r="L817" i="1"/>
  <c r="C817" i="1"/>
  <c r="B817" i="1"/>
  <c r="AF816" i="1"/>
  <c r="V816" i="1"/>
  <c r="M816" i="1"/>
  <c r="L816" i="1"/>
  <c r="G816" i="1"/>
  <c r="F816" i="1"/>
  <c r="E816" i="1"/>
  <c r="D816" i="1"/>
  <c r="C816" i="1"/>
  <c r="B816" i="1"/>
  <c r="AF815" i="1"/>
  <c r="W815" i="1"/>
  <c r="V815" i="1"/>
  <c r="N815" i="1"/>
  <c r="M815" i="1"/>
  <c r="L815" i="1"/>
  <c r="C815" i="1"/>
  <c r="B815" i="1"/>
  <c r="AG814" i="1"/>
  <c r="AF814" i="1"/>
  <c r="W814" i="1"/>
  <c r="V814" i="1"/>
  <c r="O814" i="1"/>
  <c r="N814" i="1"/>
  <c r="M814" i="1"/>
  <c r="L814" i="1"/>
  <c r="D814" i="1"/>
  <c r="C814" i="1"/>
  <c r="B814" i="1"/>
  <c r="AF813" i="1"/>
  <c r="V813" i="1"/>
  <c r="N813" i="1"/>
  <c r="M813" i="1"/>
  <c r="L813" i="1"/>
  <c r="F813" i="1"/>
  <c r="E813" i="1"/>
  <c r="D813" i="1"/>
  <c r="C813" i="1"/>
  <c r="B813" i="1"/>
  <c r="AG812" i="1"/>
  <c r="AF812" i="1"/>
  <c r="Y812" i="1"/>
  <c r="X812" i="1"/>
  <c r="W812" i="1"/>
  <c r="V812" i="1"/>
  <c r="O812" i="1"/>
  <c r="N812" i="1"/>
  <c r="M812" i="1"/>
  <c r="L812" i="1"/>
  <c r="F812" i="1"/>
  <c r="E812" i="1"/>
  <c r="D812" i="1"/>
  <c r="C812" i="1"/>
  <c r="B812" i="1"/>
  <c r="AF811" i="1"/>
  <c r="W811" i="1"/>
  <c r="V811" i="1"/>
  <c r="M811" i="1"/>
  <c r="L811" i="1"/>
  <c r="F811" i="1"/>
  <c r="E811" i="1"/>
  <c r="D811" i="1"/>
  <c r="C811" i="1"/>
  <c r="B811" i="1"/>
  <c r="AG810" i="1"/>
  <c r="AF810" i="1"/>
  <c r="V810" i="1"/>
  <c r="O810" i="1"/>
  <c r="N810" i="1"/>
  <c r="M810" i="1"/>
  <c r="L810" i="1"/>
  <c r="C810" i="1"/>
  <c r="B810" i="1"/>
  <c r="AF809" i="1"/>
  <c r="M809" i="1"/>
  <c r="L809" i="1"/>
  <c r="G809" i="1"/>
  <c r="F809" i="1"/>
  <c r="E809" i="1"/>
  <c r="D809" i="1"/>
  <c r="C809" i="1"/>
  <c r="B809" i="1"/>
  <c r="AG808" i="1"/>
  <c r="AF808" i="1"/>
  <c r="W808" i="1"/>
  <c r="V808" i="1"/>
  <c r="O808" i="1"/>
  <c r="N808" i="1"/>
  <c r="M808" i="1"/>
  <c r="L808" i="1"/>
  <c r="C808" i="1"/>
  <c r="B808" i="1"/>
  <c r="AG807" i="1"/>
  <c r="AF807" i="1"/>
  <c r="W807" i="1"/>
  <c r="V807" i="1"/>
  <c r="Q807" i="1"/>
  <c r="P807" i="1"/>
  <c r="O807" i="1"/>
  <c r="N807" i="1"/>
  <c r="M807" i="1"/>
  <c r="L807" i="1"/>
  <c r="H807" i="1"/>
  <c r="G807" i="1"/>
  <c r="F807" i="1"/>
  <c r="E807" i="1"/>
  <c r="D807" i="1"/>
  <c r="C807" i="1"/>
  <c r="B807" i="1"/>
  <c r="AH806" i="1"/>
  <c r="AG806" i="1"/>
  <c r="AF806" i="1"/>
  <c r="X806" i="1"/>
  <c r="W806" i="1"/>
  <c r="V806" i="1"/>
  <c r="O806" i="1"/>
  <c r="N806" i="1"/>
  <c r="M806" i="1"/>
  <c r="L806" i="1"/>
  <c r="D806" i="1"/>
  <c r="C806" i="1"/>
  <c r="B806" i="1"/>
  <c r="AG805" i="1"/>
  <c r="AF805" i="1"/>
  <c r="V805" i="1"/>
  <c r="M805" i="1"/>
  <c r="L805" i="1"/>
  <c r="G805" i="1"/>
  <c r="F805" i="1"/>
  <c r="E805" i="1"/>
  <c r="D805" i="1"/>
  <c r="C805" i="1"/>
  <c r="B805" i="1"/>
  <c r="AG804" i="1"/>
  <c r="AF804" i="1"/>
  <c r="W804" i="1"/>
  <c r="V804" i="1"/>
  <c r="M804" i="1"/>
  <c r="L804" i="1"/>
  <c r="C804" i="1"/>
  <c r="B804" i="1"/>
  <c r="AG803" i="1"/>
  <c r="AF803" i="1"/>
  <c r="X803" i="1"/>
  <c r="W803" i="1"/>
  <c r="V803" i="1"/>
  <c r="M803" i="1"/>
  <c r="L803" i="1"/>
  <c r="H803" i="1"/>
  <c r="G803" i="1"/>
  <c r="F803" i="1"/>
  <c r="E803" i="1"/>
  <c r="D803" i="1"/>
  <c r="C803" i="1"/>
  <c r="B803" i="1"/>
  <c r="AG802" i="1"/>
  <c r="AF802" i="1"/>
  <c r="X802" i="1"/>
  <c r="W802" i="1"/>
  <c r="V802" i="1"/>
  <c r="P802" i="1"/>
  <c r="O802" i="1"/>
  <c r="N802" i="1"/>
  <c r="M802" i="1"/>
  <c r="L802" i="1"/>
  <c r="F802" i="1"/>
  <c r="E802" i="1"/>
  <c r="D802" i="1"/>
  <c r="C802" i="1"/>
  <c r="B802" i="1"/>
  <c r="AG801" i="1"/>
  <c r="AF801" i="1"/>
  <c r="W801" i="1"/>
  <c r="V801" i="1"/>
  <c r="N801" i="1"/>
  <c r="M801" i="1"/>
  <c r="L801" i="1"/>
  <c r="C801" i="1"/>
  <c r="B801" i="1"/>
  <c r="AF800" i="1"/>
  <c r="W800" i="1"/>
  <c r="V800" i="1"/>
  <c r="L800" i="1"/>
  <c r="E800" i="1"/>
  <c r="D800" i="1"/>
  <c r="C800" i="1"/>
  <c r="B800" i="1"/>
  <c r="AF799" i="1"/>
  <c r="W799" i="1"/>
  <c r="V799" i="1"/>
  <c r="N799" i="1"/>
  <c r="M799" i="1"/>
  <c r="L799" i="1"/>
  <c r="C799" i="1"/>
  <c r="B799" i="1"/>
  <c r="AG798" i="1"/>
  <c r="AF798" i="1"/>
  <c r="Y798" i="1"/>
  <c r="X798" i="1"/>
  <c r="W798" i="1"/>
  <c r="V798" i="1"/>
  <c r="L798" i="1"/>
  <c r="G798" i="1"/>
  <c r="F798" i="1"/>
  <c r="E798" i="1"/>
  <c r="D798" i="1"/>
  <c r="C798" i="1"/>
  <c r="B798" i="1"/>
  <c r="AG797" i="1"/>
  <c r="AF797" i="1"/>
  <c r="W797" i="1"/>
  <c r="V797" i="1"/>
  <c r="R797" i="1"/>
  <c r="Q797" i="1"/>
  <c r="P797" i="1"/>
  <c r="O797" i="1"/>
  <c r="N797" i="1"/>
  <c r="M797" i="1"/>
  <c r="L797" i="1"/>
  <c r="F797" i="1"/>
  <c r="E797" i="1"/>
  <c r="D797" i="1"/>
  <c r="C797" i="1"/>
  <c r="B797" i="1"/>
  <c r="AG796" i="1"/>
  <c r="AF796" i="1"/>
  <c r="X796" i="1"/>
  <c r="W796" i="1"/>
  <c r="V796" i="1"/>
  <c r="N796" i="1"/>
  <c r="M796" i="1"/>
  <c r="L796" i="1"/>
  <c r="F796" i="1"/>
  <c r="E796" i="1"/>
  <c r="D796" i="1"/>
  <c r="C796" i="1"/>
  <c r="B796" i="1"/>
  <c r="AG795" i="1"/>
  <c r="AF795" i="1"/>
  <c r="W795" i="1"/>
  <c r="V795" i="1"/>
  <c r="L795" i="1"/>
  <c r="G795" i="1"/>
  <c r="F795" i="1"/>
  <c r="E795" i="1"/>
  <c r="D795" i="1"/>
  <c r="C795" i="1"/>
  <c r="B795" i="1"/>
  <c r="AH794" i="1"/>
  <c r="AG794" i="1"/>
  <c r="AF794" i="1"/>
  <c r="V794" i="1"/>
  <c r="O794" i="1"/>
  <c r="N794" i="1"/>
  <c r="M794" i="1"/>
  <c r="L794" i="1"/>
  <c r="J794" i="1"/>
  <c r="I794" i="1"/>
  <c r="H794" i="1"/>
  <c r="F794" i="1"/>
  <c r="E794" i="1"/>
  <c r="D794" i="1"/>
  <c r="C794" i="1"/>
  <c r="B794" i="1"/>
  <c r="AH793" i="1"/>
  <c r="AG793" i="1"/>
  <c r="AF793" i="1"/>
  <c r="W793" i="1"/>
  <c r="V793" i="1"/>
  <c r="M793" i="1"/>
  <c r="L793" i="1"/>
  <c r="C793" i="1"/>
  <c r="B793" i="1"/>
  <c r="AH792" i="1"/>
  <c r="AG792" i="1"/>
  <c r="AF792" i="1"/>
  <c r="X792" i="1"/>
  <c r="W792" i="1"/>
  <c r="V792" i="1"/>
  <c r="M792" i="1"/>
  <c r="L792" i="1"/>
  <c r="E792" i="1"/>
  <c r="D792" i="1"/>
  <c r="C792" i="1"/>
  <c r="B792" i="1"/>
  <c r="AF791" i="1"/>
  <c r="W791" i="1"/>
  <c r="V791" i="1"/>
  <c r="P791" i="1"/>
  <c r="O791" i="1"/>
  <c r="N791" i="1"/>
  <c r="M791" i="1"/>
  <c r="L791" i="1"/>
  <c r="E791" i="1"/>
  <c r="D791" i="1"/>
  <c r="C791" i="1"/>
  <c r="B791" i="1"/>
  <c r="AF790" i="1"/>
  <c r="AA790" i="1"/>
  <c r="Z790" i="1"/>
  <c r="Y790" i="1"/>
  <c r="X790" i="1"/>
  <c r="W790" i="1"/>
  <c r="V790" i="1"/>
  <c r="S790" i="1"/>
  <c r="R790" i="1"/>
  <c r="P790" i="1"/>
  <c r="O790" i="1"/>
  <c r="N790" i="1"/>
  <c r="M790" i="1"/>
  <c r="L790" i="1"/>
  <c r="C790" i="1"/>
  <c r="B790" i="1"/>
  <c r="AG789" i="1"/>
  <c r="AF789" i="1"/>
  <c r="W789" i="1"/>
  <c r="V789" i="1"/>
  <c r="M789" i="1"/>
  <c r="L789" i="1"/>
  <c r="E789" i="1"/>
  <c r="D789" i="1"/>
  <c r="C789" i="1"/>
  <c r="B789" i="1"/>
  <c r="AF788" i="1"/>
  <c r="X788" i="1"/>
  <c r="W788" i="1"/>
  <c r="V788" i="1"/>
  <c r="Q788" i="1"/>
  <c r="P788" i="1"/>
  <c r="O788" i="1"/>
  <c r="N788" i="1"/>
  <c r="M788" i="1"/>
  <c r="L788" i="1"/>
  <c r="F788" i="1"/>
  <c r="E788" i="1"/>
  <c r="D788" i="1"/>
  <c r="C788" i="1"/>
  <c r="B788" i="1"/>
  <c r="AG787" i="1"/>
  <c r="AF787" i="1"/>
  <c r="V787" i="1"/>
  <c r="P787" i="1"/>
  <c r="O787" i="1"/>
  <c r="N787" i="1"/>
  <c r="M787" i="1"/>
  <c r="L787" i="1"/>
  <c r="D787" i="1"/>
  <c r="C787" i="1"/>
  <c r="B787" i="1"/>
  <c r="AF786" i="1"/>
  <c r="V786" i="1"/>
  <c r="M786" i="1"/>
  <c r="L786" i="1"/>
  <c r="E786" i="1"/>
  <c r="D786" i="1"/>
  <c r="C786" i="1"/>
  <c r="B786" i="1"/>
  <c r="AF785" i="1"/>
  <c r="W785" i="1"/>
  <c r="V785" i="1"/>
  <c r="N785" i="1"/>
  <c r="M785" i="1"/>
  <c r="L785" i="1"/>
  <c r="F785" i="1"/>
  <c r="E785" i="1"/>
  <c r="D785" i="1"/>
  <c r="C785" i="1"/>
  <c r="B785" i="1"/>
  <c r="AG784" i="1"/>
  <c r="AF784" i="1"/>
  <c r="V784" i="1"/>
  <c r="N784" i="1"/>
  <c r="M784" i="1"/>
  <c r="L784" i="1"/>
  <c r="C784" i="1"/>
  <c r="B784" i="1"/>
  <c r="AG783" i="1"/>
  <c r="AF783" i="1"/>
  <c r="W783" i="1"/>
  <c r="V783" i="1"/>
  <c r="P783" i="1"/>
  <c r="O783" i="1"/>
  <c r="N783" i="1"/>
  <c r="M783" i="1"/>
  <c r="L783" i="1"/>
  <c r="G783" i="1"/>
  <c r="F783" i="1"/>
  <c r="E783" i="1"/>
  <c r="D783" i="1"/>
  <c r="C783" i="1"/>
  <c r="B783" i="1"/>
  <c r="AF782" i="1"/>
  <c r="Y782" i="1"/>
  <c r="W782" i="1"/>
  <c r="V782" i="1"/>
  <c r="M782" i="1"/>
  <c r="L782" i="1"/>
  <c r="C782" i="1"/>
  <c r="B782" i="1"/>
  <c r="AG781" i="1"/>
  <c r="AF781" i="1"/>
  <c r="N781" i="1"/>
  <c r="M781" i="1"/>
  <c r="L781" i="1"/>
  <c r="C781" i="1"/>
  <c r="B781" i="1"/>
  <c r="AG780" i="1"/>
  <c r="AF780" i="1"/>
  <c r="W780" i="1"/>
  <c r="V780" i="1"/>
  <c r="M780" i="1"/>
  <c r="L780" i="1"/>
  <c r="C780" i="1"/>
  <c r="B780" i="1"/>
  <c r="AF779" i="1"/>
  <c r="W779" i="1"/>
  <c r="V779" i="1"/>
  <c r="M779" i="1"/>
  <c r="L779" i="1"/>
  <c r="E779" i="1"/>
  <c r="D779" i="1"/>
  <c r="C779" i="1"/>
  <c r="B779" i="1"/>
  <c r="AF778" i="1"/>
  <c r="V778" i="1"/>
  <c r="P778" i="1"/>
  <c r="O778" i="1"/>
  <c r="N778" i="1"/>
  <c r="M778" i="1"/>
  <c r="L778" i="1"/>
  <c r="G778" i="1"/>
  <c r="F778" i="1"/>
  <c r="C778" i="1"/>
  <c r="B778" i="1"/>
  <c r="AG777" i="1"/>
  <c r="AF777" i="1"/>
  <c r="X777" i="1"/>
  <c r="W777" i="1"/>
  <c r="V777" i="1"/>
  <c r="M777" i="1"/>
  <c r="L777" i="1"/>
  <c r="H777" i="1"/>
  <c r="G777" i="1"/>
  <c r="F777" i="1"/>
  <c r="E777" i="1"/>
  <c r="D777" i="1"/>
  <c r="C777" i="1"/>
  <c r="B777" i="1"/>
  <c r="AF776" i="1"/>
  <c r="W776" i="1"/>
  <c r="V776" i="1"/>
  <c r="N776" i="1"/>
  <c r="M776" i="1"/>
  <c r="L776" i="1"/>
  <c r="E776" i="1"/>
  <c r="D776" i="1"/>
  <c r="C776" i="1"/>
  <c r="B776" i="1"/>
  <c r="V775" i="1"/>
  <c r="N775" i="1"/>
  <c r="M775" i="1"/>
  <c r="L775" i="1"/>
  <c r="B775" i="1"/>
  <c r="V774" i="1"/>
  <c r="M774" i="1"/>
  <c r="L774" i="1"/>
  <c r="D774" i="1"/>
  <c r="C774" i="1"/>
  <c r="B774" i="1"/>
  <c r="AG773" i="1"/>
  <c r="AF773" i="1"/>
  <c r="V773" i="1"/>
  <c r="M773" i="1"/>
  <c r="L773" i="1"/>
  <c r="D773" i="1"/>
  <c r="C773" i="1"/>
  <c r="B773" i="1"/>
  <c r="AG772" i="1"/>
  <c r="AF772" i="1"/>
  <c r="V772" i="1"/>
  <c r="M772" i="1"/>
  <c r="L772" i="1"/>
  <c r="F772" i="1"/>
  <c r="E772" i="1"/>
  <c r="D772" i="1"/>
  <c r="C772" i="1"/>
  <c r="B772" i="1"/>
  <c r="AG771" i="1"/>
  <c r="AF771" i="1"/>
  <c r="N771" i="1"/>
  <c r="M771" i="1"/>
  <c r="L771" i="1"/>
  <c r="C771" i="1"/>
  <c r="B771" i="1"/>
  <c r="AF770" i="1"/>
  <c r="W770" i="1"/>
  <c r="V770" i="1"/>
  <c r="M770" i="1"/>
  <c r="L770" i="1"/>
  <c r="E770" i="1"/>
  <c r="D770" i="1"/>
  <c r="C770" i="1"/>
  <c r="B770" i="1"/>
  <c r="W769" i="1"/>
  <c r="V769" i="1"/>
  <c r="O769" i="1"/>
  <c r="N769" i="1"/>
  <c r="M769" i="1"/>
  <c r="L769" i="1"/>
  <c r="J769" i="1"/>
  <c r="I769" i="1"/>
  <c r="H769" i="1"/>
  <c r="G769" i="1"/>
  <c r="F769" i="1"/>
  <c r="E769" i="1"/>
  <c r="D769" i="1"/>
  <c r="C769" i="1"/>
  <c r="B769" i="1"/>
  <c r="AG768" i="1"/>
  <c r="AF768" i="1"/>
  <c r="Y768" i="1"/>
  <c r="X768" i="1"/>
  <c r="W768" i="1"/>
  <c r="V768" i="1"/>
  <c r="Q768" i="1"/>
  <c r="P768" i="1"/>
  <c r="O768" i="1"/>
  <c r="N768" i="1"/>
  <c r="M768" i="1"/>
  <c r="L768" i="1"/>
  <c r="G768" i="1"/>
  <c r="F768" i="1"/>
  <c r="E768" i="1"/>
  <c r="D768" i="1"/>
  <c r="C768" i="1"/>
  <c r="B768" i="1"/>
  <c r="AF767" i="1"/>
  <c r="W767" i="1"/>
  <c r="V767" i="1"/>
  <c r="P767" i="1"/>
  <c r="O767" i="1"/>
  <c r="N767" i="1"/>
  <c r="M767" i="1"/>
  <c r="L767" i="1"/>
  <c r="G767" i="1"/>
  <c r="F767" i="1"/>
  <c r="E767" i="1"/>
  <c r="D767" i="1"/>
  <c r="C767" i="1"/>
  <c r="B767" i="1"/>
  <c r="AG766" i="1"/>
  <c r="AF766" i="1"/>
  <c r="X766" i="1"/>
  <c r="W766" i="1"/>
  <c r="V766" i="1"/>
  <c r="M766" i="1"/>
  <c r="L766" i="1"/>
  <c r="F766" i="1"/>
  <c r="E766" i="1"/>
  <c r="D766" i="1"/>
  <c r="C766" i="1"/>
  <c r="B766" i="1"/>
  <c r="AF765" i="1"/>
  <c r="V765" i="1"/>
  <c r="N765" i="1"/>
  <c r="M765" i="1"/>
  <c r="L765" i="1"/>
  <c r="F765" i="1"/>
  <c r="E765" i="1"/>
  <c r="D765" i="1"/>
  <c r="C765" i="1"/>
  <c r="B765" i="1"/>
  <c r="AF764" i="1"/>
  <c r="W764" i="1"/>
  <c r="V764" i="1"/>
  <c r="N764" i="1"/>
  <c r="M764" i="1"/>
  <c r="L764" i="1"/>
  <c r="G764" i="1"/>
  <c r="F764" i="1"/>
  <c r="E764" i="1"/>
  <c r="D764" i="1"/>
  <c r="C764" i="1"/>
  <c r="B764" i="1"/>
  <c r="AH763" i="1"/>
  <c r="AG763" i="1"/>
  <c r="AF763" i="1"/>
  <c r="X763" i="1"/>
  <c r="W763" i="1"/>
  <c r="V763" i="1"/>
  <c r="M763" i="1"/>
  <c r="L763" i="1"/>
  <c r="D763" i="1"/>
  <c r="C763" i="1"/>
  <c r="B763" i="1"/>
  <c r="AG762" i="1"/>
  <c r="AF762" i="1"/>
  <c r="W762" i="1"/>
  <c r="V762" i="1"/>
  <c r="N762" i="1"/>
  <c r="M762" i="1"/>
  <c r="L762" i="1"/>
  <c r="E762" i="1"/>
  <c r="D762" i="1"/>
  <c r="C762" i="1"/>
  <c r="B762" i="1"/>
  <c r="AF761" i="1"/>
  <c r="AB761" i="1"/>
  <c r="AA761" i="1"/>
  <c r="Z761" i="1"/>
  <c r="Y761" i="1"/>
  <c r="X761" i="1"/>
  <c r="W761" i="1"/>
  <c r="V761" i="1"/>
  <c r="O761" i="1"/>
  <c r="N761" i="1"/>
  <c r="M761" i="1"/>
  <c r="L761" i="1"/>
  <c r="H761" i="1"/>
  <c r="G761" i="1"/>
  <c r="F761" i="1"/>
  <c r="E761" i="1"/>
  <c r="D761" i="1"/>
  <c r="C761" i="1"/>
  <c r="B761" i="1"/>
  <c r="AG760" i="1"/>
  <c r="AF760" i="1"/>
  <c r="V760" i="1"/>
  <c r="Q760" i="1"/>
  <c r="P760" i="1"/>
  <c r="O760" i="1"/>
  <c r="N760" i="1"/>
  <c r="M760" i="1"/>
  <c r="L760" i="1"/>
  <c r="F760" i="1"/>
  <c r="E760" i="1"/>
  <c r="D760" i="1"/>
  <c r="C760" i="1"/>
  <c r="B760" i="1"/>
  <c r="AH759" i="1"/>
  <c r="AG759" i="1"/>
  <c r="AF759" i="1"/>
  <c r="Y759" i="1"/>
  <c r="X759" i="1"/>
  <c r="W759" i="1"/>
  <c r="V759" i="1"/>
  <c r="N759" i="1"/>
  <c r="M759" i="1"/>
  <c r="L759" i="1"/>
  <c r="F759" i="1"/>
  <c r="E759" i="1"/>
  <c r="D759" i="1"/>
  <c r="C759" i="1"/>
  <c r="B759" i="1"/>
  <c r="V758" i="1"/>
  <c r="O758" i="1"/>
  <c r="N758" i="1"/>
  <c r="M758" i="1"/>
  <c r="L758" i="1"/>
  <c r="C758" i="1"/>
  <c r="B758" i="1"/>
  <c r="AG757" i="1"/>
  <c r="P757" i="1"/>
  <c r="O757" i="1"/>
  <c r="N757" i="1"/>
  <c r="M757" i="1"/>
  <c r="L757" i="1"/>
  <c r="G757" i="1"/>
  <c r="F757" i="1"/>
  <c r="E757" i="1"/>
  <c r="D757" i="1"/>
  <c r="C757" i="1"/>
  <c r="B757" i="1"/>
  <c r="AG756" i="1"/>
  <c r="AF756" i="1"/>
  <c r="X756" i="1"/>
  <c r="W756" i="1"/>
  <c r="V756" i="1"/>
  <c r="N756" i="1"/>
  <c r="M756" i="1"/>
  <c r="L756" i="1"/>
  <c r="G756" i="1"/>
  <c r="F756" i="1"/>
  <c r="E756" i="1"/>
  <c r="D756" i="1"/>
  <c r="C756" i="1"/>
  <c r="B756" i="1"/>
  <c r="AG755" i="1"/>
  <c r="AF755" i="1"/>
  <c r="X755" i="1"/>
  <c r="W755" i="1"/>
  <c r="V755" i="1"/>
  <c r="M755" i="1"/>
  <c r="L755" i="1"/>
  <c r="F755" i="1"/>
  <c r="E755" i="1"/>
  <c r="D755" i="1"/>
  <c r="C755" i="1"/>
  <c r="B755" i="1"/>
  <c r="AG754" i="1"/>
  <c r="AF754" i="1"/>
  <c r="V754" i="1"/>
  <c r="N754" i="1"/>
  <c r="M754" i="1"/>
  <c r="L754" i="1"/>
  <c r="C754" i="1"/>
  <c r="B754" i="1"/>
  <c r="AG753" i="1"/>
  <c r="AF753" i="1"/>
  <c r="X753" i="1"/>
  <c r="W753" i="1"/>
  <c r="V753" i="1"/>
  <c r="M753" i="1"/>
  <c r="L753" i="1"/>
  <c r="E753" i="1"/>
  <c r="D753" i="1"/>
  <c r="C753" i="1"/>
  <c r="B753" i="1"/>
  <c r="AG752" i="1"/>
  <c r="AF752" i="1"/>
  <c r="W752" i="1"/>
  <c r="V752" i="1"/>
  <c r="P752" i="1"/>
  <c r="O752" i="1"/>
  <c r="N752" i="1"/>
  <c r="M752" i="1"/>
  <c r="L752" i="1"/>
  <c r="G752" i="1"/>
  <c r="F752" i="1"/>
  <c r="E752" i="1"/>
  <c r="D752" i="1"/>
  <c r="C752" i="1"/>
  <c r="B752" i="1"/>
  <c r="AG751" i="1"/>
  <c r="AF751" i="1"/>
  <c r="W751" i="1"/>
  <c r="V751" i="1"/>
  <c r="N751" i="1"/>
  <c r="M751" i="1"/>
  <c r="L751" i="1"/>
  <c r="G751" i="1"/>
  <c r="F751" i="1"/>
  <c r="E751" i="1"/>
  <c r="D751" i="1"/>
  <c r="C751" i="1"/>
  <c r="B751" i="1"/>
  <c r="AH750" i="1"/>
  <c r="AG750" i="1"/>
  <c r="AF750" i="1"/>
  <c r="W750" i="1"/>
  <c r="V750" i="1"/>
  <c r="R750" i="1"/>
  <c r="Q750" i="1"/>
  <c r="P750" i="1"/>
  <c r="O750" i="1"/>
  <c r="N750" i="1"/>
  <c r="M750" i="1"/>
  <c r="L750" i="1"/>
  <c r="G750" i="1"/>
  <c r="F750" i="1"/>
  <c r="E750" i="1"/>
  <c r="D750" i="1"/>
  <c r="C750" i="1"/>
  <c r="B750" i="1"/>
  <c r="AG749" i="1"/>
  <c r="AF749" i="1"/>
  <c r="W749" i="1"/>
  <c r="V749" i="1"/>
  <c r="O749" i="1"/>
  <c r="N749" i="1"/>
  <c r="M749" i="1"/>
  <c r="L749" i="1"/>
  <c r="G749" i="1"/>
  <c r="F749" i="1"/>
  <c r="C749" i="1"/>
  <c r="B749" i="1"/>
  <c r="AF748" i="1"/>
  <c r="W748" i="1"/>
  <c r="V748" i="1"/>
  <c r="M748" i="1"/>
  <c r="L748" i="1"/>
  <c r="E748" i="1"/>
  <c r="B748" i="1"/>
  <c r="AG747" i="1"/>
  <c r="AF747" i="1"/>
  <c r="X747" i="1"/>
  <c r="W747" i="1"/>
  <c r="V747" i="1"/>
  <c r="M747" i="1"/>
  <c r="L747" i="1"/>
  <c r="F747" i="1"/>
  <c r="E747" i="1"/>
  <c r="D747" i="1"/>
  <c r="C747" i="1"/>
  <c r="B747" i="1"/>
  <c r="AG746" i="1"/>
  <c r="AF746" i="1"/>
  <c r="W746" i="1"/>
  <c r="V746" i="1"/>
  <c r="P746" i="1"/>
  <c r="O746" i="1"/>
  <c r="N746" i="1"/>
  <c r="M746" i="1"/>
  <c r="L746" i="1"/>
  <c r="C746" i="1"/>
  <c r="B746" i="1"/>
  <c r="AF745" i="1"/>
  <c r="X745" i="1"/>
  <c r="W745" i="1"/>
  <c r="V745" i="1"/>
  <c r="P745" i="1"/>
  <c r="O745" i="1"/>
  <c r="N745" i="1"/>
  <c r="M745" i="1"/>
  <c r="L745" i="1"/>
  <c r="C745" i="1"/>
  <c r="B745" i="1"/>
  <c r="AH744" i="1"/>
  <c r="AG744" i="1"/>
  <c r="AF744" i="1"/>
  <c r="W744" i="1"/>
  <c r="V744" i="1"/>
  <c r="P744" i="1"/>
  <c r="O744" i="1"/>
  <c r="N744" i="1"/>
  <c r="M744" i="1"/>
  <c r="L744" i="1"/>
  <c r="D744" i="1"/>
  <c r="C744" i="1"/>
  <c r="B744" i="1"/>
  <c r="AG743" i="1"/>
  <c r="AF743" i="1"/>
  <c r="M743" i="1"/>
  <c r="L743" i="1"/>
  <c r="G743" i="1"/>
  <c r="F743" i="1"/>
  <c r="E743" i="1"/>
  <c r="D743" i="1"/>
  <c r="C743" i="1"/>
  <c r="B743" i="1"/>
  <c r="AF742" i="1"/>
  <c r="W742" i="1"/>
  <c r="V742" i="1"/>
  <c r="N742" i="1"/>
  <c r="M742" i="1"/>
  <c r="L742" i="1"/>
  <c r="F742" i="1"/>
  <c r="E742" i="1"/>
  <c r="D742" i="1"/>
  <c r="C742" i="1"/>
  <c r="B742" i="1"/>
  <c r="AG741" i="1"/>
  <c r="AF741" i="1"/>
  <c r="X741" i="1"/>
  <c r="W741" i="1"/>
  <c r="V741" i="1"/>
  <c r="N741" i="1"/>
  <c r="M741" i="1"/>
  <c r="L741" i="1"/>
  <c r="G741" i="1"/>
  <c r="F741" i="1"/>
  <c r="E741" i="1"/>
  <c r="D741" i="1"/>
  <c r="C741" i="1"/>
  <c r="B741" i="1"/>
  <c r="AG740" i="1"/>
  <c r="AF740" i="1"/>
  <c r="W740" i="1"/>
  <c r="V740" i="1"/>
  <c r="P740" i="1"/>
  <c r="O740" i="1"/>
  <c r="N740" i="1"/>
  <c r="M740" i="1"/>
  <c r="L740" i="1"/>
  <c r="F740" i="1"/>
  <c r="E740" i="1"/>
  <c r="D740" i="1"/>
  <c r="C740" i="1"/>
  <c r="B740" i="1"/>
  <c r="AG739" i="1"/>
  <c r="AF739" i="1"/>
  <c r="W739" i="1"/>
  <c r="V739" i="1"/>
  <c r="P739" i="1"/>
  <c r="O739" i="1"/>
  <c r="N739" i="1"/>
  <c r="M739" i="1"/>
  <c r="L739" i="1"/>
  <c r="E739" i="1"/>
  <c r="D739" i="1"/>
  <c r="C739" i="1"/>
  <c r="B739" i="1"/>
  <c r="AF738" i="1"/>
  <c r="W738" i="1"/>
  <c r="V738" i="1"/>
  <c r="N738" i="1"/>
  <c r="M738" i="1"/>
  <c r="L738" i="1"/>
  <c r="C738" i="1"/>
  <c r="B738" i="1"/>
  <c r="AH737" i="1"/>
  <c r="AG737" i="1"/>
  <c r="AF737" i="1"/>
  <c r="W737" i="1"/>
  <c r="V737" i="1"/>
  <c r="Q737" i="1"/>
  <c r="P737" i="1"/>
  <c r="O737" i="1"/>
  <c r="N737" i="1"/>
  <c r="M737" i="1"/>
  <c r="L737" i="1"/>
  <c r="D737" i="1"/>
  <c r="C737" i="1"/>
  <c r="B737" i="1"/>
  <c r="AG736" i="1"/>
  <c r="AF736" i="1"/>
  <c r="Z736" i="1"/>
  <c r="Y736" i="1"/>
  <c r="X736" i="1"/>
  <c r="W736" i="1"/>
  <c r="V736" i="1"/>
  <c r="M736" i="1"/>
  <c r="L736" i="1"/>
  <c r="C736" i="1"/>
  <c r="B736" i="1"/>
  <c r="AG735" i="1"/>
  <c r="AF735" i="1"/>
  <c r="W735" i="1"/>
  <c r="V735" i="1"/>
  <c r="N735" i="1"/>
  <c r="M735" i="1"/>
  <c r="L735" i="1"/>
  <c r="C735" i="1"/>
  <c r="B735" i="1"/>
  <c r="AH734" i="1"/>
  <c r="AG734" i="1"/>
  <c r="AF734" i="1"/>
  <c r="W734" i="1"/>
  <c r="V734" i="1"/>
  <c r="P734" i="1"/>
  <c r="O734" i="1"/>
  <c r="N734" i="1"/>
  <c r="M734" i="1"/>
  <c r="L734" i="1"/>
  <c r="F734" i="1"/>
  <c r="E734" i="1"/>
  <c r="D734" i="1"/>
  <c r="C734" i="1"/>
  <c r="B734" i="1"/>
  <c r="AF733" i="1"/>
  <c r="V733" i="1"/>
  <c r="O733" i="1"/>
  <c r="N733" i="1"/>
  <c r="M733" i="1"/>
  <c r="L733" i="1"/>
  <c r="J733" i="1"/>
  <c r="I733" i="1"/>
  <c r="H733" i="1"/>
  <c r="G733" i="1"/>
  <c r="F733" i="1"/>
  <c r="E733" i="1"/>
  <c r="D733" i="1"/>
  <c r="C733" i="1"/>
  <c r="B733" i="1"/>
  <c r="AG732" i="1"/>
  <c r="AF732" i="1"/>
  <c r="W732" i="1"/>
  <c r="V732" i="1"/>
  <c r="M732" i="1"/>
  <c r="L732" i="1"/>
  <c r="F732" i="1"/>
  <c r="E732" i="1"/>
  <c r="D732" i="1"/>
  <c r="C732" i="1"/>
  <c r="B732" i="1"/>
  <c r="AF731" i="1"/>
  <c r="W731" i="1"/>
  <c r="V731" i="1"/>
  <c r="O731" i="1"/>
  <c r="N731" i="1"/>
  <c r="M731" i="1"/>
  <c r="L731" i="1"/>
  <c r="D731" i="1"/>
  <c r="C731" i="1"/>
  <c r="B731" i="1"/>
  <c r="AG730" i="1"/>
  <c r="AF730" i="1"/>
  <c r="V730" i="1"/>
  <c r="N730" i="1"/>
  <c r="M730" i="1"/>
  <c r="L730" i="1"/>
  <c r="C730" i="1"/>
  <c r="B730" i="1"/>
  <c r="AG729" i="1"/>
  <c r="AF729" i="1"/>
  <c r="W729" i="1"/>
  <c r="V729" i="1"/>
  <c r="M729" i="1"/>
  <c r="L729" i="1"/>
  <c r="F729" i="1"/>
  <c r="E729" i="1"/>
  <c r="D729" i="1"/>
  <c r="C729" i="1"/>
  <c r="B729" i="1"/>
  <c r="AA728" i="1"/>
  <c r="Z728" i="1"/>
  <c r="Y728" i="1"/>
  <c r="X728" i="1"/>
  <c r="W728" i="1"/>
  <c r="V728" i="1"/>
  <c r="R728" i="1"/>
  <c r="Q728" i="1"/>
  <c r="P728" i="1"/>
  <c r="O728" i="1"/>
  <c r="N728" i="1"/>
  <c r="M728" i="1"/>
  <c r="L728" i="1"/>
  <c r="C728" i="1"/>
  <c r="B728" i="1"/>
  <c r="AF727" i="1"/>
  <c r="V727" i="1"/>
  <c r="N727" i="1"/>
  <c r="M727" i="1"/>
  <c r="L727" i="1"/>
  <c r="C727" i="1"/>
  <c r="B727" i="1"/>
  <c r="AG726" i="1"/>
  <c r="AF726" i="1"/>
  <c r="W726" i="1"/>
  <c r="V726" i="1"/>
  <c r="P726" i="1"/>
  <c r="O726" i="1"/>
  <c r="N726" i="1"/>
  <c r="M726" i="1"/>
  <c r="L726" i="1"/>
  <c r="D726" i="1"/>
  <c r="C726" i="1"/>
  <c r="B726" i="1"/>
  <c r="AF725" i="1"/>
  <c r="W725" i="1"/>
  <c r="V725" i="1"/>
  <c r="N725" i="1"/>
  <c r="M725" i="1"/>
  <c r="L725" i="1"/>
  <c r="E725" i="1"/>
  <c r="C725" i="1"/>
  <c r="B725" i="1"/>
  <c r="AH724" i="1"/>
  <c r="AG724" i="1"/>
  <c r="AF724" i="1"/>
  <c r="Y724" i="1"/>
  <c r="X724" i="1"/>
  <c r="W724" i="1"/>
  <c r="V724" i="1"/>
  <c r="P724" i="1"/>
  <c r="O724" i="1"/>
  <c r="N724" i="1"/>
  <c r="M724" i="1"/>
  <c r="L724" i="1"/>
  <c r="C724" i="1"/>
  <c r="B724" i="1"/>
  <c r="AF723" i="1"/>
  <c r="W723" i="1"/>
  <c r="V723" i="1"/>
  <c r="O723" i="1"/>
  <c r="N723" i="1"/>
  <c r="M723" i="1"/>
  <c r="L723" i="1"/>
  <c r="F723" i="1"/>
  <c r="E723" i="1"/>
  <c r="D723" i="1"/>
  <c r="C723" i="1"/>
  <c r="B723" i="1"/>
  <c r="AG722" i="1"/>
  <c r="AF722" i="1"/>
  <c r="W722" i="1"/>
  <c r="V722" i="1"/>
  <c r="P722" i="1"/>
  <c r="O722" i="1"/>
  <c r="N722" i="1"/>
  <c r="M722" i="1"/>
  <c r="L722" i="1"/>
  <c r="I722" i="1"/>
  <c r="H722" i="1"/>
  <c r="G722" i="1"/>
  <c r="F722" i="1"/>
  <c r="E722" i="1"/>
  <c r="D722" i="1"/>
  <c r="C722" i="1"/>
  <c r="B722" i="1"/>
  <c r="AF721" i="1"/>
  <c r="Y721" i="1"/>
  <c r="X721" i="1"/>
  <c r="W721" i="1"/>
  <c r="V721" i="1"/>
  <c r="R721" i="1"/>
  <c r="Q721" i="1"/>
  <c r="P721" i="1"/>
  <c r="O721" i="1"/>
  <c r="N721" i="1"/>
  <c r="M721" i="1"/>
  <c r="L721" i="1"/>
  <c r="E721" i="1"/>
  <c r="D721" i="1"/>
  <c r="C721" i="1"/>
  <c r="B721" i="1"/>
  <c r="AG720" i="1"/>
  <c r="AF720" i="1"/>
  <c r="X720" i="1"/>
  <c r="W720" i="1"/>
  <c r="V720" i="1"/>
  <c r="M720" i="1"/>
  <c r="L720" i="1"/>
  <c r="E720" i="1"/>
  <c r="D720" i="1"/>
  <c r="C720" i="1"/>
  <c r="B720" i="1"/>
  <c r="AG719" i="1"/>
  <c r="AF719" i="1"/>
  <c r="W719" i="1"/>
  <c r="V719" i="1"/>
  <c r="M719" i="1"/>
  <c r="L719" i="1"/>
  <c r="H719" i="1"/>
  <c r="G719" i="1"/>
  <c r="F719" i="1"/>
  <c r="E719" i="1"/>
  <c r="D719" i="1"/>
  <c r="C719" i="1"/>
  <c r="B719" i="1"/>
  <c r="AG718" i="1"/>
  <c r="AF718" i="1"/>
  <c r="X718" i="1"/>
  <c r="W718" i="1"/>
  <c r="V718" i="1"/>
  <c r="M718" i="1"/>
  <c r="L718" i="1"/>
  <c r="C718" i="1"/>
  <c r="B718" i="1"/>
  <c r="AF717" i="1"/>
  <c r="W717" i="1"/>
  <c r="V717" i="1"/>
  <c r="M717" i="1"/>
  <c r="L717" i="1"/>
  <c r="G717" i="1"/>
  <c r="F717" i="1"/>
  <c r="E717" i="1"/>
  <c r="D717" i="1"/>
  <c r="C717" i="1"/>
  <c r="B717" i="1"/>
  <c r="AH716" i="1"/>
  <c r="AG716" i="1"/>
  <c r="AF716" i="1"/>
  <c r="V716" i="1"/>
  <c r="Q716" i="1"/>
  <c r="P716" i="1"/>
  <c r="O716" i="1"/>
  <c r="N716" i="1"/>
  <c r="M716" i="1"/>
  <c r="L716" i="1"/>
  <c r="F716" i="1"/>
  <c r="E716" i="1"/>
  <c r="D716" i="1"/>
  <c r="C716" i="1"/>
  <c r="B716" i="1"/>
  <c r="AH715" i="1"/>
  <c r="AG715" i="1"/>
  <c r="AF715" i="1"/>
  <c r="W715" i="1"/>
  <c r="V715" i="1"/>
  <c r="N715" i="1"/>
  <c r="M715" i="1"/>
  <c r="L715" i="1"/>
  <c r="D715" i="1"/>
  <c r="C715" i="1"/>
  <c r="B715" i="1"/>
  <c r="AG714" i="1"/>
  <c r="AF714" i="1"/>
  <c r="W714" i="1"/>
  <c r="V714" i="1"/>
  <c r="M714" i="1"/>
  <c r="L714" i="1"/>
  <c r="F714" i="1"/>
  <c r="E714" i="1"/>
  <c r="D714" i="1"/>
  <c r="C714" i="1"/>
  <c r="B714" i="1"/>
  <c r="AG713" i="1"/>
  <c r="AF713" i="1"/>
  <c r="V713" i="1"/>
  <c r="N713" i="1"/>
  <c r="M713" i="1"/>
  <c r="L713" i="1"/>
  <c r="C713" i="1"/>
  <c r="B713" i="1"/>
  <c r="AH712" i="1"/>
  <c r="AG712" i="1"/>
  <c r="AF712" i="1"/>
  <c r="X712" i="1"/>
  <c r="W712" i="1"/>
  <c r="V712" i="1"/>
  <c r="Q712" i="1"/>
  <c r="P712" i="1"/>
  <c r="O712" i="1"/>
  <c r="N712" i="1"/>
  <c r="M712" i="1"/>
  <c r="L712" i="1"/>
  <c r="E712" i="1"/>
  <c r="D712" i="1"/>
  <c r="C712" i="1"/>
  <c r="B712" i="1"/>
  <c r="AH711" i="1"/>
  <c r="AG711" i="1"/>
  <c r="AF711" i="1"/>
  <c r="V711" i="1"/>
  <c r="O711" i="1"/>
  <c r="N711" i="1"/>
  <c r="M711" i="1"/>
  <c r="L711" i="1"/>
  <c r="E711" i="1"/>
  <c r="D711" i="1"/>
  <c r="C711" i="1"/>
  <c r="B711" i="1"/>
  <c r="AH710" i="1"/>
  <c r="AG710" i="1"/>
  <c r="AF710" i="1"/>
  <c r="W710" i="1"/>
  <c r="V710" i="1"/>
  <c r="N710" i="1"/>
  <c r="M710" i="1"/>
  <c r="L710" i="1"/>
  <c r="C710" i="1"/>
  <c r="B710" i="1"/>
  <c r="AF709" i="1"/>
  <c r="AD709" i="1"/>
  <c r="AC709" i="1"/>
  <c r="AB709" i="1"/>
  <c r="AA709" i="1"/>
  <c r="Z709" i="1"/>
  <c r="Y709" i="1"/>
  <c r="X709" i="1"/>
  <c r="W709" i="1"/>
  <c r="V709" i="1"/>
  <c r="Q709" i="1"/>
  <c r="P709" i="1"/>
  <c r="O709" i="1"/>
  <c r="N709" i="1"/>
  <c r="M709" i="1"/>
  <c r="L709" i="1"/>
  <c r="F709" i="1"/>
  <c r="E709" i="1"/>
  <c r="D709" i="1"/>
  <c r="C709" i="1"/>
  <c r="B709" i="1"/>
  <c r="AF708" i="1"/>
  <c r="V708" i="1"/>
  <c r="O708" i="1"/>
  <c r="N708" i="1"/>
  <c r="M708" i="1"/>
  <c r="L708" i="1"/>
  <c r="F708" i="1"/>
  <c r="E708" i="1"/>
  <c r="D708" i="1"/>
  <c r="C708" i="1"/>
  <c r="B708" i="1"/>
  <c r="AH707" i="1"/>
  <c r="AG707" i="1"/>
  <c r="AF707" i="1"/>
  <c r="AA707" i="1"/>
  <c r="Z707" i="1"/>
  <c r="Y707" i="1"/>
  <c r="X707" i="1"/>
  <c r="W707" i="1"/>
  <c r="V707" i="1"/>
  <c r="N707" i="1"/>
  <c r="M707" i="1"/>
  <c r="L707" i="1"/>
  <c r="H707" i="1"/>
  <c r="G707" i="1"/>
  <c r="F707" i="1"/>
  <c r="E707" i="1"/>
  <c r="D707" i="1"/>
  <c r="C707" i="1"/>
  <c r="B707" i="1"/>
  <c r="AF706" i="1"/>
  <c r="P706" i="1"/>
  <c r="O706" i="1"/>
  <c r="N706" i="1"/>
  <c r="M706" i="1"/>
  <c r="L706" i="1"/>
  <c r="C706" i="1"/>
  <c r="B706" i="1"/>
  <c r="AF705" i="1"/>
  <c r="W705" i="1"/>
  <c r="V705" i="1"/>
  <c r="O705" i="1"/>
  <c r="N705" i="1"/>
  <c r="M705" i="1"/>
  <c r="L705" i="1"/>
  <c r="G705" i="1"/>
  <c r="F705" i="1"/>
  <c r="E705" i="1"/>
  <c r="D705" i="1"/>
  <c r="C705" i="1"/>
  <c r="B705" i="1"/>
  <c r="AG704" i="1"/>
  <c r="AF704" i="1"/>
  <c r="X704" i="1"/>
  <c r="W704" i="1"/>
  <c r="V704" i="1"/>
  <c r="P704" i="1"/>
  <c r="O704" i="1"/>
  <c r="N704" i="1"/>
  <c r="M704" i="1"/>
  <c r="L704" i="1"/>
  <c r="C704" i="1"/>
  <c r="B704" i="1"/>
  <c r="AG703" i="1"/>
  <c r="AF703" i="1"/>
  <c r="W703" i="1"/>
  <c r="V703" i="1"/>
  <c r="N703" i="1"/>
  <c r="M703" i="1"/>
  <c r="L703" i="1"/>
  <c r="C703" i="1"/>
  <c r="B703" i="1"/>
  <c r="AG702" i="1"/>
  <c r="AF702" i="1"/>
  <c r="W702" i="1"/>
  <c r="V702" i="1"/>
  <c r="M702" i="1"/>
  <c r="L702" i="1"/>
  <c r="E702" i="1"/>
  <c r="D702" i="1"/>
  <c r="C702" i="1"/>
  <c r="B702" i="1"/>
  <c r="AG701" i="1"/>
  <c r="AF701" i="1"/>
  <c r="W701" i="1"/>
  <c r="V701" i="1"/>
  <c r="N701" i="1"/>
  <c r="M701" i="1"/>
  <c r="L701" i="1"/>
  <c r="C701" i="1"/>
  <c r="B701" i="1"/>
  <c r="AH700" i="1"/>
  <c r="AG700" i="1"/>
  <c r="AF700" i="1"/>
  <c r="V700" i="1"/>
  <c r="N700" i="1"/>
  <c r="M700" i="1"/>
  <c r="L700" i="1"/>
  <c r="C700" i="1"/>
  <c r="B700" i="1"/>
  <c r="AG699" i="1"/>
  <c r="AF699" i="1"/>
  <c r="V699" i="1"/>
  <c r="P699" i="1"/>
  <c r="O699" i="1"/>
  <c r="N699" i="1"/>
  <c r="M699" i="1"/>
  <c r="L699" i="1"/>
  <c r="E699" i="1"/>
  <c r="D699" i="1"/>
  <c r="C699" i="1"/>
  <c r="B699" i="1"/>
  <c r="AG698" i="1"/>
  <c r="AF698" i="1"/>
  <c r="W698" i="1"/>
  <c r="V698" i="1"/>
  <c r="N698" i="1"/>
  <c r="M698" i="1"/>
  <c r="L698" i="1"/>
  <c r="G698" i="1"/>
  <c r="F698" i="1"/>
  <c r="E698" i="1"/>
  <c r="D698" i="1"/>
  <c r="C698" i="1"/>
  <c r="B698" i="1"/>
  <c r="AG697" i="1"/>
  <c r="AF697" i="1"/>
  <c r="V697" i="1"/>
  <c r="M697" i="1"/>
  <c r="L697" i="1"/>
  <c r="G697" i="1"/>
  <c r="F697" i="1"/>
  <c r="E697" i="1"/>
  <c r="D697" i="1"/>
  <c r="C697" i="1"/>
  <c r="B697" i="1"/>
  <c r="AF696" i="1"/>
  <c r="W696" i="1"/>
  <c r="V696" i="1"/>
  <c r="P696" i="1"/>
  <c r="O696" i="1"/>
  <c r="N696" i="1"/>
  <c r="M696" i="1"/>
  <c r="L696" i="1"/>
  <c r="G696" i="1"/>
  <c r="F696" i="1"/>
  <c r="E696" i="1"/>
  <c r="D696" i="1"/>
  <c r="C696" i="1"/>
  <c r="B696" i="1"/>
  <c r="AG695" i="1"/>
  <c r="AF695" i="1"/>
  <c r="Y695" i="1"/>
  <c r="X695" i="1"/>
  <c r="W695" i="1"/>
  <c r="V695" i="1"/>
  <c r="N695" i="1"/>
  <c r="M695" i="1"/>
  <c r="L695" i="1"/>
  <c r="F695" i="1"/>
  <c r="E695" i="1"/>
  <c r="D695" i="1"/>
  <c r="C695" i="1"/>
  <c r="B695" i="1"/>
  <c r="AF694" i="1"/>
  <c r="AA694" i="1"/>
  <c r="Z694" i="1"/>
  <c r="Y694" i="1"/>
  <c r="X694" i="1"/>
  <c r="W694" i="1"/>
  <c r="V694" i="1"/>
  <c r="Q694" i="1"/>
  <c r="P694" i="1"/>
  <c r="O694" i="1"/>
  <c r="N694" i="1"/>
  <c r="M694" i="1"/>
  <c r="L694" i="1"/>
  <c r="E694" i="1"/>
  <c r="D694" i="1"/>
  <c r="C694" i="1"/>
  <c r="B694" i="1"/>
  <c r="AF693" i="1"/>
  <c r="V693" i="1"/>
  <c r="M693" i="1"/>
  <c r="L693" i="1"/>
  <c r="D693" i="1"/>
  <c r="C693" i="1"/>
  <c r="B693" i="1"/>
  <c r="AF692" i="1"/>
  <c r="V692" i="1"/>
  <c r="M692" i="1"/>
  <c r="L692" i="1"/>
  <c r="D692" i="1"/>
  <c r="C692" i="1"/>
  <c r="B692" i="1"/>
  <c r="AH691" i="1"/>
  <c r="AG691" i="1"/>
  <c r="AF691" i="1"/>
  <c r="Y691" i="1"/>
  <c r="X691" i="1"/>
  <c r="W691" i="1"/>
  <c r="V691" i="1"/>
  <c r="P691" i="1"/>
  <c r="O691" i="1"/>
  <c r="N691" i="1"/>
  <c r="M691" i="1"/>
  <c r="L691" i="1"/>
  <c r="C691" i="1"/>
  <c r="B691" i="1"/>
  <c r="AH690" i="1"/>
  <c r="AG690" i="1"/>
  <c r="AF690" i="1"/>
  <c r="V690" i="1"/>
  <c r="N690" i="1"/>
  <c r="M690" i="1"/>
  <c r="L690" i="1"/>
  <c r="C690" i="1"/>
  <c r="B690" i="1"/>
  <c r="AG689" i="1"/>
  <c r="AF689" i="1"/>
  <c r="W689" i="1"/>
  <c r="V689" i="1"/>
  <c r="M689" i="1"/>
  <c r="L689" i="1"/>
  <c r="C689" i="1"/>
  <c r="B689" i="1"/>
  <c r="AG688" i="1"/>
  <c r="AF688" i="1"/>
  <c r="W688" i="1"/>
  <c r="V688" i="1"/>
  <c r="M688" i="1"/>
  <c r="L688" i="1"/>
  <c r="C688" i="1"/>
  <c r="B688" i="1"/>
  <c r="AF687" i="1"/>
  <c r="V687" i="1"/>
  <c r="N687" i="1"/>
  <c r="M687" i="1"/>
  <c r="L687" i="1"/>
  <c r="C687" i="1"/>
  <c r="B687" i="1"/>
  <c r="AH686" i="1"/>
  <c r="AG686" i="1"/>
  <c r="AF686" i="1"/>
  <c r="Y686" i="1"/>
  <c r="X686" i="1"/>
  <c r="W686" i="1"/>
  <c r="V686" i="1"/>
  <c r="P686" i="1"/>
  <c r="O686" i="1"/>
  <c r="N686" i="1"/>
  <c r="M686" i="1"/>
  <c r="L686" i="1"/>
  <c r="F686" i="1"/>
  <c r="E686" i="1"/>
  <c r="D686" i="1"/>
  <c r="C686" i="1"/>
  <c r="B686" i="1"/>
  <c r="AH685" i="1"/>
  <c r="AG685" i="1"/>
  <c r="AF685" i="1"/>
  <c r="W685" i="1"/>
  <c r="V685" i="1"/>
  <c r="L685" i="1"/>
  <c r="E685" i="1"/>
  <c r="D685" i="1"/>
  <c r="C685" i="1"/>
  <c r="B685" i="1"/>
  <c r="AG684" i="1"/>
  <c r="AF684" i="1"/>
  <c r="W684" i="1"/>
  <c r="V684" i="1"/>
  <c r="P684" i="1"/>
  <c r="O684" i="1"/>
  <c r="N684" i="1"/>
  <c r="M684" i="1"/>
  <c r="L684" i="1"/>
  <c r="F684" i="1"/>
  <c r="E684" i="1"/>
  <c r="D684" i="1"/>
  <c r="C684" i="1"/>
  <c r="B684" i="1"/>
  <c r="AG683" i="1"/>
  <c r="AF683" i="1"/>
  <c r="V683" i="1"/>
  <c r="M683" i="1"/>
  <c r="L683" i="1"/>
  <c r="F683" i="1"/>
  <c r="E683" i="1"/>
  <c r="D683" i="1"/>
  <c r="C683" i="1"/>
  <c r="B683" i="1"/>
  <c r="AF682" i="1"/>
  <c r="W682" i="1"/>
  <c r="V682" i="1"/>
  <c r="P682" i="1"/>
  <c r="O682" i="1"/>
  <c r="N682" i="1"/>
  <c r="M682" i="1"/>
  <c r="L682" i="1"/>
  <c r="D682" i="1"/>
  <c r="C682" i="1"/>
  <c r="B682" i="1"/>
  <c r="AF681" i="1"/>
  <c r="V681" i="1"/>
  <c r="O681" i="1"/>
  <c r="N681" i="1"/>
  <c r="M681" i="1"/>
  <c r="L681" i="1"/>
  <c r="F681" i="1"/>
  <c r="E681" i="1"/>
  <c r="D681" i="1"/>
  <c r="C681" i="1"/>
  <c r="B681" i="1"/>
  <c r="AG680" i="1"/>
  <c r="AF680" i="1"/>
  <c r="W680" i="1"/>
  <c r="V680" i="1"/>
  <c r="O680" i="1"/>
  <c r="N680" i="1"/>
  <c r="M680" i="1"/>
  <c r="L680" i="1"/>
  <c r="D680" i="1"/>
  <c r="C680" i="1"/>
  <c r="B680" i="1"/>
  <c r="AF679" i="1"/>
  <c r="W679" i="1"/>
  <c r="V679" i="1"/>
  <c r="N679" i="1"/>
  <c r="M679" i="1"/>
  <c r="L679" i="1"/>
  <c r="C679" i="1"/>
  <c r="B679" i="1"/>
  <c r="AG678" i="1"/>
  <c r="AF678" i="1"/>
  <c r="W678" i="1"/>
  <c r="V678" i="1"/>
  <c r="N678" i="1"/>
  <c r="M678" i="1"/>
  <c r="L678" i="1"/>
  <c r="H678" i="1"/>
  <c r="G678" i="1"/>
  <c r="F678" i="1"/>
  <c r="E678" i="1"/>
  <c r="D678" i="1"/>
  <c r="C678" i="1"/>
  <c r="B678" i="1"/>
  <c r="AF677" i="1"/>
  <c r="X677" i="1"/>
  <c r="W677" i="1"/>
  <c r="V677" i="1"/>
  <c r="M677" i="1"/>
  <c r="L677" i="1"/>
  <c r="J677" i="1"/>
  <c r="I677" i="1"/>
  <c r="H677" i="1"/>
  <c r="G677" i="1"/>
  <c r="F677" i="1"/>
  <c r="E677" i="1"/>
  <c r="D677" i="1"/>
  <c r="C677" i="1"/>
  <c r="B677" i="1"/>
  <c r="AG676" i="1"/>
  <c r="AF676" i="1"/>
  <c r="W676" i="1"/>
  <c r="V676" i="1"/>
  <c r="M676" i="1"/>
  <c r="L676" i="1"/>
  <c r="D676" i="1"/>
  <c r="C676" i="1"/>
  <c r="B676" i="1"/>
  <c r="AG675" i="1"/>
  <c r="AF675" i="1"/>
  <c r="V675" i="1"/>
  <c r="M675" i="1"/>
  <c r="L675" i="1"/>
  <c r="C675" i="1"/>
  <c r="B675" i="1"/>
  <c r="AH674" i="1"/>
  <c r="AG674" i="1"/>
  <c r="AF674" i="1"/>
  <c r="Z674" i="1"/>
  <c r="Y674" i="1"/>
  <c r="X674" i="1"/>
  <c r="W674" i="1"/>
  <c r="V674" i="1"/>
  <c r="O674" i="1"/>
  <c r="N674" i="1"/>
  <c r="M674" i="1"/>
  <c r="L674" i="1"/>
  <c r="C674" i="1"/>
  <c r="B674" i="1"/>
  <c r="AF673" i="1"/>
  <c r="W673" i="1"/>
  <c r="V673" i="1"/>
  <c r="O673" i="1"/>
  <c r="N673" i="1"/>
  <c r="M673" i="1"/>
  <c r="L673" i="1"/>
  <c r="F673" i="1"/>
  <c r="E673" i="1"/>
  <c r="D673" i="1"/>
  <c r="C673" i="1"/>
  <c r="B673" i="1"/>
  <c r="AG672" i="1"/>
  <c r="AF672" i="1"/>
  <c r="X672" i="1"/>
  <c r="W672" i="1"/>
  <c r="V672" i="1"/>
  <c r="N672" i="1"/>
  <c r="M672" i="1"/>
  <c r="L672" i="1"/>
  <c r="C672" i="1"/>
  <c r="B672" i="1"/>
  <c r="AG671" i="1"/>
  <c r="AF671" i="1"/>
  <c r="W671" i="1"/>
  <c r="V671" i="1"/>
  <c r="L671" i="1"/>
  <c r="D671" i="1"/>
  <c r="C671" i="1"/>
  <c r="B671" i="1"/>
  <c r="AF670" i="1"/>
  <c r="V670" i="1"/>
  <c r="R670" i="1"/>
  <c r="Q670" i="1"/>
  <c r="P670" i="1"/>
  <c r="O670" i="1"/>
  <c r="N670" i="1"/>
  <c r="M670" i="1"/>
  <c r="L670" i="1"/>
  <c r="F670" i="1"/>
  <c r="E670" i="1"/>
  <c r="D670" i="1"/>
  <c r="C670" i="1"/>
  <c r="B670" i="1"/>
  <c r="AF669" i="1"/>
  <c r="W669" i="1"/>
  <c r="V669" i="1"/>
  <c r="P669" i="1"/>
  <c r="O669" i="1"/>
  <c r="N669" i="1"/>
  <c r="M669" i="1"/>
  <c r="L669" i="1"/>
  <c r="D669" i="1"/>
  <c r="C669" i="1"/>
  <c r="B669" i="1"/>
  <c r="AG668" i="1"/>
  <c r="AF668" i="1"/>
  <c r="X668" i="1"/>
  <c r="W668" i="1"/>
  <c r="V668" i="1"/>
  <c r="M668" i="1"/>
  <c r="L668" i="1"/>
  <c r="D668" i="1"/>
  <c r="C668" i="1"/>
  <c r="B668" i="1"/>
  <c r="AG667" i="1"/>
  <c r="AF667" i="1"/>
  <c r="X667" i="1"/>
  <c r="W667" i="1"/>
  <c r="V667" i="1"/>
  <c r="N667" i="1"/>
  <c r="M667" i="1"/>
  <c r="L667" i="1"/>
  <c r="D667" i="1"/>
  <c r="C667" i="1"/>
  <c r="B667" i="1"/>
  <c r="AG666" i="1"/>
  <c r="AF666" i="1"/>
  <c r="W666" i="1"/>
  <c r="V666" i="1"/>
  <c r="O666" i="1"/>
  <c r="N666" i="1"/>
  <c r="M666" i="1"/>
  <c r="L666" i="1"/>
  <c r="G666" i="1"/>
  <c r="E666" i="1"/>
  <c r="D666" i="1"/>
  <c r="C666" i="1"/>
  <c r="B666" i="1"/>
  <c r="AG665" i="1"/>
  <c r="AF665" i="1"/>
  <c r="W665" i="1"/>
  <c r="V665" i="1"/>
  <c r="P665" i="1"/>
  <c r="O665" i="1"/>
  <c r="N665" i="1"/>
  <c r="M665" i="1"/>
  <c r="L665" i="1"/>
  <c r="F665" i="1"/>
  <c r="E665" i="1"/>
  <c r="D665" i="1"/>
  <c r="C665" i="1"/>
  <c r="B665" i="1"/>
  <c r="AG664" i="1"/>
  <c r="AF664" i="1"/>
  <c r="W664" i="1"/>
  <c r="V664" i="1"/>
  <c r="Q664" i="1"/>
  <c r="P664" i="1"/>
  <c r="O664" i="1"/>
  <c r="N664" i="1"/>
  <c r="M664" i="1"/>
  <c r="L664" i="1"/>
  <c r="E664" i="1"/>
  <c r="D664" i="1"/>
  <c r="C664" i="1"/>
  <c r="B664" i="1"/>
  <c r="AG663" i="1"/>
  <c r="AF663" i="1"/>
  <c r="X663" i="1"/>
  <c r="W663" i="1"/>
  <c r="V663" i="1"/>
  <c r="N663" i="1"/>
  <c r="M663" i="1"/>
  <c r="L663" i="1"/>
  <c r="I663" i="1"/>
  <c r="H663" i="1"/>
  <c r="F663" i="1"/>
  <c r="E663" i="1"/>
  <c r="D663" i="1"/>
  <c r="C663" i="1"/>
  <c r="B663" i="1"/>
  <c r="AF662" i="1"/>
  <c r="W662" i="1"/>
  <c r="V662" i="1"/>
  <c r="N662" i="1"/>
  <c r="M662" i="1"/>
  <c r="L662" i="1"/>
  <c r="D662" i="1"/>
  <c r="C662" i="1"/>
  <c r="B662" i="1"/>
  <c r="AG661" i="1"/>
  <c r="AF661" i="1"/>
  <c r="W661" i="1"/>
  <c r="V661" i="1"/>
  <c r="P661" i="1"/>
  <c r="O661" i="1"/>
  <c r="N661" i="1"/>
  <c r="M661" i="1"/>
  <c r="L661" i="1"/>
  <c r="F661" i="1"/>
  <c r="E661" i="1"/>
  <c r="D661" i="1"/>
  <c r="C661" i="1"/>
  <c r="B661" i="1"/>
  <c r="AG660" i="1"/>
  <c r="AF660" i="1"/>
  <c r="W660" i="1"/>
  <c r="V660" i="1"/>
  <c r="N660" i="1"/>
  <c r="M660" i="1"/>
  <c r="L660" i="1"/>
  <c r="C660" i="1"/>
  <c r="B660" i="1"/>
  <c r="AG659" i="1"/>
  <c r="AF659" i="1"/>
  <c r="W659" i="1"/>
  <c r="V659" i="1"/>
  <c r="O659" i="1"/>
  <c r="N659" i="1"/>
  <c r="M659" i="1"/>
  <c r="L659" i="1"/>
  <c r="G659" i="1"/>
  <c r="F659" i="1"/>
  <c r="E659" i="1"/>
  <c r="D659" i="1"/>
  <c r="C659" i="1"/>
  <c r="B659" i="1"/>
  <c r="AG658" i="1"/>
  <c r="AF658" i="1"/>
  <c r="W658" i="1"/>
  <c r="V658" i="1"/>
  <c r="P658" i="1"/>
  <c r="O658" i="1"/>
  <c r="N658" i="1"/>
  <c r="M658" i="1"/>
  <c r="L658" i="1"/>
  <c r="C658" i="1"/>
  <c r="B658" i="1"/>
  <c r="AG657" i="1"/>
  <c r="AF657" i="1"/>
  <c r="AB657" i="1"/>
  <c r="AA657" i="1"/>
  <c r="Z657" i="1"/>
  <c r="Y657" i="1"/>
  <c r="X657" i="1"/>
  <c r="W657" i="1"/>
  <c r="V657" i="1"/>
  <c r="N657" i="1"/>
  <c r="M657" i="1"/>
  <c r="L657" i="1"/>
  <c r="E657" i="1"/>
  <c r="D657" i="1"/>
  <c r="C657" i="1"/>
  <c r="B657" i="1"/>
  <c r="AH656" i="1"/>
  <c r="AG656" i="1"/>
  <c r="AF656" i="1"/>
  <c r="Y656" i="1"/>
  <c r="X656" i="1"/>
  <c r="W656" i="1"/>
  <c r="V656" i="1"/>
  <c r="S656" i="1"/>
  <c r="R656" i="1"/>
  <c r="Q656" i="1"/>
  <c r="P656" i="1"/>
  <c r="O656" i="1"/>
  <c r="N656" i="1"/>
  <c r="M656" i="1"/>
  <c r="L656" i="1"/>
  <c r="I656" i="1"/>
  <c r="H656" i="1"/>
  <c r="G656" i="1"/>
  <c r="F656" i="1"/>
  <c r="E656" i="1"/>
  <c r="D656" i="1"/>
  <c r="C656" i="1"/>
  <c r="B656" i="1"/>
  <c r="AG655" i="1"/>
  <c r="AF655" i="1"/>
  <c r="W655" i="1"/>
  <c r="V655" i="1"/>
  <c r="O655" i="1"/>
  <c r="N655" i="1"/>
  <c r="M655" i="1"/>
  <c r="L655" i="1"/>
  <c r="D655" i="1"/>
  <c r="C655" i="1"/>
  <c r="B655" i="1"/>
  <c r="AG654" i="1"/>
  <c r="AF654" i="1"/>
  <c r="Z654" i="1"/>
  <c r="Y654" i="1"/>
  <c r="X654" i="1"/>
  <c r="W654" i="1"/>
  <c r="V654" i="1"/>
  <c r="P654" i="1"/>
  <c r="O654" i="1"/>
  <c r="N654" i="1"/>
  <c r="M654" i="1"/>
  <c r="L654" i="1"/>
  <c r="F654" i="1"/>
  <c r="E654" i="1"/>
  <c r="D654" i="1"/>
  <c r="C654" i="1"/>
  <c r="B654" i="1"/>
  <c r="AF653" i="1"/>
  <c r="W653" i="1"/>
  <c r="V653" i="1"/>
  <c r="O653" i="1"/>
  <c r="N653" i="1"/>
  <c r="M653" i="1"/>
  <c r="L653" i="1"/>
  <c r="I653" i="1"/>
  <c r="H653" i="1"/>
  <c r="G653" i="1"/>
  <c r="F653" i="1"/>
  <c r="E653" i="1"/>
  <c r="D653" i="1"/>
  <c r="C653" i="1"/>
  <c r="B653" i="1"/>
  <c r="AH652" i="1"/>
  <c r="AG652" i="1"/>
  <c r="AF652" i="1"/>
  <c r="V652" i="1"/>
  <c r="P652" i="1"/>
  <c r="O652" i="1"/>
  <c r="N652" i="1"/>
  <c r="M652" i="1"/>
  <c r="L652" i="1"/>
  <c r="G652" i="1"/>
  <c r="F652" i="1"/>
  <c r="E652" i="1"/>
  <c r="D652" i="1"/>
  <c r="C652" i="1"/>
  <c r="B652" i="1"/>
  <c r="AF651" i="1"/>
  <c r="X651" i="1"/>
  <c r="W651" i="1"/>
  <c r="V651" i="1"/>
  <c r="O651" i="1"/>
  <c r="N651" i="1"/>
  <c r="M651" i="1"/>
  <c r="L651" i="1"/>
  <c r="F651" i="1"/>
  <c r="E651" i="1"/>
  <c r="D651" i="1"/>
  <c r="C651" i="1"/>
  <c r="B651" i="1"/>
  <c r="AG650" i="1"/>
  <c r="AF650" i="1"/>
  <c r="X650" i="1"/>
  <c r="W650" i="1"/>
  <c r="V650" i="1"/>
  <c r="N650" i="1"/>
  <c r="M650" i="1"/>
  <c r="L650" i="1"/>
  <c r="C650" i="1"/>
  <c r="B650" i="1"/>
  <c r="AG649" i="1"/>
  <c r="AF649" i="1"/>
  <c r="X649" i="1"/>
  <c r="W649" i="1"/>
  <c r="V649" i="1"/>
  <c r="Q649" i="1"/>
  <c r="P649" i="1"/>
  <c r="O649" i="1"/>
  <c r="N649" i="1"/>
  <c r="M649" i="1"/>
  <c r="L649" i="1"/>
  <c r="F649" i="1"/>
  <c r="E649" i="1"/>
  <c r="D649" i="1"/>
  <c r="C649" i="1"/>
  <c r="B649" i="1"/>
  <c r="AG648" i="1"/>
  <c r="AF648" i="1"/>
  <c r="W648" i="1"/>
  <c r="V648" i="1"/>
  <c r="M648" i="1"/>
  <c r="L648" i="1"/>
  <c r="F648" i="1"/>
  <c r="E648" i="1"/>
  <c r="D648" i="1"/>
  <c r="C648" i="1"/>
  <c r="B648" i="1"/>
  <c r="W647" i="1"/>
  <c r="V647" i="1"/>
  <c r="O647" i="1"/>
  <c r="N647" i="1"/>
  <c r="M647" i="1"/>
  <c r="L647" i="1"/>
  <c r="D647" i="1"/>
  <c r="C647" i="1"/>
  <c r="B647" i="1"/>
  <c r="AG646" i="1"/>
  <c r="AF646" i="1"/>
  <c r="W646" i="1"/>
  <c r="V646" i="1"/>
  <c r="P646" i="1"/>
  <c r="O646" i="1"/>
  <c r="N646" i="1"/>
  <c r="M646" i="1"/>
  <c r="L646" i="1"/>
  <c r="G646" i="1"/>
  <c r="F646" i="1"/>
  <c r="E646" i="1"/>
  <c r="D646" i="1"/>
  <c r="C646" i="1"/>
  <c r="B646" i="1"/>
  <c r="AF645" i="1"/>
  <c r="V645" i="1"/>
  <c r="O645" i="1"/>
  <c r="N645" i="1"/>
  <c r="M645" i="1"/>
  <c r="L645" i="1"/>
  <c r="G645" i="1"/>
  <c r="F645" i="1"/>
  <c r="E645" i="1"/>
  <c r="D645" i="1"/>
  <c r="C645" i="1"/>
  <c r="B645" i="1"/>
  <c r="AF644" i="1"/>
  <c r="V644" i="1"/>
  <c r="N644" i="1"/>
  <c r="M644" i="1"/>
  <c r="L644" i="1"/>
  <c r="D644" i="1"/>
  <c r="C644" i="1"/>
  <c r="B644" i="1"/>
  <c r="AF643" i="1"/>
  <c r="W643" i="1"/>
  <c r="V643" i="1"/>
  <c r="M643" i="1"/>
  <c r="L643" i="1"/>
  <c r="E643" i="1"/>
  <c r="D643" i="1"/>
  <c r="C643" i="1"/>
  <c r="B643" i="1"/>
  <c r="AG642" i="1"/>
  <c r="AF642" i="1"/>
  <c r="X642" i="1"/>
  <c r="W642" i="1"/>
  <c r="V642" i="1"/>
  <c r="N642" i="1"/>
  <c r="M642" i="1"/>
  <c r="L642" i="1"/>
  <c r="C642" i="1"/>
  <c r="B642" i="1"/>
  <c r="AF641" i="1"/>
  <c r="V641" i="1"/>
  <c r="M641" i="1"/>
  <c r="L641" i="1"/>
  <c r="C641" i="1"/>
  <c r="B641" i="1"/>
  <c r="AF640" i="1"/>
  <c r="Y640" i="1"/>
  <c r="X640" i="1"/>
  <c r="W640" i="1"/>
  <c r="V640" i="1"/>
  <c r="O640" i="1"/>
  <c r="N640" i="1"/>
  <c r="M640" i="1"/>
  <c r="L640" i="1"/>
  <c r="E640" i="1"/>
  <c r="D640" i="1"/>
  <c r="C640" i="1"/>
  <c r="B640" i="1"/>
  <c r="AH639" i="1"/>
  <c r="AG639" i="1"/>
  <c r="AF639" i="1"/>
  <c r="V639" i="1"/>
  <c r="N639" i="1"/>
  <c r="M639" i="1"/>
  <c r="L639" i="1"/>
  <c r="I639" i="1"/>
  <c r="H639" i="1"/>
  <c r="G639" i="1"/>
  <c r="F639" i="1"/>
  <c r="E639" i="1"/>
  <c r="D639" i="1"/>
  <c r="C639" i="1"/>
  <c r="B639" i="1"/>
  <c r="AG638" i="1"/>
  <c r="AF638" i="1"/>
  <c r="W638" i="1"/>
  <c r="V638" i="1"/>
  <c r="N638" i="1"/>
  <c r="M638" i="1"/>
  <c r="L638" i="1"/>
  <c r="C638" i="1"/>
  <c r="B638" i="1"/>
  <c r="AG637" i="1"/>
  <c r="AF637" i="1"/>
  <c r="V637" i="1"/>
  <c r="M637" i="1"/>
  <c r="L637" i="1"/>
  <c r="D637" i="1"/>
  <c r="C637" i="1"/>
  <c r="B637" i="1"/>
  <c r="AF636" i="1"/>
  <c r="N636" i="1"/>
  <c r="M636" i="1"/>
  <c r="L636" i="1"/>
  <c r="F636" i="1"/>
  <c r="E636" i="1"/>
  <c r="D636" i="1"/>
  <c r="C636" i="1"/>
  <c r="B636" i="1"/>
  <c r="AF635" i="1"/>
  <c r="V635" i="1"/>
  <c r="N635" i="1"/>
  <c r="M635" i="1"/>
  <c r="L635" i="1"/>
  <c r="F635" i="1"/>
  <c r="E635" i="1"/>
  <c r="D635" i="1"/>
  <c r="C635" i="1"/>
  <c r="B635" i="1"/>
  <c r="AF634" i="1"/>
  <c r="W634" i="1"/>
  <c r="V634" i="1"/>
  <c r="N634" i="1"/>
  <c r="M634" i="1"/>
  <c r="L634" i="1"/>
  <c r="D634" i="1"/>
  <c r="C634" i="1"/>
  <c r="B634" i="1"/>
  <c r="AG633" i="1"/>
  <c r="AF633" i="1"/>
  <c r="V633" i="1"/>
  <c r="N633" i="1"/>
  <c r="M633" i="1"/>
  <c r="L633" i="1"/>
  <c r="C633" i="1"/>
  <c r="B633" i="1"/>
  <c r="AG632" i="1"/>
  <c r="AF632" i="1"/>
  <c r="W632" i="1"/>
  <c r="V632" i="1"/>
  <c r="M632" i="1"/>
  <c r="L632" i="1"/>
  <c r="E632" i="1"/>
  <c r="D632" i="1"/>
  <c r="C632" i="1"/>
  <c r="B632" i="1"/>
  <c r="W631" i="1"/>
  <c r="V631" i="1"/>
  <c r="P631" i="1"/>
  <c r="O631" i="1"/>
  <c r="N631" i="1"/>
  <c r="M631" i="1"/>
  <c r="L631" i="1"/>
  <c r="F631" i="1"/>
  <c r="E631" i="1"/>
  <c r="B631" i="1"/>
  <c r="AG630" i="1"/>
  <c r="AF630" i="1"/>
  <c r="W630" i="1"/>
  <c r="V630" i="1"/>
  <c r="Q630" i="1"/>
  <c r="P630" i="1"/>
  <c r="O630" i="1"/>
  <c r="N630" i="1"/>
  <c r="M630" i="1"/>
  <c r="L630" i="1"/>
  <c r="C630" i="1"/>
  <c r="B630" i="1"/>
  <c r="AG629" i="1"/>
  <c r="AF629" i="1"/>
  <c r="W629" i="1"/>
  <c r="V629" i="1"/>
  <c r="L629" i="1"/>
  <c r="F629" i="1"/>
  <c r="E629" i="1"/>
  <c r="D629" i="1"/>
  <c r="C629" i="1"/>
  <c r="B629" i="1"/>
  <c r="AH628" i="1"/>
  <c r="AG628" i="1"/>
  <c r="AF628" i="1"/>
  <c r="V628" i="1"/>
  <c r="N628" i="1"/>
  <c r="M628" i="1"/>
  <c r="L628" i="1"/>
  <c r="F628" i="1"/>
  <c r="E628" i="1"/>
  <c r="D628" i="1"/>
  <c r="C628" i="1"/>
  <c r="B628" i="1"/>
  <c r="AG627" i="1"/>
  <c r="AF627" i="1"/>
  <c r="W627" i="1"/>
  <c r="V627" i="1"/>
  <c r="N627" i="1"/>
  <c r="M627" i="1"/>
  <c r="L627" i="1"/>
  <c r="F627" i="1"/>
  <c r="E627" i="1"/>
  <c r="D627" i="1"/>
  <c r="C627" i="1"/>
  <c r="B627" i="1"/>
  <c r="AF626" i="1"/>
  <c r="W626" i="1"/>
  <c r="V626" i="1"/>
  <c r="N626" i="1"/>
  <c r="M626" i="1"/>
  <c r="L626" i="1"/>
  <c r="F626" i="1"/>
  <c r="E626" i="1"/>
  <c r="D626" i="1"/>
  <c r="C626" i="1"/>
  <c r="B626" i="1"/>
  <c r="AF625" i="1"/>
  <c r="N625" i="1"/>
  <c r="M625" i="1"/>
  <c r="L625" i="1"/>
  <c r="C625" i="1"/>
  <c r="B625" i="1"/>
  <c r="AF624" i="1"/>
  <c r="W624" i="1"/>
  <c r="V624" i="1"/>
  <c r="L624" i="1"/>
  <c r="D624" i="1"/>
  <c r="C624" i="1"/>
  <c r="B624" i="1"/>
  <c r="W623" i="1"/>
  <c r="V623" i="1"/>
  <c r="O623" i="1"/>
  <c r="N623" i="1"/>
  <c r="M623" i="1"/>
  <c r="L623" i="1"/>
  <c r="E623" i="1"/>
  <c r="D623" i="1"/>
  <c r="C623" i="1"/>
  <c r="B623" i="1"/>
  <c r="AF622" i="1"/>
  <c r="X622" i="1"/>
  <c r="W622" i="1"/>
  <c r="V622" i="1"/>
  <c r="L622" i="1"/>
  <c r="F622" i="1"/>
  <c r="E622" i="1"/>
  <c r="D622" i="1"/>
  <c r="C622" i="1"/>
  <c r="B622" i="1"/>
  <c r="AG621" i="1"/>
  <c r="AF621" i="1"/>
  <c r="V621" i="1"/>
  <c r="N621" i="1"/>
  <c r="M621" i="1"/>
  <c r="L621" i="1"/>
  <c r="D621" i="1"/>
  <c r="C621" i="1"/>
  <c r="B621" i="1"/>
  <c r="AF620" i="1"/>
  <c r="V620" i="1"/>
  <c r="M620" i="1"/>
  <c r="L620" i="1"/>
  <c r="F620" i="1"/>
  <c r="E620" i="1"/>
  <c r="D620" i="1"/>
  <c r="C620" i="1"/>
  <c r="B620" i="1"/>
  <c r="AH619" i="1"/>
  <c r="AG619" i="1"/>
  <c r="AF619" i="1"/>
  <c r="W619" i="1"/>
  <c r="V619" i="1"/>
  <c r="O619" i="1"/>
  <c r="N619" i="1"/>
  <c r="M619" i="1"/>
  <c r="L619" i="1"/>
  <c r="C619" i="1"/>
  <c r="B619" i="1"/>
  <c r="AG618" i="1"/>
  <c r="AF618" i="1"/>
  <c r="W618" i="1"/>
  <c r="V618" i="1"/>
  <c r="O618" i="1"/>
  <c r="N618" i="1"/>
  <c r="M618" i="1"/>
  <c r="L618" i="1"/>
  <c r="G618" i="1"/>
  <c r="F618" i="1"/>
  <c r="E618" i="1"/>
  <c r="D618" i="1"/>
  <c r="C618" i="1"/>
  <c r="B618" i="1"/>
  <c r="AF617" i="1"/>
  <c r="V617" i="1"/>
  <c r="M617" i="1"/>
  <c r="L617" i="1"/>
  <c r="C617" i="1"/>
  <c r="B617" i="1"/>
  <c r="AF616" i="1"/>
  <c r="V616" i="1"/>
  <c r="N616" i="1"/>
  <c r="M616" i="1"/>
  <c r="L616" i="1"/>
  <c r="G616" i="1"/>
  <c r="F616" i="1"/>
  <c r="E616" i="1"/>
  <c r="D616" i="1"/>
  <c r="C616" i="1"/>
  <c r="B616" i="1"/>
  <c r="AG615" i="1"/>
  <c r="AF615" i="1"/>
  <c r="W615" i="1"/>
  <c r="V615" i="1"/>
  <c r="N615" i="1"/>
  <c r="M615" i="1"/>
  <c r="L615" i="1"/>
  <c r="D615" i="1"/>
  <c r="C615" i="1"/>
  <c r="B615" i="1"/>
  <c r="AH614" i="1"/>
  <c r="AG614" i="1"/>
  <c r="AF614" i="1"/>
  <c r="W614" i="1"/>
  <c r="V614" i="1"/>
  <c r="M614" i="1"/>
  <c r="L614" i="1"/>
  <c r="C614" i="1"/>
  <c r="B614" i="1"/>
  <c r="AG613" i="1"/>
  <c r="V613" i="1"/>
  <c r="O613" i="1"/>
  <c r="N613" i="1"/>
  <c r="M613" i="1"/>
  <c r="L613" i="1"/>
  <c r="D613" i="1"/>
  <c r="C613" i="1"/>
  <c r="B613" i="1"/>
  <c r="W612" i="1"/>
  <c r="V612" i="1"/>
  <c r="P612" i="1"/>
  <c r="O612" i="1"/>
  <c r="N612" i="1"/>
  <c r="M612" i="1"/>
  <c r="L612" i="1"/>
  <c r="E612" i="1"/>
  <c r="D612" i="1"/>
  <c r="C612" i="1"/>
  <c r="B612" i="1"/>
  <c r="AG611" i="1"/>
  <c r="AF611" i="1"/>
  <c r="Y611" i="1"/>
  <c r="X611" i="1"/>
  <c r="W611" i="1"/>
  <c r="V611" i="1"/>
  <c r="M611" i="1"/>
  <c r="L611" i="1"/>
  <c r="G611" i="1"/>
  <c r="F611" i="1"/>
  <c r="E611" i="1"/>
  <c r="D611" i="1"/>
  <c r="C611" i="1"/>
  <c r="B611" i="1"/>
  <c r="AF610" i="1"/>
  <c r="Y610" i="1"/>
  <c r="X610" i="1"/>
  <c r="W610" i="1"/>
  <c r="V610" i="1"/>
  <c r="O610" i="1"/>
  <c r="N610" i="1"/>
  <c r="M610" i="1"/>
  <c r="L610" i="1"/>
  <c r="F610" i="1"/>
  <c r="E610" i="1"/>
  <c r="D610" i="1"/>
  <c r="C610" i="1"/>
  <c r="B610" i="1"/>
  <c r="AH609" i="1"/>
  <c r="AG609" i="1"/>
  <c r="AF609" i="1"/>
  <c r="AA609" i="1"/>
  <c r="Z609" i="1"/>
  <c r="Y609" i="1"/>
  <c r="X609" i="1"/>
  <c r="W609" i="1"/>
  <c r="V609" i="1"/>
  <c r="Q609" i="1"/>
  <c r="P609" i="1"/>
  <c r="O609" i="1"/>
  <c r="N609" i="1"/>
  <c r="M609" i="1"/>
  <c r="L609" i="1"/>
  <c r="B609" i="1"/>
  <c r="AG608" i="1"/>
  <c r="AF608" i="1"/>
  <c r="X608" i="1"/>
  <c r="W608" i="1"/>
  <c r="V608" i="1"/>
  <c r="M608" i="1"/>
  <c r="L608" i="1"/>
  <c r="H608" i="1"/>
  <c r="G608" i="1"/>
  <c r="F608" i="1"/>
  <c r="E608" i="1"/>
  <c r="D608" i="1"/>
  <c r="C608" i="1"/>
  <c r="B608" i="1"/>
  <c r="AF607" i="1"/>
  <c r="X607" i="1"/>
  <c r="W607" i="1"/>
  <c r="V607" i="1"/>
  <c r="N607" i="1"/>
  <c r="M607" i="1"/>
  <c r="L607" i="1"/>
  <c r="D607" i="1"/>
  <c r="C607" i="1"/>
  <c r="B607" i="1"/>
  <c r="AH606" i="1"/>
  <c r="AG606" i="1"/>
  <c r="AF606" i="1"/>
  <c r="X606" i="1"/>
  <c r="W606" i="1"/>
  <c r="V606" i="1"/>
  <c r="O606" i="1"/>
  <c r="N606" i="1"/>
  <c r="M606" i="1"/>
  <c r="L606" i="1"/>
  <c r="E606" i="1"/>
  <c r="D606" i="1"/>
  <c r="C606" i="1"/>
  <c r="B606" i="1"/>
  <c r="AF605" i="1"/>
  <c r="X605" i="1"/>
  <c r="W605" i="1"/>
  <c r="V605" i="1"/>
  <c r="O605" i="1"/>
  <c r="N605" i="1"/>
  <c r="M605" i="1"/>
  <c r="L605" i="1"/>
  <c r="G605" i="1"/>
  <c r="E605" i="1"/>
  <c r="D605" i="1"/>
  <c r="C605" i="1"/>
  <c r="B605" i="1"/>
  <c r="AF604" i="1"/>
  <c r="W604" i="1"/>
  <c r="V604" i="1"/>
  <c r="N604" i="1"/>
  <c r="M604" i="1"/>
  <c r="L604" i="1"/>
  <c r="F604" i="1"/>
  <c r="E604" i="1"/>
  <c r="D604" i="1"/>
  <c r="C604" i="1"/>
  <c r="B604" i="1"/>
  <c r="AF603" i="1"/>
  <c r="W603" i="1"/>
  <c r="V603" i="1"/>
  <c r="S603" i="1"/>
  <c r="R603" i="1"/>
  <c r="Q603" i="1"/>
  <c r="P603" i="1"/>
  <c r="O603" i="1"/>
  <c r="N603" i="1"/>
  <c r="M603" i="1"/>
  <c r="L603" i="1"/>
  <c r="G603" i="1"/>
  <c r="F603" i="1"/>
  <c r="E603" i="1"/>
  <c r="D603" i="1"/>
  <c r="C603" i="1"/>
  <c r="B603" i="1"/>
  <c r="AH602" i="1"/>
  <c r="AG602" i="1"/>
  <c r="AF602" i="1"/>
  <c r="W602" i="1"/>
  <c r="V602" i="1"/>
  <c r="N602" i="1"/>
  <c r="M602" i="1"/>
  <c r="L602" i="1"/>
  <c r="E602" i="1"/>
  <c r="D602" i="1"/>
  <c r="C602" i="1"/>
  <c r="B602" i="1"/>
  <c r="AG601" i="1"/>
  <c r="AF601" i="1"/>
  <c r="V601" i="1"/>
  <c r="N601" i="1"/>
  <c r="M601" i="1"/>
  <c r="L601" i="1"/>
  <c r="C601" i="1"/>
  <c r="B601" i="1"/>
  <c r="AG600" i="1"/>
  <c r="AF600" i="1"/>
  <c r="O600" i="1"/>
  <c r="N600" i="1"/>
  <c r="M600" i="1"/>
  <c r="L600" i="1"/>
  <c r="E600" i="1"/>
  <c r="D600" i="1"/>
  <c r="C600" i="1"/>
  <c r="B600" i="1"/>
  <c r="AF599" i="1"/>
  <c r="Z599" i="1"/>
  <c r="Y599" i="1"/>
  <c r="X599" i="1"/>
  <c r="W599" i="1"/>
  <c r="V599" i="1"/>
  <c r="N599" i="1"/>
  <c r="M599" i="1"/>
  <c r="L599" i="1"/>
  <c r="G599" i="1"/>
  <c r="E599" i="1"/>
  <c r="D599" i="1"/>
  <c r="C599" i="1"/>
  <c r="B599" i="1"/>
  <c r="AF598" i="1"/>
  <c r="X598" i="1"/>
  <c r="V598" i="1"/>
  <c r="O598" i="1"/>
  <c r="N598" i="1"/>
  <c r="M598" i="1"/>
  <c r="L598" i="1"/>
  <c r="C598" i="1"/>
  <c r="B598" i="1"/>
  <c r="AF597" i="1"/>
  <c r="X597" i="1"/>
  <c r="W597" i="1"/>
  <c r="V597" i="1"/>
  <c r="M597" i="1"/>
  <c r="L597" i="1"/>
  <c r="C597" i="1"/>
  <c r="B597" i="1"/>
  <c r="AH596" i="1"/>
  <c r="AG596" i="1"/>
  <c r="AF596" i="1"/>
  <c r="X596" i="1"/>
  <c r="W596" i="1"/>
  <c r="V596" i="1"/>
  <c r="M596" i="1"/>
  <c r="L596" i="1"/>
  <c r="D596" i="1"/>
  <c r="C596" i="1"/>
  <c r="B596" i="1"/>
  <c r="AF595" i="1"/>
  <c r="W595" i="1"/>
  <c r="V595" i="1"/>
  <c r="M595" i="1"/>
  <c r="L595" i="1"/>
  <c r="G595" i="1"/>
  <c r="F595" i="1"/>
  <c r="E595" i="1"/>
  <c r="D595" i="1"/>
  <c r="C595" i="1"/>
  <c r="B595" i="1"/>
  <c r="AF594" i="1"/>
  <c r="X594" i="1"/>
  <c r="W594" i="1"/>
  <c r="V594" i="1"/>
  <c r="M594" i="1"/>
  <c r="L594" i="1"/>
  <c r="E594" i="1"/>
  <c r="D594" i="1"/>
  <c r="C594" i="1"/>
  <c r="B594" i="1"/>
  <c r="AG593" i="1"/>
  <c r="AF593" i="1"/>
  <c r="V593" i="1"/>
  <c r="N593" i="1"/>
  <c r="M593" i="1"/>
  <c r="L593" i="1"/>
  <c r="C593" i="1"/>
  <c r="B593" i="1"/>
  <c r="AG592" i="1"/>
  <c r="AF592" i="1"/>
  <c r="X592" i="1"/>
  <c r="W592" i="1"/>
  <c r="V592" i="1"/>
  <c r="N592" i="1"/>
  <c r="M592" i="1"/>
  <c r="L592" i="1"/>
  <c r="F592" i="1"/>
  <c r="E592" i="1"/>
  <c r="D592" i="1"/>
  <c r="C592" i="1"/>
  <c r="B592" i="1"/>
  <c r="AG591" i="1"/>
  <c r="AF591" i="1"/>
  <c r="W591" i="1"/>
  <c r="V591" i="1"/>
  <c r="M591" i="1"/>
  <c r="L591" i="1"/>
  <c r="D591" i="1"/>
  <c r="C591" i="1"/>
  <c r="B591" i="1"/>
  <c r="AG590" i="1"/>
  <c r="AF590" i="1"/>
  <c r="V590" i="1"/>
  <c r="R590" i="1"/>
  <c r="Q590" i="1"/>
  <c r="P590" i="1"/>
  <c r="O590" i="1"/>
  <c r="N590" i="1"/>
  <c r="M590" i="1"/>
  <c r="L590" i="1"/>
  <c r="D590" i="1"/>
  <c r="C590" i="1"/>
  <c r="B590" i="1"/>
  <c r="AH589" i="1"/>
  <c r="AG589" i="1"/>
  <c r="AF589" i="1"/>
  <c r="V589" i="1"/>
  <c r="O589" i="1"/>
  <c r="N589" i="1"/>
  <c r="M589" i="1"/>
  <c r="L589" i="1"/>
  <c r="E589" i="1"/>
  <c r="D589" i="1"/>
  <c r="C589" i="1"/>
  <c r="B589" i="1"/>
  <c r="X588" i="1"/>
  <c r="W588" i="1"/>
  <c r="V588" i="1"/>
  <c r="M588" i="1"/>
  <c r="L588" i="1"/>
  <c r="E588" i="1"/>
  <c r="C588" i="1"/>
  <c r="B588" i="1"/>
  <c r="AH587" i="1"/>
  <c r="AG587" i="1"/>
  <c r="AF587" i="1"/>
  <c r="AD587" i="1"/>
  <c r="AC587" i="1"/>
  <c r="AB587" i="1"/>
  <c r="AA587" i="1"/>
  <c r="Z587" i="1"/>
  <c r="Y587" i="1"/>
  <c r="X587" i="1"/>
  <c r="W587" i="1"/>
  <c r="V587" i="1"/>
  <c r="Q587" i="1"/>
  <c r="P587" i="1"/>
  <c r="O587" i="1"/>
  <c r="N587" i="1"/>
  <c r="M587" i="1"/>
  <c r="L587" i="1"/>
  <c r="F587" i="1"/>
  <c r="E587" i="1"/>
  <c r="D587" i="1"/>
  <c r="C587" i="1"/>
  <c r="B587" i="1"/>
  <c r="W586" i="1"/>
  <c r="V586" i="1"/>
  <c r="O586" i="1"/>
  <c r="N586" i="1"/>
  <c r="M586" i="1"/>
  <c r="L586" i="1"/>
  <c r="G586" i="1"/>
  <c r="F586" i="1"/>
  <c r="E586" i="1"/>
  <c r="D586" i="1"/>
  <c r="C586" i="1"/>
  <c r="B586" i="1"/>
  <c r="AF585" i="1"/>
  <c r="W585" i="1"/>
  <c r="V585" i="1"/>
  <c r="M585" i="1"/>
  <c r="L585" i="1"/>
  <c r="E585" i="1"/>
  <c r="D585" i="1"/>
  <c r="C585" i="1"/>
  <c r="B585" i="1"/>
  <c r="AG584" i="1"/>
  <c r="AF584" i="1"/>
  <c r="V584" i="1"/>
  <c r="N584" i="1"/>
  <c r="M584" i="1"/>
  <c r="L584" i="1"/>
  <c r="G584" i="1"/>
  <c r="E584" i="1"/>
  <c r="D584" i="1"/>
  <c r="C584" i="1"/>
  <c r="B584" i="1"/>
  <c r="AG583" i="1"/>
  <c r="AF583" i="1"/>
  <c r="V583" i="1"/>
  <c r="M583" i="1"/>
  <c r="L583" i="1"/>
  <c r="F583" i="1"/>
  <c r="E583" i="1"/>
  <c r="D583" i="1"/>
  <c r="C583" i="1"/>
  <c r="B583" i="1"/>
  <c r="AG582" i="1"/>
  <c r="AF582" i="1"/>
  <c r="V582" i="1"/>
  <c r="N582" i="1"/>
  <c r="M582" i="1"/>
  <c r="L582" i="1"/>
  <c r="C582" i="1"/>
  <c r="B582" i="1"/>
  <c r="AF581" i="1"/>
  <c r="W581" i="1"/>
  <c r="V581" i="1"/>
  <c r="M581" i="1"/>
  <c r="L581" i="1"/>
  <c r="G581" i="1"/>
  <c r="F581" i="1"/>
  <c r="E581" i="1"/>
  <c r="D581" i="1"/>
  <c r="C581" i="1"/>
  <c r="B581" i="1"/>
  <c r="AG580" i="1"/>
  <c r="W580" i="1"/>
  <c r="V580" i="1"/>
  <c r="O580" i="1"/>
  <c r="N580" i="1"/>
  <c r="M580" i="1"/>
  <c r="L580" i="1"/>
  <c r="C580" i="1"/>
  <c r="B580" i="1"/>
  <c r="AG579" i="1"/>
  <c r="AF579" i="1"/>
  <c r="W579" i="1"/>
  <c r="V579" i="1"/>
  <c r="Q579" i="1"/>
  <c r="P579" i="1"/>
  <c r="O579" i="1"/>
  <c r="N579" i="1"/>
  <c r="M579" i="1"/>
  <c r="L579" i="1"/>
  <c r="D579" i="1"/>
  <c r="C579" i="1"/>
  <c r="B579" i="1"/>
  <c r="AG578" i="1"/>
  <c r="AF578" i="1"/>
  <c r="X578" i="1"/>
  <c r="W578" i="1"/>
  <c r="V578" i="1"/>
  <c r="M578" i="1"/>
  <c r="L578" i="1"/>
  <c r="E578" i="1"/>
  <c r="D578" i="1"/>
  <c r="C578" i="1"/>
  <c r="B578" i="1"/>
  <c r="AF577" i="1"/>
  <c r="Z577" i="1"/>
  <c r="Y577" i="1"/>
  <c r="X577" i="1"/>
  <c r="W577" i="1"/>
  <c r="V577" i="1"/>
  <c r="N577" i="1"/>
  <c r="M577" i="1"/>
  <c r="L577" i="1"/>
  <c r="C577" i="1"/>
  <c r="B577" i="1"/>
  <c r="AG576" i="1"/>
  <c r="AF576" i="1"/>
  <c r="W576" i="1"/>
  <c r="V576" i="1"/>
  <c r="M576" i="1"/>
  <c r="L576" i="1"/>
  <c r="D576" i="1"/>
  <c r="C576" i="1"/>
  <c r="B576" i="1"/>
  <c r="W575" i="1"/>
  <c r="V575" i="1"/>
  <c r="N575" i="1"/>
  <c r="M575" i="1"/>
  <c r="L575" i="1"/>
  <c r="H575" i="1"/>
  <c r="G575" i="1"/>
  <c r="F575" i="1"/>
  <c r="E575" i="1"/>
  <c r="D575" i="1"/>
  <c r="C575" i="1"/>
  <c r="B575" i="1"/>
  <c r="AG574" i="1"/>
  <c r="AF574" i="1"/>
  <c r="W574" i="1"/>
  <c r="V574" i="1"/>
  <c r="N574" i="1"/>
  <c r="M574" i="1"/>
  <c r="L574" i="1"/>
  <c r="G574" i="1"/>
  <c r="F574" i="1"/>
  <c r="E574" i="1"/>
  <c r="D574" i="1"/>
  <c r="C574" i="1"/>
  <c r="B574" i="1"/>
  <c r="AG573" i="1"/>
  <c r="AF573" i="1"/>
  <c r="X573" i="1"/>
  <c r="W573" i="1"/>
  <c r="V573" i="1"/>
  <c r="M573" i="1"/>
  <c r="L573" i="1"/>
  <c r="C573" i="1"/>
  <c r="B573" i="1"/>
  <c r="AH572" i="1"/>
  <c r="AG572" i="1"/>
  <c r="AF572" i="1"/>
  <c r="V572" i="1"/>
  <c r="Q572" i="1"/>
  <c r="P572" i="1"/>
  <c r="O572" i="1"/>
  <c r="N572" i="1"/>
  <c r="M572" i="1"/>
  <c r="L572" i="1"/>
  <c r="E572" i="1"/>
  <c r="D572" i="1"/>
  <c r="C572" i="1"/>
  <c r="B572" i="1"/>
  <c r="AG571" i="1"/>
  <c r="AF571" i="1"/>
  <c r="W571" i="1"/>
  <c r="V571" i="1"/>
  <c r="N571" i="1"/>
  <c r="M571" i="1"/>
  <c r="L571" i="1"/>
  <c r="F571" i="1"/>
  <c r="E571" i="1"/>
  <c r="D571" i="1"/>
  <c r="C571" i="1"/>
  <c r="B571" i="1"/>
  <c r="AH570" i="1"/>
  <c r="AG570" i="1"/>
  <c r="AF570" i="1"/>
  <c r="Y570" i="1"/>
  <c r="X570" i="1"/>
  <c r="W570" i="1"/>
  <c r="V570" i="1"/>
  <c r="T570" i="1"/>
  <c r="S570" i="1"/>
  <c r="R570" i="1"/>
  <c r="Q570" i="1"/>
  <c r="P570" i="1"/>
  <c r="O570" i="1"/>
  <c r="N570" i="1"/>
  <c r="M570" i="1"/>
  <c r="L570" i="1"/>
  <c r="E570" i="1"/>
  <c r="D570" i="1"/>
  <c r="C570" i="1"/>
  <c r="B570" i="1"/>
  <c r="Z569" i="1"/>
  <c r="Y569" i="1"/>
  <c r="X569" i="1"/>
  <c r="W569" i="1"/>
  <c r="V569" i="1"/>
  <c r="O569" i="1"/>
  <c r="N569" i="1"/>
  <c r="M569" i="1"/>
  <c r="L569" i="1"/>
  <c r="C569" i="1"/>
  <c r="B569" i="1"/>
  <c r="AH568" i="1"/>
  <c r="AG568" i="1"/>
  <c r="AF568" i="1"/>
  <c r="P568" i="1"/>
  <c r="O568" i="1"/>
  <c r="N568" i="1"/>
  <c r="M568" i="1"/>
  <c r="L568" i="1"/>
  <c r="C568" i="1"/>
  <c r="B568" i="1"/>
  <c r="AF567" i="1"/>
  <c r="V567" i="1"/>
  <c r="M567" i="1"/>
  <c r="L567" i="1"/>
  <c r="E567" i="1"/>
  <c r="D567" i="1"/>
  <c r="C567" i="1"/>
  <c r="B567" i="1"/>
  <c r="AG566" i="1"/>
  <c r="AF566" i="1"/>
  <c r="V566" i="1"/>
  <c r="O566" i="1"/>
  <c r="N566" i="1"/>
  <c r="M566" i="1"/>
  <c r="L566" i="1"/>
  <c r="D566" i="1"/>
  <c r="C566" i="1"/>
  <c r="B566" i="1"/>
  <c r="AG565" i="1"/>
  <c r="AF565" i="1"/>
  <c r="W565" i="1"/>
  <c r="V565" i="1"/>
  <c r="M565" i="1"/>
  <c r="L565" i="1"/>
  <c r="F565" i="1"/>
  <c r="E565" i="1"/>
  <c r="D565" i="1"/>
  <c r="C565" i="1"/>
  <c r="B565" i="1"/>
  <c r="AF564" i="1"/>
  <c r="X564" i="1"/>
  <c r="W564" i="1"/>
  <c r="V564" i="1"/>
  <c r="Q564" i="1"/>
  <c r="P564" i="1"/>
  <c r="O564" i="1"/>
  <c r="N564" i="1"/>
  <c r="M564" i="1"/>
  <c r="L564" i="1"/>
  <c r="E564" i="1"/>
  <c r="D564" i="1"/>
  <c r="C564" i="1"/>
  <c r="B564" i="1"/>
  <c r="AG563" i="1"/>
  <c r="AF563" i="1"/>
  <c r="V563" i="1"/>
  <c r="O563" i="1"/>
  <c r="N563" i="1"/>
  <c r="M563" i="1"/>
  <c r="L563" i="1"/>
  <c r="G563" i="1"/>
  <c r="F563" i="1"/>
  <c r="E563" i="1"/>
  <c r="D563" i="1"/>
  <c r="C563" i="1"/>
  <c r="B563" i="1"/>
  <c r="AG562" i="1"/>
  <c r="AF562" i="1"/>
  <c r="V562" i="1"/>
  <c r="N562" i="1"/>
  <c r="M562" i="1"/>
  <c r="L562" i="1"/>
  <c r="F562" i="1"/>
  <c r="E562" i="1"/>
  <c r="D562" i="1"/>
  <c r="C562" i="1"/>
  <c r="B562" i="1"/>
  <c r="AF561" i="1"/>
  <c r="V561" i="1"/>
  <c r="N561" i="1"/>
  <c r="M561" i="1"/>
  <c r="L561" i="1"/>
  <c r="E561" i="1"/>
  <c r="D561" i="1"/>
  <c r="C561" i="1"/>
  <c r="B561" i="1"/>
  <c r="AG560" i="1"/>
  <c r="AF560" i="1"/>
  <c r="W560" i="1"/>
  <c r="V560" i="1"/>
  <c r="P560" i="1"/>
  <c r="O560" i="1"/>
  <c r="N560" i="1"/>
  <c r="M560" i="1"/>
  <c r="L560" i="1"/>
  <c r="F560" i="1"/>
  <c r="E560" i="1"/>
  <c r="D560" i="1"/>
  <c r="C560" i="1"/>
  <c r="B560" i="1"/>
  <c r="AF559" i="1"/>
  <c r="AA559" i="1"/>
  <c r="Z559" i="1"/>
  <c r="Y559" i="1"/>
  <c r="X559" i="1"/>
  <c r="W559" i="1"/>
  <c r="V559" i="1"/>
  <c r="M559" i="1"/>
  <c r="L559" i="1"/>
  <c r="I559" i="1"/>
  <c r="H559" i="1"/>
  <c r="G559" i="1"/>
  <c r="F559" i="1"/>
  <c r="E559" i="1"/>
  <c r="D559" i="1"/>
  <c r="C559" i="1"/>
  <c r="B559" i="1"/>
  <c r="X558" i="1"/>
  <c r="W558" i="1"/>
  <c r="V558" i="1"/>
  <c r="O558" i="1"/>
  <c r="N558" i="1"/>
  <c r="M558" i="1"/>
  <c r="L558" i="1"/>
  <c r="D558" i="1"/>
  <c r="C558" i="1"/>
  <c r="B558" i="1"/>
  <c r="AG557" i="1"/>
  <c r="AF557" i="1"/>
  <c r="W557" i="1"/>
  <c r="V557" i="1"/>
  <c r="M557" i="1"/>
  <c r="L557" i="1"/>
  <c r="D557" i="1"/>
  <c r="C557" i="1"/>
  <c r="B557" i="1"/>
  <c r="V556" i="1"/>
  <c r="M556" i="1"/>
  <c r="L556" i="1"/>
  <c r="C556" i="1"/>
  <c r="B556" i="1"/>
  <c r="AG555" i="1"/>
  <c r="AF555" i="1"/>
  <c r="V555" i="1"/>
  <c r="P555" i="1"/>
  <c r="O555" i="1"/>
  <c r="N555" i="1"/>
  <c r="M555" i="1"/>
  <c r="L555" i="1"/>
  <c r="C555" i="1"/>
  <c r="B555" i="1"/>
  <c r="AG554" i="1"/>
  <c r="AF554" i="1"/>
  <c r="W554" i="1"/>
  <c r="V554" i="1"/>
  <c r="N554" i="1"/>
  <c r="M554" i="1"/>
  <c r="L554" i="1"/>
  <c r="G554" i="1"/>
  <c r="F554" i="1"/>
  <c r="E554" i="1"/>
  <c r="D554" i="1"/>
  <c r="C554" i="1"/>
  <c r="B554" i="1"/>
  <c r="AG553" i="1"/>
  <c r="AF553" i="1"/>
  <c r="W553" i="1"/>
  <c r="V553" i="1"/>
  <c r="N553" i="1"/>
  <c r="M553" i="1"/>
  <c r="L553" i="1"/>
  <c r="E553" i="1"/>
  <c r="D553" i="1"/>
  <c r="C553" i="1"/>
  <c r="B553" i="1"/>
  <c r="AG552" i="1"/>
  <c r="AF552" i="1"/>
  <c r="X552" i="1"/>
  <c r="W552" i="1"/>
  <c r="V552" i="1"/>
  <c r="N552" i="1"/>
  <c r="M552" i="1"/>
  <c r="L552" i="1"/>
  <c r="E552" i="1"/>
  <c r="D552" i="1"/>
  <c r="C552" i="1"/>
  <c r="B552" i="1"/>
  <c r="AF551" i="1"/>
  <c r="V551" i="1"/>
  <c r="N551" i="1"/>
  <c r="M551" i="1"/>
  <c r="L551" i="1"/>
  <c r="C551" i="1"/>
  <c r="B551" i="1"/>
  <c r="AG550" i="1"/>
  <c r="AF550" i="1"/>
  <c r="X550" i="1"/>
  <c r="W550" i="1"/>
  <c r="V550" i="1"/>
  <c r="M550" i="1"/>
  <c r="L550" i="1"/>
  <c r="F550" i="1"/>
  <c r="E550" i="1"/>
  <c r="D550" i="1"/>
  <c r="C550" i="1"/>
  <c r="B550" i="1"/>
  <c r="AG549" i="1"/>
  <c r="AF549" i="1"/>
  <c r="W549" i="1"/>
  <c r="V549" i="1"/>
  <c r="N549" i="1"/>
  <c r="M549" i="1"/>
  <c r="L549" i="1"/>
  <c r="D549" i="1"/>
  <c r="C549" i="1"/>
  <c r="B549" i="1"/>
  <c r="AG548" i="1"/>
  <c r="AF548" i="1"/>
  <c r="W548" i="1"/>
  <c r="V548" i="1"/>
  <c r="M548" i="1"/>
  <c r="L548" i="1"/>
  <c r="C548" i="1"/>
  <c r="B548" i="1"/>
  <c r="AF547" i="1"/>
  <c r="W547" i="1"/>
  <c r="V547" i="1"/>
  <c r="P547" i="1"/>
  <c r="O547" i="1"/>
  <c r="N547" i="1"/>
  <c r="M547" i="1"/>
  <c r="L547" i="1"/>
  <c r="G547" i="1"/>
  <c r="F547" i="1"/>
  <c r="E547" i="1"/>
  <c r="D547" i="1"/>
  <c r="C547" i="1"/>
  <c r="B547" i="1"/>
  <c r="AG546" i="1"/>
  <c r="AF546" i="1"/>
  <c r="V546" i="1"/>
  <c r="M546" i="1"/>
  <c r="L546" i="1"/>
  <c r="D546" i="1"/>
  <c r="C546" i="1"/>
  <c r="B546" i="1"/>
  <c r="AF545" i="1"/>
  <c r="W545" i="1"/>
  <c r="V545" i="1"/>
  <c r="N545" i="1"/>
  <c r="M545" i="1"/>
  <c r="L545" i="1"/>
  <c r="D545" i="1"/>
  <c r="C545" i="1"/>
  <c r="B545" i="1"/>
  <c r="AG544" i="1"/>
  <c r="AF544" i="1"/>
  <c r="S544" i="1"/>
  <c r="R544" i="1"/>
  <c r="Q544" i="1"/>
  <c r="P544" i="1"/>
  <c r="O544" i="1"/>
  <c r="N544" i="1"/>
  <c r="M544" i="1"/>
  <c r="L544" i="1"/>
  <c r="I544" i="1"/>
  <c r="G544" i="1"/>
  <c r="F544" i="1"/>
  <c r="E544" i="1"/>
  <c r="D544" i="1"/>
  <c r="C544" i="1"/>
  <c r="B544" i="1"/>
  <c r="AG543" i="1"/>
  <c r="AF543" i="1"/>
  <c r="Y543" i="1"/>
  <c r="X543" i="1"/>
  <c r="W543" i="1"/>
  <c r="V543" i="1"/>
  <c r="L543" i="1"/>
  <c r="F543" i="1"/>
  <c r="E543" i="1"/>
  <c r="D543" i="1"/>
  <c r="C543" i="1"/>
  <c r="B543" i="1"/>
  <c r="AH542" i="1"/>
  <c r="AG542" i="1"/>
  <c r="AF542" i="1"/>
  <c r="AA542" i="1"/>
  <c r="Z542" i="1"/>
  <c r="X542" i="1"/>
  <c r="W542" i="1"/>
  <c r="V542" i="1"/>
  <c r="P542" i="1"/>
  <c r="O542" i="1"/>
  <c r="N542" i="1"/>
  <c r="M542" i="1"/>
  <c r="L542" i="1"/>
  <c r="C542" i="1"/>
  <c r="B542" i="1"/>
  <c r="AF541" i="1"/>
  <c r="W541" i="1"/>
  <c r="V541" i="1"/>
  <c r="P541" i="1"/>
  <c r="O541" i="1"/>
  <c r="N541" i="1"/>
  <c r="M541" i="1"/>
  <c r="L541" i="1"/>
  <c r="G541" i="1"/>
  <c r="F541" i="1"/>
  <c r="E541" i="1"/>
  <c r="D541" i="1"/>
  <c r="C541" i="1"/>
  <c r="B541" i="1"/>
  <c r="V540" i="1"/>
  <c r="P540" i="1"/>
  <c r="O540" i="1"/>
  <c r="N540" i="1"/>
  <c r="M540" i="1"/>
  <c r="L540" i="1"/>
  <c r="F540" i="1"/>
  <c r="E540" i="1"/>
  <c r="D540" i="1"/>
  <c r="C540" i="1"/>
  <c r="B540" i="1"/>
  <c r="AG539" i="1"/>
  <c r="AF539" i="1"/>
  <c r="W539" i="1"/>
  <c r="V539" i="1"/>
  <c r="M539" i="1"/>
  <c r="L539" i="1"/>
  <c r="F539" i="1"/>
  <c r="E539" i="1"/>
  <c r="D539" i="1"/>
  <c r="C539" i="1"/>
  <c r="B539" i="1"/>
  <c r="AF538" i="1"/>
  <c r="W538" i="1"/>
  <c r="V538" i="1"/>
  <c r="M538" i="1"/>
  <c r="L538" i="1"/>
  <c r="G538" i="1"/>
  <c r="F538" i="1"/>
  <c r="E538" i="1"/>
  <c r="D538" i="1"/>
  <c r="C538" i="1"/>
  <c r="B538" i="1"/>
  <c r="AG537" i="1"/>
  <c r="AF537" i="1"/>
  <c r="V537" i="1"/>
  <c r="N537" i="1"/>
  <c r="M537" i="1"/>
  <c r="L537" i="1"/>
  <c r="D537" i="1"/>
  <c r="C537" i="1"/>
  <c r="B537" i="1"/>
  <c r="AG536" i="1"/>
  <c r="AF536" i="1"/>
  <c r="V536" i="1"/>
  <c r="M536" i="1"/>
  <c r="L536" i="1"/>
  <c r="F536" i="1"/>
  <c r="E536" i="1"/>
  <c r="D536" i="1"/>
  <c r="C536" i="1"/>
  <c r="B536" i="1"/>
  <c r="AG535" i="1"/>
  <c r="Z535" i="1"/>
  <c r="Y535" i="1"/>
  <c r="X535" i="1"/>
  <c r="W535" i="1"/>
  <c r="V535" i="1"/>
  <c r="S535" i="1"/>
  <c r="R535" i="1"/>
  <c r="Q535" i="1"/>
  <c r="P535" i="1"/>
  <c r="O535" i="1"/>
  <c r="N535" i="1"/>
  <c r="M535" i="1"/>
  <c r="L535" i="1"/>
  <c r="F535" i="1"/>
  <c r="E535" i="1"/>
  <c r="D535" i="1"/>
  <c r="C535" i="1"/>
  <c r="B535" i="1"/>
  <c r="AF534" i="1"/>
  <c r="Z534" i="1"/>
  <c r="X534" i="1"/>
  <c r="W534" i="1"/>
  <c r="V534" i="1"/>
  <c r="O534" i="1"/>
  <c r="N534" i="1"/>
  <c r="M534" i="1"/>
  <c r="L534" i="1"/>
  <c r="F534" i="1"/>
  <c r="E534" i="1"/>
  <c r="D534" i="1"/>
  <c r="C534" i="1"/>
  <c r="B534" i="1"/>
  <c r="AH533" i="1"/>
  <c r="AG533" i="1"/>
  <c r="AF533" i="1"/>
  <c r="Y533" i="1"/>
  <c r="X533" i="1"/>
  <c r="W533" i="1"/>
  <c r="V533" i="1"/>
  <c r="P533" i="1"/>
  <c r="O533" i="1"/>
  <c r="N533" i="1"/>
  <c r="M533" i="1"/>
  <c r="L533" i="1"/>
  <c r="B533" i="1"/>
  <c r="W532" i="1"/>
  <c r="V532" i="1"/>
  <c r="L532" i="1"/>
  <c r="F532" i="1"/>
  <c r="E532" i="1"/>
  <c r="D532" i="1"/>
  <c r="C532" i="1"/>
  <c r="B532" i="1"/>
  <c r="AF531" i="1"/>
  <c r="W531" i="1"/>
  <c r="V531" i="1"/>
  <c r="P531" i="1"/>
  <c r="O531" i="1"/>
  <c r="N531" i="1"/>
  <c r="M531" i="1"/>
  <c r="L531" i="1"/>
  <c r="G531" i="1"/>
  <c r="F531" i="1"/>
  <c r="E531" i="1"/>
  <c r="D531" i="1"/>
  <c r="C531" i="1"/>
  <c r="B531" i="1"/>
  <c r="AH530" i="1"/>
  <c r="AG530" i="1"/>
  <c r="AF530" i="1"/>
  <c r="V530" i="1"/>
  <c r="O530" i="1"/>
  <c r="N530" i="1"/>
  <c r="M530" i="1"/>
  <c r="L530" i="1"/>
  <c r="C530" i="1"/>
  <c r="B530" i="1"/>
  <c r="AG529" i="1"/>
  <c r="AF529" i="1"/>
  <c r="W529" i="1"/>
  <c r="V529" i="1"/>
  <c r="N529" i="1"/>
  <c r="M529" i="1"/>
  <c r="L529" i="1"/>
  <c r="E529" i="1"/>
  <c r="D529" i="1"/>
  <c r="C529" i="1"/>
  <c r="B529" i="1"/>
  <c r="AH528" i="1"/>
  <c r="AG528" i="1"/>
  <c r="AF528" i="1"/>
  <c r="V528" i="1"/>
  <c r="N528" i="1"/>
  <c r="M528" i="1"/>
  <c r="L528" i="1"/>
  <c r="F528" i="1"/>
  <c r="E528" i="1"/>
  <c r="D528" i="1"/>
  <c r="C528" i="1"/>
  <c r="B528" i="1"/>
  <c r="AG527" i="1"/>
  <c r="AF527" i="1"/>
  <c r="V527" i="1"/>
  <c r="M527" i="1"/>
  <c r="L527" i="1"/>
  <c r="D527" i="1"/>
  <c r="C527" i="1"/>
  <c r="B527" i="1"/>
  <c r="AF526" i="1"/>
  <c r="X526" i="1"/>
  <c r="W526" i="1"/>
  <c r="V526" i="1"/>
  <c r="O526" i="1"/>
  <c r="N526" i="1"/>
  <c r="M526" i="1"/>
  <c r="L526" i="1"/>
  <c r="C526" i="1"/>
  <c r="B526" i="1"/>
  <c r="AG525" i="1"/>
  <c r="AF525" i="1"/>
  <c r="AA525" i="1"/>
  <c r="Z525" i="1"/>
  <c r="Y525" i="1"/>
  <c r="X525" i="1"/>
  <c r="W525" i="1"/>
  <c r="V525" i="1"/>
  <c r="M525" i="1"/>
  <c r="L525" i="1"/>
  <c r="E525" i="1"/>
  <c r="D525" i="1"/>
  <c r="C525" i="1"/>
  <c r="B525" i="1"/>
  <c r="AG524" i="1"/>
  <c r="AF524" i="1"/>
  <c r="W524" i="1"/>
  <c r="V524" i="1"/>
  <c r="R524" i="1"/>
  <c r="Q524" i="1"/>
  <c r="P524" i="1"/>
  <c r="O524" i="1"/>
  <c r="N524" i="1"/>
  <c r="M524" i="1"/>
  <c r="L524" i="1"/>
  <c r="E524" i="1"/>
  <c r="D524" i="1"/>
  <c r="C524" i="1"/>
  <c r="B524" i="1"/>
  <c r="AF523" i="1"/>
  <c r="W523" i="1"/>
  <c r="V523" i="1"/>
  <c r="M523" i="1"/>
  <c r="L523" i="1"/>
  <c r="C523" i="1"/>
  <c r="B523" i="1"/>
  <c r="AF522" i="1"/>
  <c r="Y522" i="1"/>
  <c r="X522" i="1"/>
  <c r="W522" i="1"/>
  <c r="V522" i="1"/>
  <c r="P522" i="1"/>
  <c r="O522" i="1"/>
  <c r="N522" i="1"/>
  <c r="M522" i="1"/>
  <c r="L522" i="1"/>
  <c r="C522" i="1"/>
  <c r="B522" i="1"/>
  <c r="AG521" i="1"/>
  <c r="AF521" i="1"/>
  <c r="W521" i="1"/>
  <c r="V521" i="1"/>
  <c r="N521" i="1"/>
  <c r="M521" i="1"/>
  <c r="L521" i="1"/>
  <c r="F521" i="1"/>
  <c r="E521" i="1"/>
  <c r="D521" i="1"/>
  <c r="C521" i="1"/>
  <c r="B521" i="1"/>
  <c r="AG520" i="1"/>
  <c r="AF520" i="1"/>
  <c r="V520" i="1"/>
  <c r="N520" i="1"/>
  <c r="M520" i="1"/>
  <c r="L520" i="1"/>
  <c r="B520" i="1"/>
  <c r="AF519" i="1"/>
  <c r="W519" i="1"/>
  <c r="V519" i="1"/>
  <c r="N519" i="1"/>
  <c r="M519" i="1"/>
  <c r="L519" i="1"/>
  <c r="C519" i="1"/>
  <c r="B519" i="1"/>
  <c r="AF518" i="1"/>
  <c r="X518" i="1"/>
  <c r="W518" i="1"/>
  <c r="V518" i="1"/>
  <c r="O518" i="1"/>
  <c r="N518" i="1"/>
  <c r="M518" i="1"/>
  <c r="L518" i="1"/>
  <c r="E518" i="1"/>
  <c r="D518" i="1"/>
  <c r="C518" i="1"/>
  <c r="B518" i="1"/>
  <c r="AF517" i="1"/>
  <c r="W517" i="1"/>
  <c r="V517" i="1"/>
  <c r="O517" i="1"/>
  <c r="N517" i="1"/>
  <c r="M517" i="1"/>
  <c r="L517" i="1"/>
  <c r="F517" i="1"/>
  <c r="E517" i="1"/>
  <c r="D517" i="1"/>
  <c r="C517" i="1"/>
  <c r="B517" i="1"/>
  <c r="AG516" i="1"/>
  <c r="AF516" i="1"/>
  <c r="N516" i="1"/>
  <c r="M516" i="1"/>
  <c r="L516" i="1"/>
  <c r="B516" i="1"/>
  <c r="AF515" i="1"/>
  <c r="W515" i="1"/>
  <c r="V515" i="1"/>
  <c r="N515" i="1"/>
  <c r="M515" i="1"/>
  <c r="L515" i="1"/>
  <c r="J515" i="1"/>
  <c r="H515" i="1"/>
  <c r="G515" i="1"/>
  <c r="F515" i="1"/>
  <c r="E515" i="1"/>
  <c r="D515" i="1"/>
  <c r="C515" i="1"/>
  <c r="B515" i="1"/>
  <c r="AG514" i="1"/>
  <c r="AF514" i="1"/>
  <c r="N514" i="1"/>
  <c r="M514" i="1"/>
  <c r="L514" i="1"/>
  <c r="F514" i="1"/>
  <c r="E514" i="1"/>
  <c r="D514" i="1"/>
  <c r="C514" i="1"/>
  <c r="B514" i="1"/>
  <c r="AF513" i="1"/>
  <c r="W513" i="1"/>
  <c r="V513" i="1"/>
  <c r="L513" i="1"/>
  <c r="H513" i="1"/>
  <c r="G513" i="1"/>
  <c r="F513" i="1"/>
  <c r="E513" i="1"/>
  <c r="D513" i="1"/>
  <c r="C513" i="1"/>
  <c r="B513" i="1"/>
  <c r="AG512" i="1"/>
  <c r="AF512" i="1"/>
  <c r="V512" i="1"/>
  <c r="P512" i="1"/>
  <c r="O512" i="1"/>
  <c r="N512" i="1"/>
  <c r="M512" i="1"/>
  <c r="L512" i="1"/>
  <c r="D512" i="1"/>
  <c r="C512" i="1"/>
  <c r="B512" i="1"/>
  <c r="W511" i="1"/>
  <c r="V511" i="1"/>
  <c r="N511" i="1"/>
  <c r="M511" i="1"/>
  <c r="L511" i="1"/>
  <c r="E511" i="1"/>
  <c r="D511" i="1"/>
  <c r="C511" i="1"/>
  <c r="B511" i="1"/>
  <c r="AF510" i="1"/>
  <c r="W510" i="1"/>
  <c r="V510" i="1"/>
  <c r="P510" i="1"/>
  <c r="O510" i="1"/>
  <c r="N510" i="1"/>
  <c r="M510" i="1"/>
  <c r="L510" i="1"/>
  <c r="D510" i="1"/>
  <c r="C510" i="1"/>
  <c r="B510" i="1"/>
  <c r="AF509" i="1"/>
  <c r="W509" i="1"/>
  <c r="V509" i="1"/>
  <c r="M509" i="1"/>
  <c r="L509" i="1"/>
  <c r="E509" i="1"/>
  <c r="D509" i="1"/>
  <c r="C509" i="1"/>
  <c r="B509" i="1"/>
  <c r="AF508" i="1"/>
  <c r="V508" i="1"/>
  <c r="N508" i="1"/>
  <c r="M508" i="1"/>
  <c r="L508" i="1"/>
  <c r="D508" i="1"/>
  <c r="C508" i="1"/>
  <c r="B508" i="1"/>
  <c r="AG507" i="1"/>
  <c r="AF507" i="1"/>
  <c r="Y507" i="1"/>
  <c r="X507" i="1"/>
  <c r="W507" i="1"/>
  <c r="V507" i="1"/>
  <c r="M507" i="1"/>
  <c r="L507" i="1"/>
  <c r="E507" i="1"/>
  <c r="D507" i="1"/>
  <c r="C507" i="1"/>
  <c r="B507" i="1"/>
  <c r="W506" i="1"/>
  <c r="V506" i="1"/>
  <c r="N506" i="1"/>
  <c r="M506" i="1"/>
  <c r="L506" i="1"/>
  <c r="C506" i="1"/>
  <c r="B506" i="1"/>
  <c r="AF505" i="1"/>
  <c r="V505" i="1"/>
  <c r="M505" i="1"/>
  <c r="L505" i="1"/>
  <c r="C505" i="1"/>
  <c r="B505" i="1"/>
  <c r="W504" i="1"/>
  <c r="V504" i="1"/>
  <c r="N504" i="1"/>
  <c r="M504" i="1"/>
  <c r="L504" i="1"/>
  <c r="E504" i="1"/>
  <c r="D504" i="1"/>
  <c r="C504" i="1"/>
  <c r="B504" i="1"/>
  <c r="AF503" i="1"/>
  <c r="P503" i="1"/>
  <c r="O503" i="1"/>
  <c r="N503" i="1"/>
  <c r="M503" i="1"/>
  <c r="L503" i="1"/>
  <c r="B503" i="1"/>
  <c r="AG502" i="1"/>
  <c r="AF502" i="1"/>
  <c r="W502" i="1"/>
  <c r="V502" i="1"/>
  <c r="Q502" i="1"/>
  <c r="P502" i="1"/>
  <c r="O502" i="1"/>
  <c r="N502" i="1"/>
  <c r="M502" i="1"/>
  <c r="L502" i="1"/>
  <c r="C502" i="1"/>
  <c r="B502" i="1"/>
  <c r="AF501" i="1"/>
  <c r="V501" i="1"/>
  <c r="O501" i="1"/>
  <c r="N501" i="1"/>
  <c r="M501" i="1"/>
  <c r="L501" i="1"/>
  <c r="C501" i="1"/>
  <c r="B501" i="1"/>
  <c r="AG500" i="1"/>
  <c r="AF500" i="1"/>
  <c r="V500" i="1"/>
  <c r="N500" i="1"/>
  <c r="M500" i="1"/>
  <c r="L500" i="1"/>
  <c r="C500" i="1"/>
  <c r="B500" i="1"/>
  <c r="AF499" i="1"/>
  <c r="V499" i="1"/>
  <c r="Q499" i="1"/>
  <c r="P499" i="1"/>
  <c r="O499" i="1"/>
  <c r="N499" i="1"/>
  <c r="M499" i="1"/>
  <c r="L499" i="1"/>
  <c r="G499" i="1"/>
  <c r="F499" i="1"/>
  <c r="E499" i="1"/>
  <c r="D499" i="1"/>
  <c r="C499" i="1"/>
  <c r="B499" i="1"/>
  <c r="AH498" i="1"/>
  <c r="Y498" i="1"/>
  <c r="X498" i="1"/>
  <c r="W498" i="1"/>
  <c r="V498" i="1"/>
  <c r="N498" i="1"/>
  <c r="M498" i="1"/>
  <c r="L498" i="1"/>
  <c r="C498" i="1"/>
  <c r="B498" i="1"/>
  <c r="AG497" i="1"/>
  <c r="AF497" i="1"/>
  <c r="V497" i="1"/>
  <c r="O497" i="1"/>
  <c r="N497" i="1"/>
  <c r="M497" i="1"/>
  <c r="L497" i="1"/>
  <c r="I497" i="1"/>
  <c r="H497" i="1"/>
  <c r="G497" i="1"/>
  <c r="F497" i="1"/>
  <c r="E497" i="1"/>
  <c r="D497" i="1"/>
  <c r="C497" i="1"/>
  <c r="B497" i="1"/>
  <c r="AF496" i="1"/>
  <c r="W496" i="1"/>
  <c r="V496" i="1"/>
  <c r="O496" i="1"/>
  <c r="N496" i="1"/>
  <c r="M496" i="1"/>
  <c r="L496" i="1"/>
  <c r="C496" i="1"/>
  <c r="B496" i="1"/>
  <c r="AG495" i="1"/>
  <c r="AF495" i="1"/>
  <c r="W495" i="1"/>
  <c r="V495" i="1"/>
  <c r="M495" i="1"/>
  <c r="L495" i="1"/>
  <c r="F495" i="1"/>
  <c r="E495" i="1"/>
  <c r="D495" i="1"/>
  <c r="C495" i="1"/>
  <c r="B495" i="1"/>
  <c r="AF494" i="1"/>
  <c r="W494" i="1"/>
  <c r="V494" i="1"/>
  <c r="Q494" i="1"/>
  <c r="P494" i="1"/>
  <c r="O494" i="1"/>
  <c r="N494" i="1"/>
  <c r="M494" i="1"/>
  <c r="L494" i="1"/>
  <c r="G494" i="1"/>
  <c r="F494" i="1"/>
  <c r="E494" i="1"/>
  <c r="D494" i="1"/>
  <c r="C494" i="1"/>
  <c r="B494" i="1"/>
  <c r="AG493" i="1"/>
  <c r="AF493" i="1"/>
  <c r="Z493" i="1"/>
  <c r="Y493" i="1"/>
  <c r="X493" i="1"/>
  <c r="W493" i="1"/>
  <c r="V493" i="1"/>
  <c r="M493" i="1"/>
  <c r="L493" i="1"/>
  <c r="D493" i="1"/>
  <c r="C493" i="1"/>
  <c r="B493" i="1"/>
  <c r="AG492" i="1"/>
  <c r="AF492" i="1"/>
  <c r="W492" i="1"/>
  <c r="V492" i="1"/>
  <c r="L492" i="1"/>
  <c r="I492" i="1"/>
  <c r="H492" i="1"/>
  <c r="G492" i="1"/>
  <c r="F492" i="1"/>
  <c r="E492" i="1"/>
  <c r="D492" i="1"/>
  <c r="C492" i="1"/>
  <c r="B492" i="1"/>
  <c r="AG491" i="1"/>
  <c r="AF491" i="1"/>
  <c r="X491" i="1"/>
  <c r="W491" i="1"/>
  <c r="V491" i="1"/>
  <c r="S491" i="1"/>
  <c r="R491" i="1"/>
  <c r="Q491" i="1"/>
  <c r="P491" i="1"/>
  <c r="O491" i="1"/>
  <c r="N491" i="1"/>
  <c r="M491" i="1"/>
  <c r="L491" i="1"/>
  <c r="E491" i="1"/>
  <c r="D491" i="1"/>
  <c r="C491" i="1"/>
  <c r="B491" i="1"/>
  <c r="AG490" i="1"/>
  <c r="AF490" i="1"/>
  <c r="W490" i="1"/>
  <c r="V490" i="1"/>
  <c r="N490" i="1"/>
  <c r="M490" i="1"/>
  <c r="L490" i="1"/>
  <c r="G490" i="1"/>
  <c r="F490" i="1"/>
  <c r="E490" i="1"/>
  <c r="D490" i="1"/>
  <c r="C490" i="1"/>
  <c r="B490" i="1"/>
  <c r="AF489" i="1"/>
  <c r="W489" i="1"/>
  <c r="V489" i="1"/>
  <c r="N489" i="1"/>
  <c r="M489" i="1"/>
  <c r="L489" i="1"/>
  <c r="E489" i="1"/>
  <c r="C489" i="1"/>
  <c r="B489" i="1"/>
  <c r="AF488" i="1"/>
  <c r="W488" i="1"/>
  <c r="V488" i="1"/>
  <c r="O488" i="1"/>
  <c r="M488" i="1"/>
  <c r="L488" i="1"/>
  <c r="I488" i="1"/>
  <c r="H488" i="1"/>
  <c r="G488" i="1"/>
  <c r="F488" i="1"/>
  <c r="E488" i="1"/>
  <c r="D488" i="1"/>
  <c r="C488" i="1"/>
  <c r="B488" i="1"/>
  <c r="AG487" i="1"/>
  <c r="AF487" i="1"/>
  <c r="W487" i="1"/>
  <c r="V487" i="1"/>
  <c r="O487" i="1"/>
  <c r="N487" i="1"/>
  <c r="M487" i="1"/>
  <c r="L487" i="1"/>
  <c r="E487" i="1"/>
  <c r="D487" i="1"/>
  <c r="C487" i="1"/>
  <c r="B487" i="1"/>
  <c r="AF486" i="1"/>
  <c r="AA486" i="1"/>
  <c r="Z486" i="1"/>
  <c r="Y486" i="1"/>
  <c r="X486" i="1"/>
  <c r="W486" i="1"/>
  <c r="V486" i="1"/>
  <c r="L486" i="1"/>
  <c r="E486" i="1"/>
  <c r="D486" i="1"/>
  <c r="C486" i="1"/>
  <c r="B486" i="1"/>
  <c r="AH485" i="1"/>
  <c r="AG485" i="1"/>
  <c r="AF485" i="1"/>
  <c r="AD485" i="1"/>
  <c r="AC485" i="1"/>
  <c r="AB485" i="1"/>
  <c r="AA485" i="1"/>
  <c r="Z485" i="1"/>
  <c r="Y485" i="1"/>
  <c r="X485" i="1"/>
  <c r="W485" i="1"/>
  <c r="V485" i="1"/>
  <c r="N485" i="1"/>
  <c r="M485" i="1"/>
  <c r="L485" i="1"/>
  <c r="C485" i="1"/>
  <c r="B485" i="1"/>
  <c r="AG484" i="1"/>
  <c r="AF484" i="1"/>
  <c r="V484" i="1"/>
  <c r="M484" i="1"/>
  <c r="L484" i="1"/>
  <c r="E484" i="1"/>
  <c r="D484" i="1"/>
  <c r="C484" i="1"/>
  <c r="B484" i="1"/>
  <c r="AH483" i="1"/>
  <c r="AG483" i="1"/>
  <c r="AF483" i="1"/>
  <c r="W483" i="1"/>
  <c r="V483" i="1"/>
  <c r="N483" i="1"/>
  <c r="M483" i="1"/>
  <c r="L483" i="1"/>
  <c r="D483" i="1"/>
  <c r="C483" i="1"/>
  <c r="B483" i="1"/>
  <c r="AG482" i="1"/>
  <c r="AF482" i="1"/>
  <c r="V482" i="1"/>
  <c r="M482" i="1"/>
  <c r="L482" i="1"/>
  <c r="B482" i="1"/>
  <c r="AG481" i="1"/>
  <c r="AF481" i="1"/>
  <c r="V481" i="1"/>
  <c r="M481" i="1"/>
  <c r="L481" i="1"/>
  <c r="D481" i="1"/>
  <c r="C481" i="1"/>
  <c r="B481" i="1"/>
  <c r="AF480" i="1"/>
  <c r="V480" i="1"/>
  <c r="Q480" i="1"/>
  <c r="P480" i="1"/>
  <c r="O480" i="1"/>
  <c r="N480" i="1"/>
  <c r="M480" i="1"/>
  <c r="L480" i="1"/>
  <c r="E480" i="1"/>
  <c r="D480" i="1"/>
  <c r="C480" i="1"/>
  <c r="B480" i="1"/>
  <c r="AG479" i="1"/>
  <c r="AF479" i="1"/>
  <c r="W479" i="1"/>
  <c r="V479" i="1"/>
  <c r="O479" i="1"/>
  <c r="M479" i="1"/>
  <c r="L479" i="1"/>
  <c r="E479" i="1"/>
  <c r="C479" i="1"/>
  <c r="B479" i="1"/>
  <c r="AG478" i="1"/>
  <c r="AF478" i="1"/>
  <c r="W478" i="1"/>
  <c r="V478" i="1"/>
  <c r="M478" i="1"/>
  <c r="L478" i="1"/>
  <c r="C478" i="1"/>
  <c r="B478" i="1"/>
  <c r="AG477" i="1"/>
  <c r="AF477" i="1"/>
  <c r="W477" i="1"/>
  <c r="V477" i="1"/>
  <c r="Q477" i="1"/>
  <c r="P477" i="1"/>
  <c r="O477" i="1"/>
  <c r="N477" i="1"/>
  <c r="M477" i="1"/>
  <c r="L477" i="1"/>
  <c r="I477" i="1"/>
  <c r="H477" i="1"/>
  <c r="G477" i="1"/>
  <c r="F477" i="1"/>
  <c r="E477" i="1"/>
  <c r="D477" i="1"/>
  <c r="C477" i="1"/>
  <c r="B477" i="1"/>
  <c r="AG476" i="1"/>
  <c r="AF476" i="1"/>
  <c r="V476" i="1"/>
  <c r="M476" i="1"/>
  <c r="L476" i="1"/>
  <c r="F476" i="1"/>
  <c r="E476" i="1"/>
  <c r="D476" i="1"/>
  <c r="C476" i="1"/>
  <c r="B476" i="1"/>
  <c r="AF475" i="1"/>
  <c r="X475" i="1"/>
  <c r="W475" i="1"/>
  <c r="V475" i="1"/>
  <c r="O475" i="1"/>
  <c r="N475" i="1"/>
  <c r="M475" i="1"/>
  <c r="L475" i="1"/>
  <c r="C475" i="1"/>
  <c r="B475" i="1"/>
  <c r="AG474" i="1"/>
  <c r="AF474" i="1"/>
  <c r="W474" i="1"/>
  <c r="V474" i="1"/>
  <c r="L474" i="1"/>
  <c r="G474" i="1"/>
  <c r="F474" i="1"/>
  <c r="E474" i="1"/>
  <c r="D474" i="1"/>
  <c r="C474" i="1"/>
  <c r="B474" i="1"/>
  <c r="AG473" i="1"/>
  <c r="AF473" i="1"/>
  <c r="V473" i="1"/>
  <c r="O473" i="1"/>
  <c r="N473" i="1"/>
  <c r="M473" i="1"/>
  <c r="L473" i="1"/>
  <c r="D473" i="1"/>
  <c r="C473" i="1"/>
  <c r="B473" i="1"/>
  <c r="AF472" i="1"/>
  <c r="V472" i="1"/>
  <c r="M472" i="1"/>
  <c r="L472" i="1"/>
  <c r="F472" i="1"/>
  <c r="E472" i="1"/>
  <c r="D472" i="1"/>
  <c r="C472" i="1"/>
  <c r="B472" i="1"/>
  <c r="AF471" i="1"/>
  <c r="W471" i="1"/>
  <c r="V471" i="1"/>
  <c r="P471" i="1"/>
  <c r="O471" i="1"/>
  <c r="N471" i="1"/>
  <c r="M471" i="1"/>
  <c r="L471" i="1"/>
  <c r="C471" i="1"/>
  <c r="B471" i="1"/>
  <c r="AG470" i="1"/>
  <c r="AF470" i="1"/>
  <c r="V470" i="1"/>
  <c r="M470" i="1"/>
  <c r="L470" i="1"/>
  <c r="C470" i="1"/>
  <c r="B470" i="1"/>
  <c r="AG469" i="1"/>
  <c r="AF469" i="1"/>
  <c r="X469" i="1"/>
  <c r="W469" i="1"/>
  <c r="V469" i="1"/>
  <c r="O469" i="1"/>
  <c r="N469" i="1"/>
  <c r="M469" i="1"/>
  <c r="L469" i="1"/>
  <c r="C469" i="1"/>
  <c r="B469" i="1"/>
  <c r="AG468" i="1"/>
  <c r="AF468" i="1"/>
  <c r="W468" i="1"/>
  <c r="V468" i="1"/>
  <c r="N468" i="1"/>
  <c r="M468" i="1"/>
  <c r="L468" i="1"/>
  <c r="C468" i="1"/>
  <c r="B468" i="1"/>
  <c r="AF467" i="1"/>
  <c r="V467" i="1"/>
  <c r="O467" i="1"/>
  <c r="N467" i="1"/>
  <c r="M467" i="1"/>
  <c r="L467" i="1"/>
  <c r="C467" i="1"/>
  <c r="B467" i="1"/>
  <c r="AG466" i="1"/>
  <c r="AF466" i="1"/>
  <c r="X466" i="1"/>
  <c r="W466" i="1"/>
  <c r="V466" i="1"/>
  <c r="M466" i="1"/>
  <c r="L466" i="1"/>
  <c r="F466" i="1"/>
  <c r="E466" i="1"/>
  <c r="D466" i="1"/>
  <c r="C466" i="1"/>
  <c r="B466" i="1"/>
  <c r="AF465" i="1"/>
  <c r="R465" i="1"/>
  <c r="Q465" i="1"/>
  <c r="P465" i="1"/>
  <c r="O465" i="1"/>
  <c r="N465" i="1"/>
  <c r="M465" i="1"/>
  <c r="L465" i="1"/>
  <c r="C465" i="1"/>
  <c r="B465" i="1"/>
  <c r="AG464" i="1"/>
  <c r="AF464" i="1"/>
  <c r="W464" i="1"/>
  <c r="V464" i="1"/>
  <c r="M464" i="1"/>
  <c r="L464" i="1"/>
  <c r="G464" i="1"/>
  <c r="F464" i="1"/>
  <c r="E464" i="1"/>
  <c r="D464" i="1"/>
  <c r="C464" i="1"/>
  <c r="B464" i="1"/>
  <c r="AH463" i="1"/>
  <c r="AG463" i="1"/>
  <c r="AF463" i="1"/>
  <c r="N463" i="1"/>
  <c r="M463" i="1"/>
  <c r="L463" i="1"/>
  <c r="E463" i="1"/>
  <c r="D463" i="1"/>
  <c r="C463" i="1"/>
  <c r="B463" i="1"/>
  <c r="AH462" i="1"/>
  <c r="AG462" i="1"/>
  <c r="AF462" i="1"/>
  <c r="AA462" i="1"/>
  <c r="Z462" i="1"/>
  <c r="Y462" i="1"/>
  <c r="X462" i="1"/>
  <c r="W462" i="1"/>
  <c r="V462" i="1"/>
  <c r="P462" i="1"/>
  <c r="O462" i="1"/>
  <c r="N462" i="1"/>
  <c r="M462" i="1"/>
  <c r="L462" i="1"/>
  <c r="E462" i="1"/>
  <c r="D462" i="1"/>
  <c r="C462" i="1"/>
  <c r="B462" i="1"/>
  <c r="AG461" i="1"/>
  <c r="AF461" i="1"/>
  <c r="V461" i="1"/>
  <c r="Q461" i="1"/>
  <c r="P461" i="1"/>
  <c r="O461" i="1"/>
  <c r="N461" i="1"/>
  <c r="M461" i="1"/>
  <c r="L461" i="1"/>
  <c r="C461" i="1"/>
  <c r="B461" i="1"/>
  <c r="AG460" i="1"/>
  <c r="AF460" i="1"/>
  <c r="V460" i="1"/>
  <c r="M460" i="1"/>
  <c r="L460" i="1"/>
  <c r="G460" i="1"/>
  <c r="F460" i="1"/>
  <c r="E460" i="1"/>
  <c r="D460" i="1"/>
  <c r="C460" i="1"/>
  <c r="B460" i="1"/>
  <c r="AG459" i="1"/>
  <c r="AF459" i="1"/>
  <c r="W459" i="1"/>
  <c r="V459" i="1"/>
  <c r="P459" i="1"/>
  <c r="O459" i="1"/>
  <c r="N459" i="1"/>
  <c r="M459" i="1"/>
  <c r="L459" i="1"/>
  <c r="C459" i="1"/>
  <c r="B459" i="1"/>
  <c r="AG458" i="1"/>
  <c r="AF458" i="1"/>
  <c r="X458" i="1"/>
  <c r="W458" i="1"/>
  <c r="V458" i="1"/>
  <c r="M458" i="1"/>
  <c r="L458" i="1"/>
  <c r="E458" i="1"/>
  <c r="D458" i="1"/>
  <c r="C458" i="1"/>
  <c r="B458" i="1"/>
  <c r="AF457" i="1"/>
  <c r="W457" i="1"/>
  <c r="V457" i="1"/>
  <c r="N457" i="1"/>
  <c r="M457" i="1"/>
  <c r="L457" i="1"/>
  <c r="D457" i="1"/>
  <c r="C457" i="1"/>
  <c r="B457" i="1"/>
  <c r="AF456" i="1"/>
  <c r="W456" i="1"/>
  <c r="V456" i="1"/>
  <c r="P456" i="1"/>
  <c r="O456" i="1"/>
  <c r="N456" i="1"/>
  <c r="M456" i="1"/>
  <c r="L456" i="1"/>
  <c r="C456" i="1"/>
  <c r="B456" i="1"/>
  <c r="AG455" i="1"/>
  <c r="AF455" i="1"/>
  <c r="W455" i="1"/>
  <c r="V455" i="1"/>
  <c r="O455" i="1"/>
  <c r="N455" i="1"/>
  <c r="M455" i="1"/>
  <c r="L455" i="1"/>
  <c r="D455" i="1"/>
  <c r="C455" i="1"/>
  <c r="B455" i="1"/>
  <c r="AH454" i="1"/>
  <c r="AG454" i="1"/>
  <c r="AF454" i="1"/>
  <c r="Y454" i="1"/>
  <c r="X454" i="1"/>
  <c r="W454" i="1"/>
  <c r="V454" i="1"/>
  <c r="M454" i="1"/>
  <c r="F454" i="1"/>
  <c r="E454" i="1"/>
  <c r="D454" i="1"/>
  <c r="C454" i="1"/>
  <c r="B454" i="1"/>
  <c r="X453" i="1"/>
  <c r="W453" i="1"/>
  <c r="V453" i="1"/>
  <c r="O453" i="1"/>
  <c r="N453" i="1"/>
  <c r="M453" i="1"/>
  <c r="L453" i="1"/>
  <c r="B453" i="1"/>
  <c r="AH452" i="1"/>
  <c r="AG452" i="1"/>
  <c r="AF452" i="1"/>
  <c r="Y452" i="1"/>
  <c r="X452" i="1"/>
  <c r="W452" i="1"/>
  <c r="V452" i="1"/>
  <c r="P452" i="1"/>
  <c r="O452" i="1"/>
  <c r="N452" i="1"/>
  <c r="M452" i="1"/>
  <c r="L452" i="1"/>
  <c r="G452" i="1"/>
  <c r="F452" i="1"/>
  <c r="E452" i="1"/>
  <c r="D452" i="1"/>
  <c r="C452" i="1"/>
  <c r="B452" i="1"/>
  <c r="W451" i="1"/>
  <c r="V451" i="1"/>
  <c r="N451" i="1"/>
  <c r="M451" i="1"/>
  <c r="L451" i="1"/>
  <c r="D451" i="1"/>
  <c r="C451" i="1"/>
  <c r="B451" i="1"/>
  <c r="AG450" i="1"/>
  <c r="AF450" i="1"/>
  <c r="W450" i="1"/>
  <c r="V450" i="1"/>
  <c r="M450" i="1"/>
  <c r="L450" i="1"/>
  <c r="F450" i="1"/>
  <c r="E450" i="1"/>
  <c r="D450" i="1"/>
  <c r="C450" i="1"/>
  <c r="B450" i="1"/>
  <c r="AG449" i="1"/>
  <c r="AF449" i="1"/>
  <c r="W449" i="1"/>
  <c r="V449" i="1"/>
  <c r="O449" i="1"/>
  <c r="N449" i="1"/>
  <c r="M449" i="1"/>
  <c r="L449" i="1"/>
  <c r="D449" i="1"/>
  <c r="C449" i="1"/>
  <c r="B449" i="1"/>
  <c r="AG448" i="1"/>
  <c r="AF448" i="1"/>
  <c r="W448" i="1"/>
  <c r="V448" i="1"/>
  <c r="N448" i="1"/>
  <c r="M448" i="1"/>
  <c r="L448" i="1"/>
  <c r="F448" i="1"/>
  <c r="E448" i="1"/>
  <c r="D448" i="1"/>
  <c r="C448" i="1"/>
  <c r="B448" i="1"/>
  <c r="AG447" i="1"/>
  <c r="AF447" i="1"/>
  <c r="W447" i="1"/>
  <c r="V447" i="1"/>
  <c r="P447" i="1"/>
  <c r="O447" i="1"/>
  <c r="N447" i="1"/>
  <c r="M447" i="1"/>
  <c r="L447" i="1"/>
  <c r="C447" i="1"/>
  <c r="B447" i="1"/>
  <c r="AF446" i="1"/>
  <c r="W446" i="1"/>
  <c r="V446" i="1"/>
  <c r="P446" i="1"/>
  <c r="O446" i="1"/>
  <c r="N446" i="1"/>
  <c r="M446" i="1"/>
  <c r="L446" i="1"/>
  <c r="E446" i="1"/>
  <c r="D446" i="1"/>
  <c r="C446" i="1"/>
  <c r="B446" i="1"/>
  <c r="AG445" i="1"/>
  <c r="AF445" i="1"/>
  <c r="W445" i="1"/>
  <c r="V445" i="1"/>
  <c r="N445" i="1"/>
  <c r="M445" i="1"/>
  <c r="L445" i="1"/>
  <c r="G445" i="1"/>
  <c r="F445" i="1"/>
  <c r="E445" i="1"/>
  <c r="D445" i="1"/>
  <c r="C445" i="1"/>
  <c r="B445" i="1"/>
  <c r="AF444" i="1"/>
  <c r="Y444" i="1"/>
  <c r="X444" i="1"/>
  <c r="W444" i="1"/>
  <c r="V444" i="1"/>
  <c r="P444" i="1"/>
  <c r="O444" i="1"/>
  <c r="N444" i="1"/>
  <c r="M444" i="1"/>
  <c r="L444" i="1"/>
  <c r="E444" i="1"/>
  <c r="D444" i="1"/>
  <c r="C444" i="1"/>
  <c r="B444" i="1"/>
  <c r="AF443" i="1"/>
  <c r="W443" i="1"/>
  <c r="V443" i="1"/>
  <c r="P443" i="1"/>
  <c r="O443" i="1"/>
  <c r="N443" i="1"/>
  <c r="M443" i="1"/>
  <c r="L443" i="1"/>
  <c r="C443" i="1"/>
  <c r="B443" i="1"/>
  <c r="AH442" i="1"/>
  <c r="AG442" i="1"/>
  <c r="AF442" i="1"/>
  <c r="V442" i="1"/>
  <c r="O442" i="1"/>
  <c r="N442" i="1"/>
  <c r="M442" i="1"/>
  <c r="L442" i="1"/>
  <c r="G442" i="1"/>
  <c r="F442" i="1"/>
  <c r="E442" i="1"/>
  <c r="D442" i="1"/>
  <c r="C442" i="1"/>
  <c r="B442" i="1"/>
  <c r="AG441" i="1"/>
  <c r="AF441" i="1"/>
  <c r="X441" i="1"/>
  <c r="W441" i="1"/>
  <c r="V441" i="1"/>
  <c r="P441" i="1"/>
  <c r="O441" i="1"/>
  <c r="N441" i="1"/>
  <c r="M441" i="1"/>
  <c r="L441" i="1"/>
  <c r="G441" i="1"/>
  <c r="F441" i="1"/>
  <c r="E441" i="1"/>
  <c r="D441" i="1"/>
  <c r="C441" i="1"/>
  <c r="B441" i="1"/>
  <c r="AG440" i="1"/>
  <c r="AF440" i="1"/>
  <c r="W440" i="1"/>
  <c r="V440" i="1"/>
  <c r="M440" i="1"/>
  <c r="L440" i="1"/>
  <c r="F440" i="1"/>
  <c r="E440" i="1"/>
  <c r="D440" i="1"/>
  <c r="C440" i="1"/>
  <c r="B440" i="1"/>
  <c r="AG439" i="1"/>
  <c r="AF439" i="1"/>
  <c r="X439" i="1"/>
  <c r="V439" i="1"/>
  <c r="M439" i="1"/>
  <c r="L439" i="1"/>
  <c r="E439" i="1"/>
  <c r="D439" i="1"/>
  <c r="C439" i="1"/>
  <c r="B439" i="1"/>
  <c r="AF438" i="1"/>
  <c r="W438" i="1"/>
  <c r="V438" i="1"/>
  <c r="N438" i="1"/>
  <c r="M438" i="1"/>
  <c r="L438" i="1"/>
  <c r="B438" i="1"/>
  <c r="AG437" i="1"/>
  <c r="AF437" i="1"/>
  <c r="V437" i="1"/>
  <c r="M437" i="1"/>
  <c r="L437" i="1"/>
  <c r="E437" i="1"/>
  <c r="D437" i="1"/>
  <c r="C437" i="1"/>
  <c r="B437" i="1"/>
  <c r="AF436" i="1"/>
  <c r="W436" i="1"/>
  <c r="V436" i="1"/>
  <c r="O436" i="1"/>
  <c r="N436" i="1"/>
  <c r="M436" i="1"/>
  <c r="L436" i="1"/>
  <c r="C436" i="1"/>
  <c r="B436" i="1"/>
  <c r="AG435" i="1"/>
  <c r="AF435" i="1"/>
  <c r="W435" i="1"/>
  <c r="V435" i="1"/>
  <c r="N435" i="1"/>
  <c r="M435" i="1"/>
  <c r="L435" i="1"/>
  <c r="J435" i="1"/>
  <c r="I435" i="1"/>
  <c r="H435" i="1"/>
  <c r="G435" i="1"/>
  <c r="F435" i="1"/>
  <c r="E435" i="1"/>
  <c r="D435" i="1"/>
  <c r="C435" i="1"/>
  <c r="B435" i="1"/>
  <c r="AG434" i="1"/>
  <c r="AF434" i="1"/>
  <c r="W434" i="1"/>
  <c r="V434" i="1"/>
  <c r="P434" i="1"/>
  <c r="O434" i="1"/>
  <c r="N434" i="1"/>
  <c r="M434" i="1"/>
  <c r="L434" i="1"/>
  <c r="B434" i="1"/>
  <c r="AF433" i="1"/>
  <c r="V433" i="1"/>
  <c r="O433" i="1"/>
  <c r="N433" i="1"/>
  <c r="M433" i="1"/>
  <c r="L433" i="1"/>
  <c r="C433" i="1"/>
  <c r="B433" i="1"/>
  <c r="AG432" i="1"/>
  <c r="AF432" i="1"/>
  <c r="V432" i="1"/>
  <c r="P432" i="1"/>
  <c r="O432" i="1"/>
  <c r="N432" i="1"/>
  <c r="M432" i="1"/>
  <c r="L432" i="1"/>
  <c r="C432" i="1"/>
  <c r="B432" i="1"/>
  <c r="AG431" i="1"/>
  <c r="AF431" i="1"/>
  <c r="W431" i="1"/>
  <c r="V431" i="1"/>
  <c r="M431" i="1"/>
  <c r="L431" i="1"/>
  <c r="G431" i="1"/>
  <c r="F431" i="1"/>
  <c r="E431" i="1"/>
  <c r="D431" i="1"/>
  <c r="C431" i="1"/>
  <c r="B431" i="1"/>
  <c r="AG430" i="1"/>
  <c r="AF430" i="1"/>
  <c r="AA430" i="1"/>
  <c r="Z430" i="1"/>
  <c r="Y430" i="1"/>
  <c r="X430" i="1"/>
  <c r="W430" i="1"/>
  <c r="V430" i="1"/>
  <c r="M430" i="1"/>
  <c r="L430" i="1"/>
  <c r="C430" i="1"/>
  <c r="B430" i="1"/>
  <c r="AF429" i="1"/>
  <c r="W429" i="1"/>
  <c r="V429" i="1"/>
  <c r="N429" i="1"/>
  <c r="M429" i="1"/>
  <c r="L429" i="1"/>
  <c r="G429" i="1"/>
  <c r="F429" i="1"/>
  <c r="E429" i="1"/>
  <c r="D429" i="1"/>
  <c r="C429" i="1"/>
  <c r="B429" i="1"/>
  <c r="AF428" i="1"/>
  <c r="V428" i="1"/>
  <c r="P428" i="1"/>
  <c r="O428" i="1"/>
  <c r="N428" i="1"/>
  <c r="M428" i="1"/>
  <c r="L428" i="1"/>
  <c r="E428" i="1"/>
  <c r="D428" i="1"/>
  <c r="C428" i="1"/>
  <c r="B428" i="1"/>
  <c r="AG427" i="1"/>
  <c r="AF427" i="1"/>
  <c r="V427" i="1"/>
  <c r="L427" i="1"/>
  <c r="F427" i="1"/>
  <c r="E427" i="1"/>
  <c r="D427" i="1"/>
  <c r="C427" i="1"/>
  <c r="B427" i="1"/>
  <c r="AH426" i="1"/>
  <c r="AG426" i="1"/>
  <c r="AF426" i="1"/>
  <c r="X426" i="1"/>
  <c r="W426" i="1"/>
  <c r="V426" i="1"/>
  <c r="M426" i="1"/>
  <c r="L426" i="1"/>
  <c r="E426" i="1"/>
  <c r="D426" i="1"/>
  <c r="C426" i="1"/>
  <c r="B426" i="1"/>
  <c r="M425" i="1"/>
  <c r="L425" i="1"/>
  <c r="E425" i="1"/>
  <c r="D425" i="1"/>
  <c r="C425" i="1"/>
  <c r="B425" i="1"/>
  <c r="AF424" i="1"/>
  <c r="X424" i="1"/>
  <c r="W424" i="1"/>
  <c r="V424" i="1"/>
  <c r="Q424" i="1"/>
  <c r="P424" i="1"/>
  <c r="O424" i="1"/>
  <c r="N424" i="1"/>
  <c r="M424" i="1"/>
  <c r="L424" i="1"/>
  <c r="E424" i="1"/>
  <c r="D424" i="1"/>
  <c r="C424" i="1"/>
  <c r="B424" i="1"/>
  <c r="W423" i="1"/>
  <c r="V423" i="1"/>
  <c r="N423" i="1"/>
  <c r="M423" i="1"/>
  <c r="L423" i="1"/>
  <c r="F423" i="1"/>
  <c r="E423" i="1"/>
  <c r="D423" i="1"/>
  <c r="C423" i="1"/>
  <c r="B423" i="1"/>
  <c r="AG422" i="1"/>
  <c r="AF422" i="1"/>
  <c r="V422" i="1"/>
  <c r="M422" i="1"/>
  <c r="L422" i="1"/>
  <c r="D422" i="1"/>
  <c r="C422" i="1"/>
  <c r="B422" i="1"/>
  <c r="AF421" i="1"/>
  <c r="W421" i="1"/>
  <c r="V421" i="1"/>
  <c r="P421" i="1"/>
  <c r="O421" i="1"/>
  <c r="N421" i="1"/>
  <c r="M421" i="1"/>
  <c r="L421" i="1"/>
  <c r="C421" i="1"/>
  <c r="B421" i="1"/>
  <c r="AF420" i="1"/>
  <c r="Y420" i="1"/>
  <c r="W420" i="1"/>
  <c r="V420" i="1"/>
  <c r="M420" i="1"/>
  <c r="L420" i="1"/>
  <c r="D420" i="1"/>
  <c r="C420" i="1"/>
  <c r="B420" i="1"/>
  <c r="AG419" i="1"/>
  <c r="AF419" i="1"/>
  <c r="W419" i="1"/>
  <c r="V419" i="1"/>
  <c r="P419" i="1"/>
  <c r="O419" i="1"/>
  <c r="N419" i="1"/>
  <c r="M419" i="1"/>
  <c r="L419" i="1"/>
  <c r="D419" i="1"/>
  <c r="C419" i="1"/>
  <c r="B419" i="1"/>
  <c r="AG418" i="1"/>
  <c r="AF418" i="1"/>
  <c r="Z418" i="1"/>
  <c r="Y418" i="1"/>
  <c r="X418" i="1"/>
  <c r="W418" i="1"/>
  <c r="V418" i="1"/>
  <c r="N418" i="1"/>
  <c r="M418" i="1"/>
  <c r="L418" i="1"/>
  <c r="F418" i="1"/>
  <c r="E418" i="1"/>
  <c r="D418" i="1"/>
  <c r="C418" i="1"/>
  <c r="B418" i="1"/>
  <c r="AH417" i="1"/>
  <c r="AG417" i="1"/>
  <c r="AF417" i="1"/>
  <c r="V417" i="1"/>
  <c r="P417" i="1"/>
  <c r="O417" i="1"/>
  <c r="N417" i="1"/>
  <c r="M417" i="1"/>
  <c r="L417" i="1"/>
  <c r="B417" i="1"/>
  <c r="AF416" i="1"/>
  <c r="V416" i="1"/>
  <c r="N416" i="1"/>
  <c r="M416" i="1"/>
  <c r="L416" i="1"/>
  <c r="E416" i="1"/>
  <c r="D416" i="1"/>
  <c r="C416" i="1"/>
  <c r="B416" i="1"/>
  <c r="AG415" i="1"/>
  <c r="AF415" i="1"/>
  <c r="W415" i="1"/>
  <c r="V415" i="1"/>
  <c r="P415" i="1"/>
  <c r="O415" i="1"/>
  <c r="N415" i="1"/>
  <c r="M415" i="1"/>
  <c r="L415" i="1"/>
  <c r="C415" i="1"/>
  <c r="B415" i="1"/>
  <c r="AG414" i="1"/>
  <c r="AF414" i="1"/>
  <c r="W414" i="1"/>
  <c r="V414" i="1"/>
  <c r="P414" i="1"/>
  <c r="O414" i="1"/>
  <c r="N414" i="1"/>
  <c r="M414" i="1"/>
  <c r="L414" i="1"/>
  <c r="F414" i="1"/>
  <c r="E414" i="1"/>
  <c r="D414" i="1"/>
  <c r="C414" i="1"/>
  <c r="B414" i="1"/>
  <c r="AF413" i="1"/>
  <c r="Y413" i="1"/>
  <c r="X413" i="1"/>
  <c r="W413" i="1"/>
  <c r="V413" i="1"/>
  <c r="O413" i="1"/>
  <c r="N413" i="1"/>
  <c r="M413" i="1"/>
  <c r="L413" i="1"/>
  <c r="E413" i="1"/>
  <c r="D413" i="1"/>
  <c r="C413" i="1"/>
  <c r="B413" i="1"/>
  <c r="AF412" i="1"/>
  <c r="W412" i="1"/>
  <c r="V412" i="1"/>
  <c r="L412" i="1"/>
  <c r="F412" i="1"/>
  <c r="E412" i="1"/>
  <c r="D412" i="1"/>
  <c r="C412" i="1"/>
  <c r="B412" i="1"/>
  <c r="AG411" i="1"/>
  <c r="AF411" i="1"/>
  <c r="X411" i="1"/>
  <c r="W411" i="1"/>
  <c r="V411" i="1"/>
  <c r="O411" i="1"/>
  <c r="N411" i="1"/>
  <c r="M411" i="1"/>
  <c r="L411" i="1"/>
  <c r="B411" i="1"/>
  <c r="AG410" i="1"/>
  <c r="AF410" i="1"/>
  <c r="V410" i="1"/>
  <c r="P410" i="1"/>
  <c r="O410" i="1"/>
  <c r="N410" i="1"/>
  <c r="M410" i="1"/>
  <c r="L410" i="1"/>
  <c r="G410" i="1"/>
  <c r="E410" i="1"/>
  <c r="D410" i="1"/>
  <c r="C410" i="1"/>
  <c r="B410" i="1"/>
  <c r="AG409" i="1"/>
  <c r="AF409" i="1"/>
  <c r="Q409" i="1"/>
  <c r="P409" i="1"/>
  <c r="O409" i="1"/>
  <c r="N409" i="1"/>
  <c r="M409" i="1"/>
  <c r="L409" i="1"/>
  <c r="C409" i="1"/>
  <c r="B409" i="1"/>
  <c r="AF408" i="1"/>
  <c r="W408" i="1"/>
  <c r="V408" i="1"/>
  <c r="O408" i="1"/>
  <c r="N408" i="1"/>
  <c r="M408" i="1"/>
  <c r="L408" i="1"/>
  <c r="C408" i="1"/>
  <c r="B408" i="1"/>
  <c r="AG407" i="1"/>
  <c r="AF407" i="1"/>
  <c r="AA407" i="1"/>
  <c r="Z407" i="1"/>
  <c r="Y407" i="1"/>
  <c r="X407" i="1"/>
  <c r="W407" i="1"/>
  <c r="V407" i="1"/>
  <c r="S407" i="1"/>
  <c r="R407" i="1"/>
  <c r="Q407" i="1"/>
  <c r="P407" i="1"/>
  <c r="O407" i="1"/>
  <c r="N407" i="1"/>
  <c r="M407" i="1"/>
  <c r="L407" i="1"/>
  <c r="D407" i="1"/>
  <c r="C407" i="1"/>
  <c r="B407" i="1"/>
  <c r="AH406" i="1"/>
  <c r="AG406" i="1"/>
  <c r="AF406" i="1"/>
  <c r="V406" i="1"/>
  <c r="P406" i="1"/>
  <c r="O406" i="1"/>
  <c r="N406" i="1"/>
  <c r="M406" i="1"/>
  <c r="L406" i="1"/>
  <c r="B406" i="1"/>
  <c r="AG405" i="1"/>
  <c r="AF405" i="1"/>
  <c r="W405" i="1"/>
  <c r="V405" i="1"/>
  <c r="M405" i="1"/>
  <c r="L405" i="1"/>
  <c r="C405" i="1"/>
  <c r="B405" i="1"/>
  <c r="AG404" i="1"/>
  <c r="AF404" i="1"/>
  <c r="W404" i="1"/>
  <c r="V404" i="1"/>
  <c r="M404" i="1"/>
  <c r="L404" i="1"/>
  <c r="E404" i="1"/>
  <c r="D404" i="1"/>
  <c r="C404" i="1"/>
  <c r="B404" i="1"/>
  <c r="AF403" i="1"/>
  <c r="W403" i="1"/>
  <c r="V403" i="1"/>
  <c r="R403" i="1"/>
  <c r="Q403" i="1"/>
  <c r="P403" i="1"/>
  <c r="O403" i="1"/>
  <c r="N403" i="1"/>
  <c r="M403" i="1"/>
  <c r="L403" i="1"/>
  <c r="C403" i="1"/>
  <c r="B403" i="1"/>
  <c r="V402" i="1"/>
  <c r="L402" i="1"/>
  <c r="D402" i="1"/>
  <c r="C402" i="1"/>
  <c r="B402" i="1"/>
  <c r="AG401" i="1"/>
  <c r="AF401" i="1"/>
  <c r="W401" i="1"/>
  <c r="V401" i="1"/>
  <c r="P401" i="1"/>
  <c r="O401" i="1"/>
  <c r="N401" i="1"/>
  <c r="M401" i="1"/>
  <c r="L401" i="1"/>
  <c r="I401" i="1"/>
  <c r="H401" i="1"/>
  <c r="G401" i="1"/>
  <c r="F401" i="1"/>
  <c r="E401" i="1"/>
  <c r="D401" i="1"/>
  <c r="C401" i="1"/>
  <c r="B401" i="1"/>
  <c r="AH400" i="1"/>
  <c r="AG400" i="1"/>
  <c r="AF400" i="1"/>
  <c r="V400" i="1"/>
  <c r="P400" i="1"/>
  <c r="O400" i="1"/>
  <c r="N400" i="1"/>
  <c r="M400" i="1"/>
  <c r="L400" i="1"/>
  <c r="C400" i="1"/>
  <c r="B400" i="1"/>
  <c r="AF399" i="1"/>
  <c r="W399" i="1"/>
  <c r="V399" i="1"/>
  <c r="M399" i="1"/>
  <c r="L399" i="1"/>
  <c r="G399" i="1"/>
  <c r="F399" i="1"/>
  <c r="E399" i="1"/>
  <c r="D399" i="1"/>
  <c r="C399" i="1"/>
  <c r="B399" i="1"/>
  <c r="AF398" i="1"/>
  <c r="X398" i="1"/>
  <c r="W398" i="1"/>
  <c r="V398" i="1"/>
  <c r="P398" i="1"/>
  <c r="O398" i="1"/>
  <c r="N398" i="1"/>
  <c r="M398" i="1"/>
  <c r="L398" i="1"/>
  <c r="I398" i="1"/>
  <c r="G398" i="1"/>
  <c r="F398" i="1"/>
  <c r="E398" i="1"/>
  <c r="D398" i="1"/>
  <c r="C398" i="1"/>
  <c r="B398" i="1"/>
  <c r="AH397" i="1"/>
  <c r="AG397" i="1"/>
  <c r="AF397" i="1"/>
  <c r="W397" i="1"/>
  <c r="V397" i="1"/>
  <c r="M397" i="1"/>
  <c r="L397" i="1"/>
  <c r="F397" i="1"/>
  <c r="E397" i="1"/>
  <c r="D397" i="1"/>
  <c r="C397" i="1"/>
  <c r="B397" i="1"/>
  <c r="AG396" i="1"/>
  <c r="AF396" i="1"/>
  <c r="V396" i="1"/>
  <c r="O396" i="1"/>
  <c r="N396" i="1"/>
  <c r="M396" i="1"/>
  <c r="L396" i="1"/>
  <c r="D396" i="1"/>
  <c r="C396" i="1"/>
  <c r="B396" i="1"/>
  <c r="AG395" i="1"/>
  <c r="AF395" i="1"/>
  <c r="Y395" i="1"/>
  <c r="X395" i="1"/>
  <c r="W395" i="1"/>
  <c r="V395" i="1"/>
  <c r="N395" i="1"/>
  <c r="L395" i="1"/>
  <c r="G395" i="1"/>
  <c r="F395" i="1"/>
  <c r="E395" i="1"/>
  <c r="D395" i="1"/>
  <c r="C395" i="1"/>
  <c r="B395" i="1"/>
  <c r="AG394" i="1"/>
  <c r="AF394" i="1"/>
  <c r="X394" i="1"/>
  <c r="W394" i="1"/>
  <c r="V394" i="1"/>
  <c r="N394" i="1"/>
  <c r="M394" i="1"/>
  <c r="L394" i="1"/>
  <c r="E394" i="1"/>
  <c r="D394" i="1"/>
  <c r="C394" i="1"/>
  <c r="B394" i="1"/>
  <c r="AG393" i="1"/>
  <c r="AF393" i="1"/>
  <c r="V393" i="1"/>
  <c r="P393" i="1"/>
  <c r="O393" i="1"/>
  <c r="N393" i="1"/>
  <c r="M393" i="1"/>
  <c r="L393" i="1"/>
  <c r="B393" i="1"/>
  <c r="AG392" i="1"/>
  <c r="AF392" i="1"/>
  <c r="W392" i="1"/>
  <c r="V392" i="1"/>
  <c r="M392" i="1"/>
  <c r="L392" i="1"/>
  <c r="G392" i="1"/>
  <c r="F392" i="1"/>
  <c r="E392" i="1"/>
  <c r="D392" i="1"/>
  <c r="C392" i="1"/>
  <c r="B392" i="1"/>
  <c r="AH391" i="1"/>
  <c r="AG391" i="1"/>
  <c r="AF391" i="1"/>
  <c r="V391" i="1"/>
  <c r="P391" i="1"/>
  <c r="O391" i="1"/>
  <c r="N391" i="1"/>
  <c r="M391" i="1"/>
  <c r="L391" i="1"/>
  <c r="C391" i="1"/>
  <c r="B391" i="1"/>
  <c r="AG390" i="1"/>
  <c r="AF390" i="1"/>
  <c r="V390" i="1"/>
  <c r="N390" i="1"/>
  <c r="M390" i="1"/>
  <c r="L390" i="1"/>
  <c r="C390" i="1"/>
  <c r="B390" i="1"/>
  <c r="AG389" i="1"/>
  <c r="AF389" i="1"/>
  <c r="V389" i="1"/>
  <c r="Q389" i="1"/>
  <c r="P389" i="1"/>
  <c r="O389" i="1"/>
  <c r="N389" i="1"/>
  <c r="M389" i="1"/>
  <c r="L389" i="1"/>
  <c r="F389" i="1"/>
  <c r="E389" i="1"/>
  <c r="D389" i="1"/>
  <c r="C389" i="1"/>
  <c r="B389" i="1"/>
  <c r="AF388" i="1"/>
  <c r="X388" i="1"/>
  <c r="V388" i="1"/>
  <c r="P388" i="1"/>
  <c r="O388" i="1"/>
  <c r="N388" i="1"/>
  <c r="M388" i="1"/>
  <c r="L388" i="1"/>
  <c r="G388" i="1"/>
  <c r="F388" i="1"/>
  <c r="E388" i="1"/>
  <c r="D388" i="1"/>
  <c r="C388" i="1"/>
  <c r="B388" i="1"/>
  <c r="W387" i="1"/>
  <c r="V387" i="1"/>
  <c r="N387" i="1"/>
  <c r="M387" i="1"/>
  <c r="L387" i="1"/>
  <c r="C387" i="1"/>
  <c r="B387" i="1"/>
  <c r="AG386" i="1"/>
  <c r="AF386" i="1"/>
  <c r="W386" i="1"/>
  <c r="V386" i="1"/>
  <c r="N386" i="1"/>
  <c r="M386" i="1"/>
  <c r="L386" i="1"/>
  <c r="F386" i="1"/>
  <c r="E386" i="1"/>
  <c r="D386" i="1"/>
  <c r="C386" i="1"/>
  <c r="B386" i="1"/>
  <c r="AG385" i="1"/>
  <c r="AF385" i="1"/>
  <c r="Z385" i="1"/>
  <c r="Y385" i="1"/>
  <c r="X385" i="1"/>
  <c r="W385" i="1"/>
  <c r="V385" i="1"/>
  <c r="O385" i="1"/>
  <c r="N385" i="1"/>
  <c r="M385" i="1"/>
  <c r="L385" i="1"/>
  <c r="C385" i="1"/>
  <c r="B385" i="1"/>
  <c r="AG384" i="1"/>
  <c r="AF384" i="1"/>
  <c r="W384" i="1"/>
  <c r="V384" i="1"/>
  <c r="R384" i="1"/>
  <c r="Q384" i="1"/>
  <c r="P384" i="1"/>
  <c r="O384" i="1"/>
  <c r="N384" i="1"/>
  <c r="M384" i="1"/>
  <c r="L384" i="1"/>
  <c r="B384" i="1"/>
  <c r="AG383" i="1"/>
  <c r="AF383" i="1"/>
  <c r="W383" i="1"/>
  <c r="V383" i="1"/>
  <c r="M383" i="1"/>
  <c r="L383" i="1"/>
  <c r="G383" i="1"/>
  <c r="F383" i="1"/>
  <c r="E383" i="1"/>
  <c r="D383" i="1"/>
  <c r="C383" i="1"/>
  <c r="B383" i="1"/>
  <c r="AG382" i="1"/>
  <c r="AF382" i="1"/>
  <c r="V382" i="1"/>
  <c r="P382" i="1"/>
  <c r="O382" i="1"/>
  <c r="N382" i="1"/>
  <c r="M382" i="1"/>
  <c r="L382" i="1"/>
  <c r="C382" i="1"/>
  <c r="B382" i="1"/>
  <c r="AF381" i="1"/>
  <c r="Y381" i="1"/>
  <c r="X381" i="1"/>
  <c r="W381" i="1"/>
  <c r="V381" i="1"/>
  <c r="M381" i="1"/>
  <c r="L381" i="1"/>
  <c r="I381" i="1"/>
  <c r="H381" i="1"/>
  <c r="G381" i="1"/>
  <c r="F381" i="1"/>
  <c r="E381" i="1"/>
  <c r="D381" i="1"/>
  <c r="C381" i="1"/>
  <c r="B381" i="1"/>
  <c r="AG380" i="1"/>
  <c r="AF380" i="1"/>
  <c r="V380" i="1"/>
  <c r="P380" i="1"/>
  <c r="O380" i="1"/>
  <c r="N380" i="1"/>
  <c r="M380" i="1"/>
  <c r="L380" i="1"/>
  <c r="B380" i="1"/>
  <c r="AH379" i="1"/>
  <c r="AG379" i="1"/>
  <c r="AF379" i="1"/>
  <c r="AA379" i="1"/>
  <c r="Z379" i="1"/>
  <c r="Y379" i="1"/>
  <c r="X379" i="1"/>
  <c r="W379" i="1"/>
  <c r="V379" i="1"/>
  <c r="M379" i="1"/>
  <c r="L379" i="1"/>
  <c r="G379" i="1"/>
  <c r="F379" i="1"/>
  <c r="E379" i="1"/>
  <c r="D379" i="1"/>
  <c r="C379" i="1"/>
  <c r="B379" i="1"/>
  <c r="AG378" i="1"/>
  <c r="AF378" i="1"/>
  <c r="V378" i="1"/>
  <c r="M378" i="1"/>
  <c r="L378" i="1"/>
  <c r="F378" i="1"/>
  <c r="E378" i="1"/>
  <c r="D378" i="1"/>
  <c r="C378" i="1"/>
  <c r="B378" i="1"/>
  <c r="AG377" i="1"/>
  <c r="AF377" i="1"/>
  <c r="W377" i="1"/>
  <c r="V377" i="1"/>
  <c r="M377" i="1"/>
  <c r="L377" i="1"/>
  <c r="D377" i="1"/>
  <c r="C377" i="1"/>
  <c r="B377" i="1"/>
  <c r="AF376" i="1"/>
  <c r="W376" i="1"/>
  <c r="V376" i="1"/>
  <c r="N376" i="1"/>
  <c r="M376" i="1"/>
  <c r="L376" i="1"/>
  <c r="E376" i="1"/>
  <c r="D376" i="1"/>
  <c r="C376" i="1"/>
  <c r="B376" i="1"/>
  <c r="W375" i="1"/>
  <c r="V375" i="1"/>
  <c r="O375" i="1"/>
  <c r="N375" i="1"/>
  <c r="M375" i="1"/>
  <c r="L375" i="1"/>
  <c r="B375" i="1"/>
  <c r="AF374" i="1"/>
  <c r="W374" i="1"/>
  <c r="V374" i="1"/>
  <c r="N374" i="1"/>
  <c r="M374" i="1"/>
  <c r="L374" i="1"/>
  <c r="H374" i="1"/>
  <c r="G374" i="1"/>
  <c r="F374" i="1"/>
  <c r="E374" i="1"/>
  <c r="D374" i="1"/>
  <c r="C374" i="1"/>
  <c r="B374" i="1"/>
  <c r="AG373" i="1"/>
  <c r="AF373" i="1"/>
  <c r="W373" i="1"/>
  <c r="V373" i="1"/>
  <c r="Q373" i="1"/>
  <c r="P373" i="1"/>
  <c r="O373" i="1"/>
  <c r="N373" i="1"/>
  <c r="M373" i="1"/>
  <c r="L373" i="1"/>
  <c r="E373" i="1"/>
  <c r="D373" i="1"/>
  <c r="C373" i="1"/>
  <c r="B373" i="1"/>
  <c r="AH372" i="1"/>
  <c r="AG372" i="1"/>
  <c r="AF372" i="1"/>
  <c r="V372" i="1"/>
  <c r="M372" i="1"/>
  <c r="L372" i="1"/>
  <c r="F372" i="1"/>
  <c r="E372" i="1"/>
  <c r="D372" i="1"/>
  <c r="C372" i="1"/>
  <c r="B372" i="1"/>
  <c r="AF371" i="1"/>
  <c r="W371" i="1"/>
  <c r="V371" i="1"/>
  <c r="O371" i="1"/>
  <c r="N371" i="1"/>
  <c r="M371" i="1"/>
  <c r="L371" i="1"/>
  <c r="E371" i="1"/>
  <c r="D371" i="1"/>
  <c r="C371" i="1"/>
  <c r="B371" i="1"/>
  <c r="AG370" i="1"/>
  <c r="AF370" i="1"/>
  <c r="Y370" i="1"/>
  <c r="X370" i="1"/>
  <c r="W370" i="1"/>
  <c r="V370" i="1"/>
  <c r="O370" i="1"/>
  <c r="N370" i="1"/>
  <c r="M370" i="1"/>
  <c r="L370" i="1"/>
  <c r="E370" i="1"/>
  <c r="D370" i="1"/>
  <c r="C370" i="1"/>
  <c r="AF369" i="1"/>
  <c r="Z369" i="1"/>
  <c r="X369" i="1"/>
  <c r="W369" i="1"/>
  <c r="V369" i="1"/>
  <c r="P369" i="1"/>
  <c r="O369" i="1"/>
  <c r="N369" i="1"/>
  <c r="M369" i="1"/>
  <c r="L369" i="1"/>
  <c r="E369" i="1"/>
  <c r="D369" i="1"/>
  <c r="C369" i="1"/>
  <c r="B369" i="1"/>
  <c r="AH368" i="1"/>
  <c r="AG368" i="1"/>
  <c r="AF368" i="1"/>
  <c r="X368" i="1"/>
  <c r="W368" i="1"/>
  <c r="V368" i="1"/>
  <c r="O368" i="1"/>
  <c r="N368" i="1"/>
  <c r="M368" i="1"/>
  <c r="L368" i="1"/>
  <c r="G368" i="1"/>
  <c r="F368" i="1"/>
  <c r="E368" i="1"/>
  <c r="D368" i="1"/>
  <c r="C368" i="1"/>
  <c r="B368" i="1"/>
  <c r="AH367" i="1"/>
  <c r="AF367" i="1"/>
  <c r="W367" i="1"/>
  <c r="V367" i="1"/>
  <c r="N367" i="1"/>
  <c r="M367" i="1"/>
  <c r="L367" i="1"/>
  <c r="C367" i="1"/>
  <c r="B367" i="1"/>
  <c r="AG366" i="1"/>
  <c r="AF366" i="1"/>
  <c r="W366" i="1"/>
  <c r="V366" i="1"/>
  <c r="M366" i="1"/>
  <c r="L366" i="1"/>
  <c r="G366" i="1"/>
  <c r="F366" i="1"/>
  <c r="E366" i="1"/>
  <c r="D366" i="1"/>
  <c r="C366" i="1"/>
  <c r="B366" i="1"/>
  <c r="AF365" i="1"/>
  <c r="W365" i="1"/>
  <c r="V365" i="1"/>
  <c r="O365" i="1"/>
  <c r="N365" i="1"/>
  <c r="M365" i="1"/>
  <c r="L365" i="1"/>
  <c r="D365" i="1"/>
  <c r="C365" i="1"/>
  <c r="B365" i="1"/>
  <c r="AF364" i="1"/>
  <c r="V364" i="1"/>
  <c r="M364" i="1"/>
  <c r="L364" i="1"/>
  <c r="E364" i="1"/>
  <c r="D364" i="1"/>
  <c r="C364" i="1"/>
  <c r="B364" i="1"/>
  <c r="AF363" i="1"/>
  <c r="V363" i="1"/>
  <c r="P363" i="1"/>
  <c r="O363" i="1"/>
  <c r="N363" i="1"/>
  <c r="M363" i="1"/>
  <c r="L363" i="1"/>
  <c r="C363" i="1"/>
  <c r="B363" i="1"/>
  <c r="AG362" i="1"/>
  <c r="AF362" i="1"/>
  <c r="Z362" i="1"/>
  <c r="Y362" i="1"/>
  <c r="X362" i="1"/>
  <c r="W362" i="1"/>
  <c r="V362" i="1"/>
  <c r="M362" i="1"/>
  <c r="L362" i="1"/>
  <c r="H362" i="1"/>
  <c r="G362" i="1"/>
  <c r="F362" i="1"/>
  <c r="E362" i="1"/>
  <c r="D362" i="1"/>
  <c r="C362" i="1"/>
  <c r="B362" i="1"/>
  <c r="AG361" i="1"/>
  <c r="AF361" i="1"/>
  <c r="Y361" i="1"/>
  <c r="X361" i="1"/>
  <c r="W361" i="1"/>
  <c r="V361" i="1"/>
  <c r="N361" i="1"/>
  <c r="M361" i="1"/>
  <c r="L361" i="1"/>
  <c r="E361" i="1"/>
  <c r="D361" i="1"/>
  <c r="C361" i="1"/>
  <c r="B361" i="1"/>
  <c r="AG360" i="1"/>
  <c r="AF360" i="1"/>
  <c r="W360" i="1"/>
  <c r="V360" i="1"/>
  <c r="N360" i="1"/>
  <c r="M360" i="1"/>
  <c r="L360" i="1"/>
  <c r="C360" i="1"/>
  <c r="B360" i="1"/>
  <c r="AF359" i="1"/>
  <c r="X359" i="1"/>
  <c r="W359" i="1"/>
  <c r="V359" i="1"/>
  <c r="M359" i="1"/>
  <c r="L359" i="1"/>
  <c r="F359" i="1"/>
  <c r="E359" i="1"/>
  <c r="D359" i="1"/>
  <c r="C359" i="1"/>
  <c r="B359" i="1"/>
  <c r="AG358" i="1"/>
  <c r="AF358" i="1"/>
  <c r="W358" i="1"/>
  <c r="V358" i="1"/>
  <c r="N358" i="1"/>
  <c r="M358" i="1"/>
  <c r="L358" i="1"/>
  <c r="E358" i="1"/>
  <c r="D358" i="1"/>
  <c r="C358" i="1"/>
  <c r="B358" i="1"/>
  <c r="V357" i="1"/>
  <c r="O357" i="1"/>
  <c r="N357" i="1"/>
  <c r="M357" i="1"/>
  <c r="L357" i="1"/>
  <c r="F357" i="1"/>
  <c r="E357" i="1"/>
  <c r="D357" i="1"/>
  <c r="C357" i="1"/>
  <c r="B357" i="1"/>
  <c r="AF356" i="1"/>
  <c r="W356" i="1"/>
  <c r="V356" i="1"/>
  <c r="L356" i="1"/>
  <c r="C356" i="1"/>
  <c r="B356" i="1"/>
  <c r="AG355" i="1"/>
  <c r="AF355" i="1"/>
  <c r="Z355" i="1"/>
  <c r="Y355" i="1"/>
  <c r="X355" i="1"/>
  <c r="W355" i="1"/>
  <c r="V355" i="1"/>
  <c r="M355" i="1"/>
  <c r="L355" i="1"/>
  <c r="G355" i="1"/>
  <c r="F355" i="1"/>
  <c r="E355" i="1"/>
  <c r="D355" i="1"/>
  <c r="C355" i="1"/>
  <c r="B355" i="1"/>
  <c r="AF354" i="1"/>
  <c r="X354" i="1"/>
  <c r="W354" i="1"/>
  <c r="V354" i="1"/>
  <c r="Q354" i="1"/>
  <c r="P354" i="1"/>
  <c r="O354" i="1"/>
  <c r="N354" i="1"/>
  <c r="M354" i="1"/>
  <c r="L354" i="1"/>
  <c r="D354" i="1"/>
  <c r="C354" i="1"/>
  <c r="B354" i="1"/>
  <c r="AF353" i="1"/>
  <c r="V353" i="1"/>
  <c r="N353" i="1"/>
  <c r="M353" i="1"/>
  <c r="L353" i="1"/>
  <c r="E353" i="1"/>
  <c r="D353" i="1"/>
  <c r="C353" i="1"/>
  <c r="B353" i="1"/>
  <c r="AG352" i="1"/>
  <c r="AF352" i="1"/>
  <c r="W352" i="1"/>
  <c r="V352" i="1"/>
  <c r="L352" i="1"/>
  <c r="B352" i="1"/>
  <c r="AF351" i="1"/>
  <c r="Y351" i="1"/>
  <c r="X351" i="1"/>
  <c r="W351" i="1"/>
  <c r="V351" i="1"/>
  <c r="P351" i="1"/>
  <c r="O351" i="1"/>
  <c r="N351" i="1"/>
  <c r="M351" i="1"/>
  <c r="L351" i="1"/>
  <c r="F351" i="1"/>
  <c r="E351" i="1"/>
  <c r="D351" i="1"/>
  <c r="C351" i="1"/>
  <c r="B351" i="1"/>
  <c r="AH350" i="1"/>
  <c r="AG350" i="1"/>
  <c r="AF350" i="1"/>
  <c r="X350" i="1"/>
  <c r="W350" i="1"/>
  <c r="V350" i="1"/>
  <c r="Q350" i="1"/>
  <c r="P350" i="1"/>
  <c r="O350" i="1"/>
  <c r="N350" i="1"/>
  <c r="M350" i="1"/>
  <c r="L350" i="1"/>
  <c r="G350" i="1"/>
  <c r="F350" i="1"/>
  <c r="E350" i="1"/>
  <c r="D350" i="1"/>
  <c r="C350" i="1"/>
  <c r="B350" i="1"/>
  <c r="AG349" i="1"/>
  <c r="AF349" i="1"/>
  <c r="W349" i="1"/>
  <c r="V349" i="1"/>
  <c r="P349" i="1"/>
  <c r="O349" i="1"/>
  <c r="N349" i="1"/>
  <c r="M349" i="1"/>
  <c r="L349" i="1"/>
  <c r="E349" i="1"/>
  <c r="D349" i="1"/>
  <c r="C349" i="1"/>
  <c r="B349" i="1"/>
  <c r="AF348" i="1"/>
  <c r="X348" i="1"/>
  <c r="W348" i="1"/>
  <c r="V348" i="1"/>
  <c r="N348" i="1"/>
  <c r="M348" i="1"/>
  <c r="L348" i="1"/>
  <c r="J348" i="1"/>
  <c r="I348" i="1"/>
  <c r="H348" i="1"/>
  <c r="G348" i="1"/>
  <c r="F348" i="1"/>
  <c r="E348" i="1"/>
  <c r="D348" i="1"/>
  <c r="C348" i="1"/>
  <c r="B348" i="1"/>
  <c r="AH347" i="1"/>
  <c r="AG347" i="1"/>
  <c r="AF347" i="1"/>
  <c r="X347" i="1"/>
  <c r="W347" i="1"/>
  <c r="V347" i="1"/>
  <c r="P347" i="1"/>
  <c r="O347" i="1"/>
  <c r="N347" i="1"/>
  <c r="M347" i="1"/>
  <c r="L347" i="1"/>
  <c r="B347" i="1"/>
  <c r="AG346" i="1"/>
  <c r="AF346" i="1"/>
  <c r="W346" i="1"/>
  <c r="V346" i="1"/>
  <c r="M346" i="1"/>
  <c r="L346" i="1"/>
  <c r="E346" i="1"/>
  <c r="D346" i="1"/>
  <c r="C346" i="1"/>
  <c r="B346" i="1"/>
  <c r="AG345" i="1"/>
  <c r="AF345" i="1"/>
  <c r="V345" i="1"/>
  <c r="Q345" i="1"/>
  <c r="P345" i="1"/>
  <c r="O345" i="1"/>
  <c r="N345" i="1"/>
  <c r="M345" i="1"/>
  <c r="L345" i="1"/>
  <c r="C345" i="1"/>
  <c r="B345" i="1"/>
  <c r="AG344" i="1"/>
  <c r="AF344" i="1"/>
  <c r="W344" i="1"/>
  <c r="V344" i="1"/>
  <c r="M344" i="1"/>
  <c r="L344" i="1"/>
  <c r="F344" i="1"/>
  <c r="E344" i="1"/>
  <c r="D344" i="1"/>
  <c r="C344" i="1"/>
  <c r="B344" i="1"/>
  <c r="AF343" i="1"/>
  <c r="V343" i="1"/>
  <c r="P343" i="1"/>
  <c r="O343" i="1"/>
  <c r="N343" i="1"/>
  <c r="M343" i="1"/>
  <c r="L343" i="1"/>
  <c r="C343" i="1"/>
  <c r="B343" i="1"/>
  <c r="AG342" i="1"/>
  <c r="AF342" i="1"/>
  <c r="W342" i="1"/>
  <c r="V342" i="1"/>
  <c r="M342" i="1"/>
  <c r="L342" i="1"/>
  <c r="D342" i="1"/>
  <c r="C342" i="1"/>
  <c r="B342" i="1"/>
  <c r="AG341" i="1"/>
  <c r="AF341" i="1"/>
  <c r="AD341" i="1"/>
  <c r="AC341" i="1"/>
  <c r="AB341" i="1"/>
  <c r="AA341" i="1"/>
  <c r="Z341" i="1"/>
  <c r="Y341" i="1"/>
  <c r="X341" i="1"/>
  <c r="W341" i="1"/>
  <c r="V341" i="1"/>
  <c r="M341" i="1"/>
  <c r="L341" i="1"/>
  <c r="E341" i="1"/>
  <c r="D341" i="1"/>
  <c r="C341" i="1"/>
  <c r="B341" i="1"/>
  <c r="AF340" i="1"/>
  <c r="O340" i="1"/>
  <c r="N340" i="1"/>
  <c r="M340" i="1"/>
  <c r="L340" i="1"/>
  <c r="F340" i="1"/>
  <c r="E340" i="1"/>
  <c r="D340" i="1"/>
  <c r="C340" i="1"/>
  <c r="B340" i="1"/>
  <c r="AF339" i="1"/>
  <c r="W339" i="1"/>
  <c r="V339" i="1"/>
  <c r="P339" i="1"/>
  <c r="O339" i="1"/>
  <c r="N339" i="1"/>
  <c r="M339" i="1"/>
  <c r="L339" i="1"/>
  <c r="D339" i="1"/>
  <c r="C339" i="1"/>
  <c r="B339" i="1"/>
  <c r="AF338" i="1"/>
  <c r="W338" i="1"/>
  <c r="V338" i="1"/>
  <c r="P338" i="1"/>
  <c r="O338" i="1"/>
  <c r="N338" i="1"/>
  <c r="M338" i="1"/>
  <c r="L338" i="1"/>
  <c r="D338" i="1"/>
  <c r="C338" i="1"/>
  <c r="B338" i="1"/>
  <c r="AF337" i="1"/>
  <c r="W337" i="1"/>
  <c r="V337" i="1"/>
  <c r="M337" i="1"/>
  <c r="L337" i="1"/>
  <c r="F337" i="1"/>
  <c r="E337" i="1"/>
  <c r="D337" i="1"/>
  <c r="C337" i="1"/>
  <c r="B337" i="1"/>
  <c r="AF336" i="1"/>
  <c r="V336" i="1"/>
  <c r="O336" i="1"/>
  <c r="N336" i="1"/>
  <c r="M336" i="1"/>
  <c r="L336" i="1"/>
  <c r="C336" i="1"/>
  <c r="B336" i="1"/>
  <c r="AF335" i="1"/>
  <c r="V335" i="1"/>
  <c r="N335" i="1"/>
  <c r="M335" i="1"/>
  <c r="L335" i="1"/>
  <c r="B335" i="1"/>
  <c r="AF334" i="1"/>
  <c r="W334" i="1"/>
  <c r="V334" i="1"/>
  <c r="M334" i="1"/>
  <c r="L334" i="1"/>
  <c r="G334" i="1"/>
  <c r="F334" i="1"/>
  <c r="E334" i="1"/>
  <c r="D334" i="1"/>
  <c r="C334" i="1"/>
  <c r="B334" i="1"/>
  <c r="AG333" i="1"/>
  <c r="AF333" i="1"/>
  <c r="V333" i="1"/>
  <c r="O333" i="1"/>
  <c r="N333" i="1"/>
  <c r="M333" i="1"/>
  <c r="L333" i="1"/>
  <c r="E333" i="1"/>
  <c r="D333" i="1"/>
  <c r="C333" i="1"/>
  <c r="B333" i="1"/>
  <c r="AH332" i="1"/>
  <c r="AG332" i="1"/>
  <c r="AF332" i="1"/>
  <c r="W332" i="1"/>
  <c r="V332" i="1"/>
  <c r="N332" i="1"/>
  <c r="M332" i="1"/>
  <c r="L332" i="1"/>
  <c r="F332" i="1"/>
  <c r="E332" i="1"/>
  <c r="D332" i="1"/>
  <c r="C332" i="1"/>
  <c r="B332" i="1"/>
  <c r="AG331" i="1"/>
  <c r="AF331" i="1"/>
  <c r="P331" i="1"/>
  <c r="O331" i="1"/>
  <c r="N331" i="1"/>
  <c r="M331" i="1"/>
  <c r="L331" i="1"/>
  <c r="F331" i="1"/>
  <c r="E331" i="1"/>
  <c r="D331" i="1"/>
  <c r="C331" i="1"/>
  <c r="B331" i="1"/>
  <c r="AG330" i="1"/>
  <c r="AF330" i="1"/>
  <c r="W330" i="1"/>
  <c r="V330" i="1"/>
  <c r="M330" i="1"/>
  <c r="L330" i="1"/>
  <c r="F330" i="1"/>
  <c r="E330" i="1"/>
  <c r="D330" i="1"/>
  <c r="C330" i="1"/>
  <c r="B330" i="1"/>
  <c r="AF329" i="1"/>
  <c r="X329" i="1"/>
  <c r="W329" i="1"/>
  <c r="V329" i="1"/>
  <c r="M329" i="1"/>
  <c r="L329" i="1"/>
  <c r="F329" i="1"/>
  <c r="E329" i="1"/>
  <c r="D329" i="1"/>
  <c r="C329" i="1"/>
  <c r="B329" i="1"/>
  <c r="AF328" i="1"/>
  <c r="W328" i="1"/>
  <c r="V328" i="1"/>
  <c r="L328" i="1"/>
  <c r="F328" i="1"/>
  <c r="E328" i="1"/>
  <c r="D328" i="1"/>
  <c r="C328" i="1"/>
  <c r="B328" i="1"/>
  <c r="AF327" i="1"/>
  <c r="W327" i="1"/>
  <c r="V327" i="1"/>
  <c r="N327" i="1"/>
  <c r="M327" i="1"/>
  <c r="L327" i="1"/>
  <c r="C327" i="1"/>
  <c r="B327" i="1"/>
  <c r="AF326" i="1"/>
  <c r="V326" i="1"/>
  <c r="O326" i="1"/>
  <c r="N326" i="1"/>
  <c r="M326" i="1"/>
  <c r="L326" i="1"/>
  <c r="C326" i="1"/>
  <c r="B326" i="1"/>
  <c r="AG325" i="1"/>
  <c r="AF325" i="1"/>
  <c r="V325" i="1"/>
  <c r="Q325" i="1"/>
  <c r="P325" i="1"/>
  <c r="O325" i="1"/>
  <c r="N325" i="1"/>
  <c r="M325" i="1"/>
  <c r="L325" i="1"/>
  <c r="C325" i="1"/>
  <c r="B325" i="1"/>
  <c r="AG324" i="1"/>
  <c r="AF324" i="1"/>
  <c r="V324" i="1"/>
  <c r="P324" i="1"/>
  <c r="O324" i="1"/>
  <c r="N324" i="1"/>
  <c r="M324" i="1"/>
  <c r="L324" i="1"/>
  <c r="E324" i="1"/>
  <c r="D324" i="1"/>
  <c r="C324" i="1"/>
  <c r="B324" i="1"/>
  <c r="AG323" i="1"/>
  <c r="AF323" i="1"/>
  <c r="W323" i="1"/>
  <c r="S323" i="1"/>
  <c r="R323" i="1"/>
  <c r="Q323" i="1"/>
  <c r="P323" i="1"/>
  <c r="O323" i="1"/>
  <c r="N323" i="1"/>
  <c r="M323" i="1"/>
  <c r="L323" i="1"/>
  <c r="F323" i="1"/>
  <c r="E323" i="1"/>
  <c r="D323" i="1"/>
  <c r="C323" i="1"/>
  <c r="B323" i="1"/>
  <c r="AF322" i="1"/>
  <c r="W322" i="1"/>
  <c r="V322" i="1"/>
  <c r="P322" i="1"/>
  <c r="O322" i="1"/>
  <c r="N322" i="1"/>
  <c r="M322" i="1"/>
  <c r="L322" i="1"/>
  <c r="E322" i="1"/>
  <c r="D322" i="1"/>
  <c r="C322" i="1"/>
  <c r="B322" i="1"/>
  <c r="AF321" i="1"/>
  <c r="V321" i="1"/>
  <c r="P321" i="1"/>
  <c r="O321" i="1"/>
  <c r="N321" i="1"/>
  <c r="M321" i="1"/>
  <c r="L321" i="1"/>
  <c r="D321" i="1"/>
  <c r="C321" i="1"/>
  <c r="B321" i="1"/>
  <c r="AF320" i="1"/>
  <c r="W320" i="1"/>
  <c r="V320" i="1"/>
  <c r="N320" i="1"/>
  <c r="M320" i="1"/>
  <c r="L320" i="1"/>
  <c r="C320" i="1"/>
  <c r="B320" i="1"/>
  <c r="AG319" i="1"/>
  <c r="AF319" i="1"/>
  <c r="X319" i="1"/>
  <c r="W319" i="1"/>
  <c r="V319" i="1"/>
  <c r="P319" i="1"/>
  <c r="O319" i="1"/>
  <c r="N319" i="1"/>
  <c r="M319" i="1"/>
  <c r="L319" i="1"/>
  <c r="AF318" i="1"/>
  <c r="V318" i="1"/>
  <c r="N318" i="1"/>
  <c r="M318" i="1"/>
  <c r="L318" i="1"/>
  <c r="C318" i="1"/>
  <c r="B318" i="1"/>
  <c r="AF317" i="1"/>
  <c r="W317" i="1"/>
  <c r="V317" i="1"/>
  <c r="P317" i="1"/>
  <c r="O317" i="1"/>
  <c r="N317" i="1"/>
  <c r="M317" i="1"/>
  <c r="L317" i="1"/>
  <c r="C317" i="1"/>
  <c r="B317" i="1"/>
  <c r="AG316" i="1"/>
  <c r="AF316" i="1"/>
  <c r="W316" i="1"/>
  <c r="V316" i="1"/>
  <c r="N316" i="1"/>
  <c r="M316" i="1"/>
  <c r="L316" i="1"/>
  <c r="E316" i="1"/>
  <c r="D316" i="1"/>
  <c r="C316" i="1"/>
  <c r="B316" i="1"/>
  <c r="AG315" i="1"/>
  <c r="AF315" i="1"/>
  <c r="W315" i="1"/>
  <c r="V315" i="1"/>
  <c r="P315" i="1"/>
  <c r="O315" i="1"/>
  <c r="N315" i="1"/>
  <c r="M315" i="1"/>
  <c r="L315" i="1"/>
  <c r="B315" i="1"/>
  <c r="AF314" i="1"/>
  <c r="W314" i="1"/>
  <c r="V314" i="1"/>
  <c r="O314" i="1"/>
  <c r="N314" i="1"/>
  <c r="M314" i="1"/>
  <c r="L314" i="1"/>
  <c r="C314" i="1"/>
  <c r="B314" i="1"/>
  <c r="AF313" i="1"/>
  <c r="L313" i="1"/>
  <c r="G313" i="1"/>
  <c r="F313" i="1"/>
  <c r="E313" i="1"/>
  <c r="D313" i="1"/>
  <c r="C313" i="1"/>
  <c r="B313" i="1"/>
  <c r="AG312" i="1"/>
  <c r="AF312" i="1"/>
  <c r="V312" i="1"/>
  <c r="M312" i="1"/>
  <c r="L312" i="1"/>
  <c r="C312" i="1"/>
  <c r="B312" i="1"/>
  <c r="AF311" i="1"/>
  <c r="W311" i="1"/>
  <c r="V311" i="1"/>
  <c r="O311" i="1"/>
  <c r="N311" i="1"/>
  <c r="M311" i="1"/>
  <c r="L311" i="1"/>
  <c r="C311" i="1"/>
  <c r="B311" i="1"/>
  <c r="AG310" i="1"/>
  <c r="AF310" i="1"/>
  <c r="W310" i="1"/>
  <c r="V310" i="1"/>
  <c r="M310" i="1"/>
  <c r="L310" i="1"/>
  <c r="F310" i="1"/>
  <c r="E310" i="1"/>
  <c r="D310" i="1"/>
  <c r="C310" i="1"/>
  <c r="B310" i="1"/>
  <c r="AH309" i="1"/>
  <c r="AG309" i="1"/>
  <c r="AF309" i="1"/>
  <c r="V309" i="1"/>
  <c r="O309" i="1"/>
  <c r="N309" i="1"/>
  <c r="M309" i="1"/>
  <c r="L309" i="1"/>
  <c r="H309" i="1"/>
  <c r="G309" i="1"/>
  <c r="F309" i="1"/>
  <c r="E309" i="1"/>
  <c r="D309" i="1"/>
  <c r="C309" i="1"/>
  <c r="B309" i="1"/>
  <c r="AG308" i="1"/>
  <c r="AF308" i="1"/>
  <c r="AA308" i="1"/>
  <c r="Z308" i="1"/>
  <c r="Y308" i="1"/>
  <c r="X308" i="1"/>
  <c r="W308" i="1"/>
  <c r="V308" i="1"/>
  <c r="Q308" i="1"/>
  <c r="P308" i="1"/>
  <c r="O308" i="1"/>
  <c r="N308" i="1"/>
  <c r="M308" i="1"/>
  <c r="L308" i="1"/>
  <c r="H308" i="1"/>
  <c r="G308" i="1"/>
  <c r="F308" i="1"/>
  <c r="E308" i="1"/>
  <c r="D308" i="1"/>
  <c r="C308" i="1"/>
  <c r="B308" i="1"/>
  <c r="AG307" i="1"/>
  <c r="AF307" i="1"/>
  <c r="V307" i="1"/>
  <c r="Q307" i="1"/>
  <c r="P307" i="1"/>
  <c r="O307" i="1"/>
  <c r="N307" i="1"/>
  <c r="M307" i="1"/>
  <c r="L307" i="1"/>
  <c r="G307" i="1"/>
  <c r="F307" i="1"/>
  <c r="E307" i="1"/>
  <c r="D307" i="1"/>
  <c r="C307" i="1"/>
  <c r="B307" i="1"/>
  <c r="AG306" i="1"/>
  <c r="AF306" i="1"/>
  <c r="W306" i="1"/>
  <c r="V306" i="1"/>
  <c r="O306" i="1"/>
  <c r="N306" i="1"/>
  <c r="M306" i="1"/>
  <c r="L306" i="1"/>
  <c r="G306" i="1"/>
  <c r="F306" i="1"/>
  <c r="E306" i="1"/>
  <c r="D306" i="1"/>
  <c r="C306" i="1"/>
  <c r="B306" i="1"/>
  <c r="AF305" i="1"/>
  <c r="W305" i="1"/>
  <c r="V305" i="1"/>
  <c r="M305" i="1"/>
  <c r="L305" i="1"/>
  <c r="F305" i="1"/>
  <c r="E305" i="1"/>
  <c r="D305" i="1"/>
  <c r="C305" i="1"/>
  <c r="B305" i="1"/>
  <c r="V304" i="1"/>
  <c r="O304" i="1"/>
  <c r="N304" i="1"/>
  <c r="M304" i="1"/>
  <c r="L304" i="1"/>
  <c r="D304" i="1"/>
  <c r="C304" i="1"/>
  <c r="B304" i="1"/>
  <c r="AG303" i="1"/>
  <c r="AF303" i="1"/>
  <c r="X303" i="1"/>
  <c r="W303" i="1"/>
  <c r="V303" i="1"/>
  <c r="N303" i="1"/>
  <c r="M303" i="1"/>
  <c r="L303" i="1"/>
  <c r="F303" i="1"/>
  <c r="E303" i="1"/>
  <c r="D303" i="1"/>
  <c r="C303" i="1"/>
  <c r="B303" i="1"/>
  <c r="AG302" i="1"/>
  <c r="AF302" i="1"/>
  <c r="V302" i="1"/>
  <c r="N302" i="1"/>
  <c r="M302" i="1"/>
  <c r="L302" i="1"/>
  <c r="F302" i="1"/>
  <c r="E302" i="1"/>
  <c r="D302" i="1"/>
  <c r="C302" i="1"/>
  <c r="B302" i="1"/>
  <c r="AG301" i="1"/>
  <c r="AF301" i="1"/>
  <c r="X301" i="1"/>
  <c r="W301" i="1"/>
  <c r="V301" i="1"/>
  <c r="O301" i="1"/>
  <c r="N301" i="1"/>
  <c r="M301" i="1"/>
  <c r="L301" i="1"/>
  <c r="C301" i="1"/>
  <c r="B301" i="1"/>
  <c r="AG300" i="1"/>
  <c r="AF300" i="1"/>
  <c r="V300" i="1"/>
  <c r="M300" i="1"/>
  <c r="L300" i="1"/>
  <c r="F300" i="1"/>
  <c r="E300" i="1"/>
  <c r="D300" i="1"/>
  <c r="C300" i="1"/>
  <c r="B300" i="1"/>
  <c r="AG299" i="1"/>
  <c r="AF299" i="1"/>
  <c r="V299" i="1"/>
  <c r="P299" i="1"/>
  <c r="O299" i="1"/>
  <c r="N299" i="1"/>
  <c r="M299" i="1"/>
  <c r="L299" i="1"/>
  <c r="E299" i="1"/>
  <c r="D299" i="1"/>
  <c r="C299" i="1"/>
  <c r="B299" i="1"/>
  <c r="AG298" i="1"/>
  <c r="AF298" i="1"/>
  <c r="W298" i="1"/>
  <c r="V298" i="1"/>
  <c r="O298" i="1"/>
  <c r="N298" i="1"/>
  <c r="M298" i="1"/>
  <c r="L298" i="1"/>
  <c r="F298" i="1"/>
  <c r="E298" i="1"/>
  <c r="D298" i="1"/>
  <c r="C298" i="1"/>
  <c r="B298" i="1"/>
  <c r="AF297" i="1"/>
  <c r="V297" i="1"/>
  <c r="M297" i="1"/>
  <c r="L297" i="1"/>
  <c r="E297" i="1"/>
  <c r="D297" i="1"/>
  <c r="C297" i="1"/>
  <c r="B297" i="1"/>
  <c r="V296" i="1"/>
  <c r="O296" i="1"/>
  <c r="N296" i="1"/>
  <c r="M296" i="1"/>
  <c r="L296" i="1"/>
  <c r="C296" i="1"/>
  <c r="B296" i="1"/>
  <c r="AG295" i="1"/>
  <c r="AF295" i="1"/>
  <c r="W295" i="1"/>
  <c r="V295" i="1"/>
  <c r="L295" i="1"/>
  <c r="F295" i="1"/>
  <c r="E295" i="1"/>
  <c r="D295" i="1"/>
  <c r="C295" i="1"/>
  <c r="B295" i="1"/>
  <c r="AG294" i="1"/>
  <c r="AF294" i="1"/>
  <c r="W294" i="1"/>
  <c r="V294" i="1"/>
  <c r="N294" i="1"/>
  <c r="M294" i="1"/>
  <c r="L294" i="1"/>
  <c r="G294" i="1"/>
  <c r="B294" i="1"/>
  <c r="AF293" i="1"/>
  <c r="W293" i="1"/>
  <c r="V293" i="1"/>
  <c r="P293" i="1"/>
  <c r="O293" i="1"/>
  <c r="N293" i="1"/>
  <c r="M293" i="1"/>
  <c r="L293" i="1"/>
  <c r="F293" i="1"/>
  <c r="E293" i="1"/>
  <c r="D293" i="1"/>
  <c r="C293" i="1"/>
  <c r="B293" i="1"/>
  <c r="AG292" i="1"/>
  <c r="AF292" i="1"/>
  <c r="Y292" i="1"/>
  <c r="X292" i="1"/>
  <c r="W292" i="1"/>
  <c r="V292" i="1"/>
  <c r="O292" i="1"/>
  <c r="N292" i="1"/>
  <c r="M292" i="1"/>
  <c r="L292" i="1"/>
  <c r="F292" i="1"/>
  <c r="E292" i="1"/>
  <c r="D292" i="1"/>
  <c r="C292" i="1"/>
  <c r="B292" i="1"/>
  <c r="AG291" i="1"/>
  <c r="AF291" i="1"/>
  <c r="Y291" i="1"/>
  <c r="W291" i="1"/>
  <c r="V291" i="1"/>
  <c r="P291" i="1"/>
  <c r="O291" i="1"/>
  <c r="N291" i="1"/>
  <c r="M291" i="1"/>
  <c r="L291" i="1"/>
  <c r="E291" i="1"/>
  <c r="D291" i="1"/>
  <c r="C291" i="1"/>
  <c r="B291" i="1"/>
  <c r="X290" i="1"/>
  <c r="W290" i="1"/>
  <c r="V290" i="1"/>
  <c r="P290" i="1"/>
  <c r="O290" i="1"/>
  <c r="N290" i="1"/>
  <c r="M290" i="1"/>
  <c r="L290" i="1"/>
  <c r="B290" i="1"/>
  <c r="AF289" i="1"/>
  <c r="X289" i="1"/>
  <c r="W289" i="1"/>
  <c r="V289" i="1"/>
  <c r="N289" i="1"/>
  <c r="M289" i="1"/>
  <c r="L289" i="1"/>
  <c r="E289" i="1"/>
  <c r="D289" i="1"/>
  <c r="C289" i="1"/>
  <c r="B289" i="1"/>
  <c r="AH288" i="1"/>
  <c r="AG288" i="1"/>
  <c r="AF288" i="1"/>
  <c r="W288" i="1"/>
  <c r="V288" i="1"/>
  <c r="O288" i="1"/>
  <c r="N288" i="1"/>
  <c r="M288" i="1"/>
  <c r="L288" i="1"/>
  <c r="E288" i="1"/>
  <c r="D288" i="1"/>
  <c r="C288" i="1"/>
  <c r="B288" i="1"/>
  <c r="AH287" i="1"/>
  <c r="AG287" i="1"/>
  <c r="AF287" i="1"/>
  <c r="V287" i="1"/>
  <c r="P287" i="1"/>
  <c r="O287" i="1"/>
  <c r="N287" i="1"/>
  <c r="M287" i="1"/>
  <c r="L287" i="1"/>
  <c r="G287" i="1"/>
  <c r="F287" i="1"/>
  <c r="E287" i="1"/>
  <c r="D287" i="1"/>
  <c r="C287" i="1"/>
  <c r="B287" i="1"/>
  <c r="AF286" i="1"/>
  <c r="X286" i="1"/>
  <c r="W286" i="1"/>
  <c r="V286" i="1"/>
  <c r="M286" i="1"/>
  <c r="L286" i="1"/>
  <c r="E286" i="1"/>
  <c r="D286" i="1"/>
  <c r="C286" i="1"/>
  <c r="B286" i="1"/>
  <c r="AF285" i="1"/>
  <c r="V285" i="1"/>
  <c r="O285" i="1"/>
  <c r="N285" i="1"/>
  <c r="M285" i="1"/>
  <c r="L285" i="1"/>
  <c r="C285" i="1"/>
  <c r="B285" i="1"/>
  <c r="AF284" i="1"/>
  <c r="W284" i="1"/>
  <c r="V284" i="1"/>
  <c r="O284" i="1"/>
  <c r="N284" i="1"/>
  <c r="M284" i="1"/>
  <c r="L284" i="1"/>
  <c r="E284" i="1"/>
  <c r="D284" i="1"/>
  <c r="C284" i="1"/>
  <c r="B284" i="1"/>
  <c r="AG283" i="1"/>
  <c r="AF283" i="1"/>
  <c r="W283" i="1"/>
  <c r="V283" i="1"/>
  <c r="O283" i="1"/>
  <c r="N283" i="1"/>
  <c r="M283" i="1"/>
  <c r="L283" i="1"/>
  <c r="C283" i="1"/>
  <c r="B283" i="1"/>
  <c r="AG282" i="1"/>
  <c r="AF282" i="1"/>
  <c r="V282" i="1"/>
  <c r="P282" i="1"/>
  <c r="O282" i="1"/>
  <c r="N282" i="1"/>
  <c r="M282" i="1"/>
  <c r="L282" i="1"/>
  <c r="G282" i="1"/>
  <c r="F282" i="1"/>
  <c r="E282" i="1"/>
  <c r="D282" i="1"/>
  <c r="C282" i="1"/>
  <c r="B282" i="1"/>
  <c r="AF281" i="1"/>
  <c r="V281" i="1"/>
  <c r="M281" i="1"/>
  <c r="L281" i="1"/>
  <c r="E281" i="1"/>
  <c r="D281" i="1"/>
  <c r="C281" i="1"/>
  <c r="B281" i="1"/>
  <c r="AG280" i="1"/>
  <c r="AF280" i="1"/>
  <c r="Z280" i="1"/>
  <c r="Y280" i="1"/>
  <c r="X280" i="1"/>
  <c r="W280" i="1"/>
  <c r="V280" i="1"/>
  <c r="O280" i="1"/>
  <c r="N280" i="1"/>
  <c r="M280" i="1"/>
  <c r="L280" i="1"/>
  <c r="E280" i="1"/>
  <c r="D280" i="1"/>
  <c r="C280" i="1"/>
  <c r="B280" i="1"/>
  <c r="AG279" i="1"/>
  <c r="AF279" i="1"/>
  <c r="V279" i="1"/>
  <c r="M279" i="1"/>
  <c r="L279" i="1"/>
  <c r="G279" i="1"/>
  <c r="F279" i="1"/>
  <c r="E279" i="1"/>
  <c r="D279" i="1"/>
  <c r="C279" i="1"/>
  <c r="B279" i="1"/>
  <c r="AF278" i="1"/>
  <c r="V278" i="1"/>
  <c r="M278" i="1"/>
  <c r="L278" i="1"/>
  <c r="F278" i="1"/>
  <c r="E278" i="1"/>
  <c r="D278" i="1"/>
  <c r="C278" i="1"/>
  <c r="B278" i="1"/>
  <c r="AF277" i="1"/>
  <c r="V277" i="1"/>
  <c r="O277" i="1"/>
  <c r="N277" i="1"/>
  <c r="M277" i="1"/>
  <c r="L277" i="1"/>
  <c r="G277" i="1"/>
  <c r="F277" i="1"/>
  <c r="E277" i="1"/>
  <c r="D277" i="1"/>
  <c r="C277" i="1"/>
  <c r="B277" i="1"/>
  <c r="AH276" i="1"/>
  <c r="AG276" i="1"/>
  <c r="AF276" i="1"/>
  <c r="Z276" i="1"/>
  <c r="Y276" i="1"/>
  <c r="X276" i="1"/>
  <c r="W276" i="1"/>
  <c r="V276" i="1"/>
  <c r="O276" i="1"/>
  <c r="N276" i="1"/>
  <c r="M276" i="1"/>
  <c r="L276" i="1"/>
  <c r="B276" i="1"/>
  <c r="AG275" i="1"/>
  <c r="AF275" i="1"/>
  <c r="X275" i="1"/>
  <c r="W275" i="1"/>
  <c r="V275" i="1"/>
  <c r="O275" i="1"/>
  <c r="N275" i="1"/>
  <c r="M275" i="1"/>
  <c r="L275" i="1"/>
  <c r="F275" i="1"/>
  <c r="E275" i="1"/>
  <c r="D275" i="1"/>
  <c r="C275" i="1"/>
  <c r="B275" i="1"/>
  <c r="AF274" i="1"/>
  <c r="W274" i="1"/>
  <c r="V274" i="1"/>
  <c r="M274" i="1"/>
  <c r="L274" i="1"/>
  <c r="D274" i="1"/>
  <c r="C274" i="1"/>
  <c r="B274" i="1"/>
  <c r="AF273" i="1"/>
  <c r="Y273" i="1"/>
  <c r="X273" i="1"/>
  <c r="W273" i="1"/>
  <c r="V273" i="1"/>
  <c r="O273" i="1"/>
  <c r="N273" i="1"/>
  <c r="M273" i="1"/>
  <c r="L273" i="1"/>
  <c r="E273" i="1"/>
  <c r="B273" i="1"/>
  <c r="AG272" i="1"/>
  <c r="AF272" i="1"/>
  <c r="W272" i="1"/>
  <c r="V272" i="1"/>
  <c r="O272" i="1"/>
  <c r="N272" i="1"/>
  <c r="M272" i="1"/>
  <c r="L272" i="1"/>
  <c r="F272" i="1"/>
  <c r="D272" i="1"/>
  <c r="C272" i="1"/>
  <c r="B272" i="1"/>
  <c r="AG271" i="1"/>
  <c r="AF271" i="1"/>
  <c r="W271" i="1"/>
  <c r="V271" i="1"/>
  <c r="Q271" i="1"/>
  <c r="P271" i="1"/>
  <c r="O271" i="1"/>
  <c r="N271" i="1"/>
  <c r="M271" i="1"/>
  <c r="L271" i="1"/>
  <c r="C271" i="1"/>
  <c r="B271" i="1"/>
  <c r="AG270" i="1"/>
  <c r="AF270" i="1"/>
  <c r="W270" i="1"/>
  <c r="V270" i="1"/>
  <c r="Q270" i="1"/>
  <c r="P270" i="1"/>
  <c r="O270" i="1"/>
  <c r="N270" i="1"/>
  <c r="M270" i="1"/>
  <c r="L270" i="1"/>
  <c r="F270" i="1"/>
  <c r="E270" i="1"/>
  <c r="D270" i="1"/>
  <c r="C270" i="1"/>
  <c r="B270" i="1"/>
  <c r="AG269" i="1"/>
  <c r="AF269" i="1"/>
  <c r="W269" i="1"/>
  <c r="V269" i="1"/>
  <c r="O269" i="1"/>
  <c r="N269" i="1"/>
  <c r="M269" i="1"/>
  <c r="L269" i="1"/>
  <c r="D269" i="1"/>
  <c r="C269" i="1"/>
  <c r="B269" i="1"/>
  <c r="AG268" i="1"/>
  <c r="AF268" i="1"/>
  <c r="W268" i="1"/>
  <c r="V268" i="1"/>
  <c r="N268" i="1"/>
  <c r="M268" i="1"/>
  <c r="L268" i="1"/>
  <c r="B268" i="1"/>
  <c r="AF267" i="1"/>
  <c r="W267" i="1"/>
  <c r="V267" i="1"/>
  <c r="P267" i="1"/>
  <c r="O267" i="1"/>
  <c r="N267" i="1"/>
  <c r="M267" i="1"/>
  <c r="L267" i="1"/>
  <c r="C267" i="1"/>
  <c r="B267" i="1"/>
  <c r="AG266" i="1"/>
  <c r="AF266" i="1"/>
  <c r="W266" i="1"/>
  <c r="V266" i="1"/>
  <c r="O266" i="1"/>
  <c r="N266" i="1"/>
  <c r="M266" i="1"/>
  <c r="L266" i="1"/>
  <c r="E266" i="1"/>
  <c r="D266" i="1"/>
  <c r="C266" i="1"/>
  <c r="B266" i="1"/>
  <c r="AG265" i="1"/>
  <c r="AF265" i="1"/>
  <c r="W265" i="1"/>
  <c r="V265" i="1"/>
  <c r="M265" i="1"/>
  <c r="L265" i="1"/>
  <c r="C265" i="1"/>
  <c r="B265" i="1"/>
  <c r="AF264" i="1"/>
  <c r="W264" i="1"/>
  <c r="V264" i="1"/>
  <c r="P264" i="1"/>
  <c r="O264" i="1"/>
  <c r="N264" i="1"/>
  <c r="M264" i="1"/>
  <c r="L264" i="1"/>
  <c r="C264" i="1"/>
  <c r="B264" i="1"/>
  <c r="AG263" i="1"/>
  <c r="AF263" i="1"/>
  <c r="W263" i="1"/>
  <c r="V263" i="1"/>
  <c r="M263" i="1"/>
  <c r="L263" i="1"/>
  <c r="F263" i="1"/>
  <c r="E263" i="1"/>
  <c r="D263" i="1"/>
  <c r="C263" i="1"/>
  <c r="B263" i="1"/>
  <c r="AG262" i="1"/>
  <c r="AF262" i="1"/>
  <c r="W262" i="1"/>
  <c r="V262" i="1"/>
  <c r="P262" i="1"/>
  <c r="O262" i="1"/>
  <c r="N262" i="1"/>
  <c r="M262" i="1"/>
  <c r="L262" i="1"/>
  <c r="D262" i="1"/>
  <c r="C262" i="1"/>
  <c r="B262" i="1"/>
  <c r="AF261" i="1"/>
  <c r="W261" i="1"/>
  <c r="V261" i="1"/>
  <c r="N261" i="1"/>
  <c r="M261" i="1"/>
  <c r="L261" i="1"/>
  <c r="B261" i="1"/>
  <c r="AF260" i="1"/>
  <c r="V260" i="1"/>
  <c r="P260" i="1"/>
  <c r="O260" i="1"/>
  <c r="N260" i="1"/>
  <c r="M260" i="1"/>
  <c r="L260" i="1"/>
  <c r="G260" i="1"/>
  <c r="F260" i="1"/>
  <c r="E260" i="1"/>
  <c r="D260" i="1"/>
  <c r="C260" i="1"/>
  <c r="B260" i="1"/>
  <c r="AG259" i="1"/>
  <c r="AF259" i="1"/>
  <c r="V259" i="1"/>
  <c r="N259" i="1"/>
  <c r="M259" i="1"/>
  <c r="L259" i="1"/>
  <c r="E259" i="1"/>
  <c r="C259" i="1"/>
  <c r="B259" i="1"/>
  <c r="AG258" i="1"/>
  <c r="AF258" i="1"/>
  <c r="X258" i="1"/>
  <c r="V258" i="1"/>
  <c r="P258" i="1"/>
  <c r="O258" i="1"/>
  <c r="N258" i="1"/>
  <c r="M258" i="1"/>
  <c r="L258" i="1"/>
  <c r="E258" i="1"/>
  <c r="D258" i="1"/>
  <c r="C258" i="1"/>
  <c r="B258" i="1"/>
  <c r="AF257" i="1"/>
  <c r="V257" i="1"/>
  <c r="Q257" i="1"/>
  <c r="P257" i="1"/>
  <c r="O257" i="1"/>
  <c r="N257" i="1"/>
  <c r="M257" i="1"/>
  <c r="L257" i="1"/>
  <c r="E257" i="1"/>
  <c r="D257" i="1"/>
  <c r="C257" i="1"/>
  <c r="B257" i="1"/>
  <c r="AG256" i="1"/>
  <c r="AF256" i="1"/>
  <c r="V256" i="1"/>
  <c r="Q256" i="1"/>
  <c r="P256" i="1"/>
  <c r="O256" i="1"/>
  <c r="N256" i="1"/>
  <c r="M256" i="1"/>
  <c r="L256" i="1"/>
  <c r="E256" i="1"/>
  <c r="D256" i="1"/>
  <c r="C256" i="1"/>
  <c r="B256" i="1"/>
  <c r="Y255" i="1"/>
  <c r="X255" i="1"/>
  <c r="W255" i="1"/>
  <c r="V255" i="1"/>
  <c r="N255" i="1"/>
  <c r="M255" i="1"/>
  <c r="L255" i="1"/>
  <c r="G255" i="1"/>
  <c r="F255" i="1"/>
  <c r="E255" i="1"/>
  <c r="D255" i="1"/>
  <c r="C255" i="1"/>
  <c r="B255" i="1"/>
  <c r="AG254" i="1"/>
  <c r="AF254" i="1"/>
  <c r="Z254" i="1"/>
  <c r="Y254" i="1"/>
  <c r="X254" i="1"/>
  <c r="W254" i="1"/>
  <c r="V254" i="1"/>
  <c r="O254" i="1"/>
  <c r="N254" i="1"/>
  <c r="M254" i="1"/>
  <c r="L254" i="1"/>
  <c r="I254" i="1"/>
  <c r="G254" i="1"/>
  <c r="F254" i="1"/>
  <c r="E254" i="1"/>
  <c r="D254" i="1"/>
  <c r="C254" i="1"/>
  <c r="B254" i="1"/>
  <c r="W253" i="1"/>
  <c r="V253" i="1"/>
  <c r="N253" i="1"/>
  <c r="M253" i="1"/>
  <c r="L253" i="1"/>
  <c r="C253" i="1"/>
  <c r="B253" i="1"/>
  <c r="AH252" i="1"/>
  <c r="AG252" i="1"/>
  <c r="AF252" i="1"/>
  <c r="Z252" i="1"/>
  <c r="Y252" i="1"/>
  <c r="X252" i="1"/>
  <c r="W252" i="1"/>
  <c r="V252" i="1"/>
  <c r="N252" i="1"/>
  <c r="M252" i="1"/>
  <c r="L252" i="1"/>
  <c r="J252" i="1"/>
  <c r="H252" i="1"/>
  <c r="G252" i="1"/>
  <c r="F252" i="1"/>
  <c r="E252" i="1"/>
  <c r="D252" i="1"/>
  <c r="C252" i="1"/>
  <c r="B252" i="1"/>
  <c r="AG251" i="1"/>
  <c r="AF251" i="1"/>
  <c r="AA251" i="1"/>
  <c r="Z251" i="1"/>
  <c r="Y251" i="1"/>
  <c r="X251" i="1"/>
  <c r="W251" i="1"/>
  <c r="V251" i="1"/>
  <c r="M251" i="1"/>
  <c r="L251" i="1"/>
  <c r="E251" i="1"/>
  <c r="D251" i="1"/>
  <c r="C251" i="1"/>
  <c r="B251" i="1"/>
  <c r="AF250" i="1"/>
  <c r="V250" i="1"/>
  <c r="O250" i="1"/>
  <c r="N250" i="1"/>
  <c r="M250" i="1"/>
  <c r="L250" i="1"/>
  <c r="D250" i="1"/>
  <c r="C250" i="1"/>
  <c r="B250" i="1"/>
  <c r="AG249" i="1"/>
  <c r="AF249" i="1"/>
  <c r="W249" i="1"/>
  <c r="V249" i="1"/>
  <c r="O249" i="1"/>
  <c r="N249" i="1"/>
  <c r="M249" i="1"/>
  <c r="L249" i="1"/>
  <c r="C249" i="1"/>
  <c r="B249" i="1"/>
  <c r="AG248" i="1"/>
  <c r="W248" i="1"/>
  <c r="V248" i="1"/>
  <c r="O248" i="1"/>
  <c r="N248" i="1"/>
  <c r="M248" i="1"/>
  <c r="L248" i="1"/>
  <c r="E248" i="1"/>
  <c r="D248" i="1"/>
  <c r="C248" i="1"/>
  <c r="B248" i="1"/>
  <c r="AF247" i="1"/>
  <c r="W247" i="1"/>
  <c r="V247" i="1"/>
  <c r="M247" i="1"/>
  <c r="L247" i="1"/>
  <c r="G247" i="1"/>
  <c r="F247" i="1"/>
  <c r="E247" i="1"/>
  <c r="D247" i="1"/>
  <c r="C247" i="1"/>
  <c r="B247" i="1"/>
  <c r="AF246" i="1"/>
  <c r="W246" i="1"/>
  <c r="V246" i="1"/>
  <c r="M246" i="1"/>
  <c r="L246" i="1"/>
  <c r="F246" i="1"/>
  <c r="E246" i="1"/>
  <c r="D246" i="1"/>
  <c r="C246" i="1"/>
  <c r="B246" i="1"/>
  <c r="AG245" i="1"/>
  <c r="AF245" i="1"/>
  <c r="Z245" i="1"/>
  <c r="Y245" i="1"/>
  <c r="X245" i="1"/>
  <c r="W245" i="1"/>
  <c r="V245" i="1"/>
  <c r="T245" i="1"/>
  <c r="S245" i="1"/>
  <c r="R245" i="1"/>
  <c r="Q245" i="1"/>
  <c r="P245" i="1"/>
  <c r="O245" i="1"/>
  <c r="N245" i="1"/>
  <c r="M245" i="1"/>
  <c r="L245" i="1"/>
  <c r="D245" i="1"/>
  <c r="C245" i="1"/>
  <c r="B245" i="1"/>
  <c r="AG244" i="1"/>
  <c r="AF244" i="1"/>
  <c r="Z244" i="1"/>
  <c r="Y244" i="1"/>
  <c r="X244" i="1"/>
  <c r="W244" i="1"/>
  <c r="V244" i="1"/>
  <c r="Q244" i="1"/>
  <c r="P244" i="1"/>
  <c r="O244" i="1"/>
  <c r="N244" i="1"/>
  <c r="M244" i="1"/>
  <c r="L244" i="1"/>
  <c r="G244" i="1"/>
  <c r="F244" i="1"/>
  <c r="E244" i="1"/>
  <c r="D244" i="1"/>
  <c r="C244" i="1"/>
  <c r="B244" i="1"/>
  <c r="AH243" i="1"/>
  <c r="AG243" i="1"/>
  <c r="AF243" i="1"/>
  <c r="X243" i="1"/>
  <c r="W243" i="1"/>
  <c r="V243" i="1"/>
  <c r="O243" i="1"/>
  <c r="N243" i="1"/>
  <c r="M243" i="1"/>
  <c r="L243" i="1"/>
  <c r="H243" i="1"/>
  <c r="G243" i="1"/>
  <c r="F243" i="1"/>
  <c r="E243" i="1"/>
  <c r="D243" i="1"/>
  <c r="C243" i="1"/>
  <c r="B243" i="1"/>
  <c r="AF242" i="1"/>
  <c r="W242" i="1"/>
  <c r="V242" i="1"/>
  <c r="Q242" i="1"/>
  <c r="P242" i="1"/>
  <c r="O242" i="1"/>
  <c r="N242" i="1"/>
  <c r="M242" i="1"/>
  <c r="L242" i="1"/>
  <c r="F242" i="1"/>
  <c r="E242" i="1"/>
  <c r="D242" i="1"/>
  <c r="C242" i="1"/>
  <c r="B242" i="1"/>
  <c r="W241" i="1"/>
  <c r="V241" i="1"/>
  <c r="S241" i="1"/>
  <c r="R241" i="1"/>
  <c r="Q241" i="1"/>
  <c r="P241" i="1"/>
  <c r="O241" i="1"/>
  <c r="N241" i="1"/>
  <c r="M241" i="1"/>
  <c r="L241" i="1"/>
  <c r="E241" i="1"/>
  <c r="D241" i="1"/>
  <c r="C241" i="1"/>
  <c r="B241" i="1"/>
  <c r="AH240" i="1"/>
  <c r="AG240" i="1"/>
  <c r="AF240" i="1"/>
  <c r="Z240" i="1"/>
  <c r="Y240" i="1"/>
  <c r="X240" i="1"/>
  <c r="W240" i="1"/>
  <c r="V240" i="1"/>
  <c r="M240" i="1"/>
  <c r="L240" i="1"/>
  <c r="G240" i="1"/>
  <c r="F240" i="1"/>
  <c r="E240" i="1"/>
  <c r="D240" i="1"/>
  <c r="C240" i="1"/>
  <c r="B240" i="1"/>
  <c r="AF239" i="1"/>
  <c r="R239" i="1"/>
  <c r="Q239" i="1"/>
  <c r="P239" i="1"/>
  <c r="O239" i="1"/>
  <c r="N239" i="1"/>
  <c r="M239" i="1"/>
  <c r="L239" i="1"/>
  <c r="C239" i="1"/>
  <c r="B239" i="1"/>
  <c r="AF238" i="1"/>
  <c r="P238" i="1"/>
  <c r="O238" i="1"/>
  <c r="N238" i="1"/>
  <c r="M238" i="1"/>
  <c r="L238" i="1"/>
  <c r="G238" i="1"/>
  <c r="F238" i="1"/>
  <c r="E238" i="1"/>
  <c r="D238" i="1"/>
  <c r="C238" i="1"/>
  <c r="B238" i="1"/>
  <c r="V237" i="1"/>
  <c r="O237" i="1"/>
  <c r="N237" i="1"/>
  <c r="M237" i="1"/>
  <c r="L237" i="1"/>
  <c r="E237" i="1"/>
  <c r="D237" i="1"/>
  <c r="C237" i="1"/>
  <c r="B237" i="1"/>
  <c r="AF236" i="1"/>
  <c r="W236" i="1"/>
  <c r="V236" i="1"/>
  <c r="O236" i="1"/>
  <c r="N236" i="1"/>
  <c r="M236" i="1"/>
  <c r="L236" i="1"/>
  <c r="F236" i="1"/>
  <c r="E236" i="1"/>
  <c r="D236" i="1"/>
  <c r="C236" i="1"/>
  <c r="B236" i="1"/>
  <c r="AF235" i="1"/>
  <c r="V235" i="1"/>
  <c r="P235" i="1"/>
  <c r="O235" i="1"/>
  <c r="N235" i="1"/>
  <c r="M235" i="1"/>
  <c r="L235" i="1"/>
  <c r="E235" i="1"/>
  <c r="D235" i="1"/>
  <c r="C235" i="1"/>
  <c r="B235" i="1"/>
  <c r="W234" i="1"/>
  <c r="V234" i="1"/>
  <c r="Q234" i="1"/>
  <c r="P234" i="1"/>
  <c r="O234" i="1"/>
  <c r="N234" i="1"/>
  <c r="M234" i="1"/>
  <c r="L234" i="1"/>
  <c r="E234" i="1"/>
  <c r="D234" i="1"/>
  <c r="C234" i="1"/>
  <c r="B234" i="1"/>
  <c r="AG233" i="1"/>
  <c r="AF233" i="1"/>
  <c r="V233" i="1"/>
  <c r="M233" i="1"/>
  <c r="L233" i="1"/>
  <c r="F233" i="1"/>
  <c r="E233" i="1"/>
  <c r="D233" i="1"/>
  <c r="C233" i="1"/>
  <c r="B233" i="1"/>
  <c r="AH232" i="1"/>
  <c r="AG232" i="1"/>
  <c r="AF232" i="1"/>
  <c r="W232" i="1"/>
  <c r="V232" i="1"/>
  <c r="P232" i="1"/>
  <c r="O232" i="1"/>
  <c r="N232" i="1"/>
  <c r="M232" i="1"/>
  <c r="L232" i="1"/>
  <c r="D232" i="1"/>
  <c r="C232" i="1"/>
  <c r="B232" i="1"/>
  <c r="AG231" i="1"/>
  <c r="AF231" i="1"/>
  <c r="V231" i="1"/>
  <c r="L231" i="1"/>
  <c r="J231" i="1"/>
  <c r="I231" i="1"/>
  <c r="H231" i="1"/>
  <c r="G231" i="1"/>
  <c r="F231" i="1"/>
  <c r="E231" i="1"/>
  <c r="D231" i="1"/>
  <c r="C231" i="1"/>
  <c r="B231" i="1"/>
  <c r="AG230" i="1"/>
  <c r="AF230" i="1"/>
  <c r="V230" i="1"/>
  <c r="P230" i="1"/>
  <c r="O230" i="1"/>
  <c r="N230" i="1"/>
  <c r="M230" i="1"/>
  <c r="L230" i="1"/>
  <c r="E230" i="1"/>
  <c r="D230" i="1"/>
  <c r="C230" i="1"/>
  <c r="B230" i="1"/>
  <c r="AF229" i="1"/>
  <c r="V229" i="1"/>
  <c r="P229" i="1"/>
  <c r="O229" i="1"/>
  <c r="N229" i="1"/>
  <c r="M229" i="1"/>
  <c r="L229" i="1"/>
  <c r="H229" i="1"/>
  <c r="F229" i="1"/>
  <c r="D229" i="1"/>
  <c r="C229" i="1"/>
  <c r="B229" i="1"/>
  <c r="AF228" i="1"/>
  <c r="W228" i="1"/>
  <c r="V228" i="1"/>
  <c r="L228" i="1"/>
  <c r="D228" i="1"/>
  <c r="C228" i="1"/>
  <c r="B228" i="1"/>
  <c r="AG227" i="1"/>
  <c r="AF227" i="1"/>
  <c r="V227" i="1"/>
  <c r="M227" i="1"/>
  <c r="L227" i="1"/>
  <c r="F227" i="1"/>
  <c r="E227" i="1"/>
  <c r="D227" i="1"/>
  <c r="C227" i="1"/>
  <c r="B227" i="1"/>
  <c r="V226" i="1"/>
  <c r="Q226" i="1"/>
  <c r="P226" i="1"/>
  <c r="O226" i="1"/>
  <c r="N226" i="1"/>
  <c r="M226" i="1"/>
  <c r="L226" i="1"/>
  <c r="E226" i="1"/>
  <c r="D226" i="1"/>
  <c r="C226" i="1"/>
  <c r="B226" i="1"/>
  <c r="AF225" i="1"/>
  <c r="W225" i="1"/>
  <c r="V225" i="1"/>
  <c r="N225" i="1"/>
  <c r="M225" i="1"/>
  <c r="L225" i="1"/>
  <c r="E225" i="1"/>
  <c r="D225" i="1"/>
  <c r="C225" i="1"/>
  <c r="B225" i="1"/>
  <c r="AG224" i="1"/>
  <c r="AF224" i="1"/>
  <c r="W224" i="1"/>
  <c r="V224" i="1"/>
  <c r="O224" i="1"/>
  <c r="N224" i="1"/>
  <c r="M224" i="1"/>
  <c r="L224" i="1"/>
  <c r="B224" i="1"/>
  <c r="AF223" i="1"/>
  <c r="V223" i="1"/>
  <c r="S223" i="1"/>
  <c r="R223" i="1"/>
  <c r="Q223" i="1"/>
  <c r="P223" i="1"/>
  <c r="O223" i="1"/>
  <c r="N223" i="1"/>
  <c r="M223" i="1"/>
  <c r="L223" i="1"/>
  <c r="C223" i="1"/>
  <c r="B223" i="1"/>
  <c r="AG222" i="1"/>
  <c r="AF222" i="1"/>
  <c r="W222" i="1"/>
  <c r="V222" i="1"/>
  <c r="P222" i="1"/>
  <c r="O222" i="1"/>
  <c r="N222" i="1"/>
  <c r="M222" i="1"/>
  <c r="L222" i="1"/>
  <c r="F222" i="1"/>
  <c r="E222" i="1"/>
  <c r="D222" i="1"/>
  <c r="C222" i="1"/>
  <c r="B222" i="1"/>
  <c r="AF221" i="1"/>
  <c r="W221" i="1"/>
  <c r="V221" i="1"/>
  <c r="N221" i="1"/>
  <c r="M221" i="1"/>
  <c r="L221" i="1"/>
  <c r="E221" i="1"/>
  <c r="D221" i="1"/>
  <c r="C221" i="1"/>
  <c r="B221" i="1"/>
  <c r="AF220" i="1"/>
  <c r="V220" i="1"/>
  <c r="O220" i="1"/>
  <c r="N220" i="1"/>
  <c r="M220" i="1"/>
  <c r="L220" i="1"/>
  <c r="E220" i="1"/>
  <c r="D220" i="1"/>
  <c r="C220" i="1"/>
  <c r="B220" i="1"/>
  <c r="AF219" i="1"/>
  <c r="V219" i="1"/>
  <c r="O219" i="1"/>
  <c r="N219" i="1"/>
  <c r="M219" i="1"/>
  <c r="L219" i="1"/>
  <c r="E219" i="1"/>
  <c r="D219" i="1"/>
  <c r="C219" i="1"/>
  <c r="B219" i="1"/>
  <c r="AG218" i="1"/>
  <c r="AF218" i="1"/>
  <c r="W218" i="1"/>
  <c r="V218" i="1"/>
  <c r="Q218" i="1"/>
  <c r="P218" i="1"/>
  <c r="O218" i="1"/>
  <c r="N218" i="1"/>
  <c r="M218" i="1"/>
  <c r="L218" i="1"/>
  <c r="H218" i="1"/>
  <c r="G218" i="1"/>
  <c r="F218" i="1"/>
  <c r="E218" i="1"/>
  <c r="D218" i="1"/>
  <c r="C218" i="1"/>
  <c r="B218" i="1"/>
  <c r="AG217" i="1"/>
  <c r="AF217" i="1"/>
  <c r="W217" i="1"/>
  <c r="V217" i="1"/>
  <c r="P217" i="1"/>
  <c r="O217" i="1"/>
  <c r="N217" i="1"/>
  <c r="M217" i="1"/>
  <c r="L217" i="1"/>
  <c r="C217" i="1"/>
  <c r="B217" i="1"/>
  <c r="AH216" i="1"/>
  <c r="AG216" i="1"/>
  <c r="AF216" i="1"/>
  <c r="V216" i="1"/>
  <c r="M216" i="1"/>
  <c r="L216" i="1"/>
  <c r="F216" i="1"/>
  <c r="E216" i="1"/>
  <c r="D216" i="1"/>
  <c r="C216" i="1"/>
  <c r="B216" i="1"/>
  <c r="AF215" i="1"/>
  <c r="V215" i="1"/>
  <c r="N215" i="1"/>
  <c r="M215" i="1"/>
  <c r="L215" i="1"/>
  <c r="E215" i="1"/>
  <c r="D215" i="1"/>
  <c r="C215" i="1"/>
  <c r="B215" i="1"/>
  <c r="AF214" i="1"/>
  <c r="W214" i="1"/>
  <c r="V214" i="1"/>
  <c r="R214" i="1"/>
  <c r="Q214" i="1"/>
  <c r="P214" i="1"/>
  <c r="O214" i="1"/>
  <c r="N214" i="1"/>
  <c r="M214" i="1"/>
  <c r="L214" i="1"/>
  <c r="C214" i="1"/>
  <c r="B214" i="1"/>
  <c r="AF213" i="1"/>
  <c r="W213" i="1"/>
  <c r="V213" i="1"/>
  <c r="M213" i="1"/>
  <c r="L213" i="1"/>
  <c r="F213" i="1"/>
  <c r="E213" i="1"/>
  <c r="D213" i="1"/>
  <c r="C213" i="1"/>
  <c r="B213" i="1"/>
  <c r="AF212" i="1"/>
  <c r="W212" i="1"/>
  <c r="V212" i="1"/>
  <c r="N212" i="1"/>
  <c r="M212" i="1"/>
  <c r="L212" i="1"/>
  <c r="G212" i="1"/>
  <c r="F212" i="1"/>
  <c r="E212" i="1"/>
  <c r="D212" i="1"/>
  <c r="C212" i="1"/>
  <c r="B212" i="1"/>
  <c r="AH211" i="1"/>
  <c r="AG211" i="1"/>
  <c r="AF211" i="1"/>
  <c r="V211" i="1"/>
  <c r="M211" i="1"/>
  <c r="L211" i="1"/>
  <c r="I211" i="1"/>
  <c r="H211" i="1"/>
  <c r="G211" i="1"/>
  <c r="F211" i="1"/>
  <c r="E211" i="1"/>
  <c r="D211" i="1"/>
  <c r="C211" i="1"/>
  <c r="B211" i="1"/>
  <c r="AF210" i="1"/>
  <c r="L210" i="1"/>
  <c r="G210" i="1"/>
  <c r="F210" i="1"/>
  <c r="E210" i="1"/>
  <c r="D210" i="1"/>
  <c r="C210" i="1"/>
  <c r="B210" i="1"/>
  <c r="AG209" i="1"/>
  <c r="AF209" i="1"/>
  <c r="X209" i="1"/>
  <c r="W209" i="1"/>
  <c r="V209" i="1"/>
  <c r="Q209" i="1"/>
  <c r="P209" i="1"/>
  <c r="O209" i="1"/>
  <c r="N209" i="1"/>
  <c r="M209" i="1"/>
  <c r="L209" i="1"/>
  <c r="E209" i="1"/>
  <c r="D209" i="1"/>
  <c r="C209" i="1"/>
  <c r="B209" i="1"/>
  <c r="AG208" i="1"/>
  <c r="AF208" i="1"/>
  <c r="W208" i="1"/>
  <c r="V208" i="1"/>
  <c r="Q208" i="1"/>
  <c r="P208" i="1"/>
  <c r="O208" i="1"/>
  <c r="N208" i="1"/>
  <c r="M208" i="1"/>
  <c r="L208" i="1"/>
  <c r="C208" i="1"/>
  <c r="B208" i="1"/>
  <c r="AG207" i="1"/>
  <c r="AF207" i="1"/>
  <c r="V207" i="1"/>
  <c r="Q207" i="1"/>
  <c r="P207" i="1"/>
  <c r="O207" i="1"/>
  <c r="N207" i="1"/>
  <c r="M207" i="1"/>
  <c r="L207" i="1"/>
  <c r="B207" i="1"/>
  <c r="AH206" i="1"/>
  <c r="AG206" i="1"/>
  <c r="AF206" i="1"/>
  <c r="AA206" i="1"/>
  <c r="Z206" i="1"/>
  <c r="Y206" i="1"/>
  <c r="X206" i="1"/>
  <c r="W206" i="1"/>
  <c r="V206" i="1"/>
  <c r="M206" i="1"/>
  <c r="L206" i="1"/>
  <c r="F206" i="1"/>
  <c r="E206" i="1"/>
  <c r="D206" i="1"/>
  <c r="C206" i="1"/>
  <c r="B206" i="1"/>
  <c r="AH205" i="1"/>
  <c r="AG205" i="1"/>
  <c r="AF205" i="1"/>
  <c r="M205" i="1"/>
  <c r="L205" i="1"/>
  <c r="F205" i="1"/>
  <c r="E205" i="1"/>
  <c r="D205" i="1"/>
  <c r="C205" i="1"/>
  <c r="B205" i="1"/>
  <c r="AG204" i="1"/>
  <c r="AF204" i="1"/>
  <c r="W204" i="1"/>
  <c r="V204" i="1"/>
  <c r="M204" i="1"/>
  <c r="L204" i="1"/>
  <c r="F204" i="1"/>
  <c r="E204" i="1"/>
  <c r="D204" i="1"/>
  <c r="C204" i="1"/>
  <c r="B204" i="1"/>
  <c r="AG203" i="1"/>
  <c r="AF203" i="1"/>
  <c r="Z203" i="1"/>
  <c r="Y203" i="1"/>
  <c r="X203" i="1"/>
  <c r="W203" i="1"/>
  <c r="V203" i="1"/>
  <c r="L203" i="1"/>
  <c r="E203" i="1"/>
  <c r="D203" i="1"/>
  <c r="C203" i="1"/>
  <c r="B203" i="1"/>
  <c r="AF202" i="1"/>
  <c r="Z202" i="1"/>
  <c r="Y202" i="1"/>
  <c r="X202" i="1"/>
  <c r="W202" i="1"/>
  <c r="V202" i="1"/>
  <c r="M202" i="1"/>
  <c r="L202" i="1"/>
  <c r="G202" i="1"/>
  <c r="F202" i="1"/>
  <c r="E202" i="1"/>
  <c r="D202" i="1"/>
  <c r="C202" i="1"/>
  <c r="B202" i="1"/>
  <c r="AF201" i="1"/>
  <c r="V201" i="1"/>
  <c r="P201" i="1"/>
  <c r="O201" i="1"/>
  <c r="N201" i="1"/>
  <c r="M201" i="1"/>
  <c r="L201" i="1"/>
  <c r="C201" i="1"/>
  <c r="B201" i="1"/>
  <c r="AF200" i="1"/>
  <c r="W200" i="1"/>
  <c r="V200" i="1"/>
  <c r="Q200" i="1"/>
  <c r="P200" i="1"/>
  <c r="O200" i="1"/>
  <c r="N200" i="1"/>
  <c r="M200" i="1"/>
  <c r="L200" i="1"/>
  <c r="I200" i="1"/>
  <c r="H200" i="1"/>
  <c r="G200" i="1"/>
  <c r="F200" i="1"/>
  <c r="E200" i="1"/>
  <c r="D200" i="1"/>
  <c r="C200" i="1"/>
  <c r="B200" i="1"/>
  <c r="AG199" i="1"/>
  <c r="AF199" i="1"/>
  <c r="Y199" i="1"/>
  <c r="X199" i="1"/>
  <c r="W199" i="1"/>
  <c r="V199" i="1"/>
  <c r="Q199" i="1"/>
  <c r="P199" i="1"/>
  <c r="O199" i="1"/>
  <c r="N199" i="1"/>
  <c r="M199" i="1"/>
  <c r="L199" i="1"/>
  <c r="F199" i="1"/>
  <c r="E199" i="1"/>
  <c r="D199" i="1"/>
  <c r="C199" i="1"/>
  <c r="B199" i="1"/>
  <c r="AF198" i="1"/>
  <c r="W198" i="1"/>
  <c r="V198" i="1"/>
  <c r="P198" i="1"/>
  <c r="O198" i="1"/>
  <c r="N198" i="1"/>
  <c r="M198" i="1"/>
  <c r="L198" i="1"/>
  <c r="F198" i="1"/>
  <c r="E198" i="1"/>
  <c r="D198" i="1"/>
  <c r="C198" i="1"/>
  <c r="B198" i="1"/>
  <c r="AG197" i="1"/>
  <c r="AF197" i="1"/>
  <c r="Z197" i="1"/>
  <c r="Y197" i="1"/>
  <c r="X197" i="1"/>
  <c r="W197" i="1"/>
  <c r="V197" i="1"/>
  <c r="O197" i="1"/>
  <c r="N197" i="1"/>
  <c r="M197" i="1"/>
  <c r="L197" i="1"/>
  <c r="F197" i="1"/>
  <c r="E197" i="1"/>
  <c r="D197" i="1"/>
  <c r="C197" i="1"/>
  <c r="B197" i="1"/>
  <c r="AF196" i="1"/>
  <c r="AA196" i="1"/>
  <c r="Z196" i="1"/>
  <c r="Y196" i="1"/>
  <c r="X196" i="1"/>
  <c r="W196" i="1"/>
  <c r="V196" i="1"/>
  <c r="Q196" i="1"/>
  <c r="P196" i="1"/>
  <c r="O196" i="1"/>
  <c r="N196" i="1"/>
  <c r="M196" i="1"/>
  <c r="L196" i="1"/>
  <c r="C196" i="1"/>
  <c r="B196" i="1"/>
  <c r="AF195" i="1"/>
  <c r="Y195" i="1"/>
  <c r="X195" i="1"/>
  <c r="W195" i="1"/>
  <c r="V195" i="1"/>
  <c r="P195" i="1"/>
  <c r="O195" i="1"/>
  <c r="N195" i="1"/>
  <c r="M195" i="1"/>
  <c r="L195" i="1"/>
  <c r="E195" i="1"/>
  <c r="D195" i="1"/>
  <c r="C195" i="1"/>
  <c r="B195" i="1"/>
  <c r="AG194" i="1"/>
  <c r="AF194" i="1"/>
  <c r="P194" i="1"/>
  <c r="O194" i="1"/>
  <c r="N194" i="1"/>
  <c r="M194" i="1"/>
  <c r="L194" i="1"/>
  <c r="E194" i="1"/>
  <c r="D194" i="1"/>
  <c r="C194" i="1"/>
  <c r="B194" i="1"/>
  <c r="Y193" i="1"/>
  <c r="X193" i="1"/>
  <c r="W193" i="1"/>
  <c r="V193" i="1"/>
  <c r="M193" i="1"/>
  <c r="L193" i="1"/>
  <c r="E193" i="1"/>
  <c r="D193" i="1"/>
  <c r="C193" i="1"/>
  <c r="B193" i="1"/>
  <c r="AF192" i="1"/>
  <c r="V192" i="1"/>
  <c r="N192" i="1"/>
  <c r="M192" i="1"/>
  <c r="B192" i="1"/>
  <c r="X191" i="1"/>
  <c r="W191" i="1"/>
  <c r="V191" i="1"/>
  <c r="L191" i="1"/>
  <c r="B191" i="1"/>
  <c r="W190" i="1"/>
  <c r="V190" i="1"/>
  <c r="N190" i="1"/>
  <c r="M190" i="1"/>
  <c r="L190" i="1"/>
  <c r="C190" i="1"/>
  <c r="B190" i="1"/>
  <c r="AG189" i="1"/>
  <c r="AF189" i="1"/>
  <c r="W189" i="1"/>
  <c r="V189" i="1"/>
  <c r="R189" i="1"/>
  <c r="Q189" i="1"/>
  <c r="P189" i="1"/>
  <c r="O189" i="1"/>
  <c r="N189" i="1"/>
  <c r="M189" i="1"/>
  <c r="L189" i="1"/>
  <c r="G189" i="1"/>
  <c r="F189" i="1"/>
  <c r="E189" i="1"/>
  <c r="D189" i="1"/>
  <c r="C189" i="1"/>
  <c r="B189" i="1"/>
  <c r="AF188" i="1"/>
  <c r="W188" i="1"/>
  <c r="V188" i="1"/>
  <c r="R188" i="1"/>
  <c r="Q188" i="1"/>
  <c r="P188" i="1"/>
  <c r="O188" i="1"/>
  <c r="N188" i="1"/>
  <c r="M188" i="1"/>
  <c r="L188" i="1"/>
  <c r="D188" i="1"/>
  <c r="C188" i="1"/>
  <c r="B188" i="1"/>
  <c r="AF187" i="1"/>
  <c r="W187" i="1"/>
  <c r="V187" i="1"/>
  <c r="O187" i="1"/>
  <c r="N187" i="1"/>
  <c r="M187" i="1"/>
  <c r="L187" i="1"/>
  <c r="C187" i="1"/>
  <c r="B187" i="1"/>
  <c r="AG186" i="1"/>
  <c r="AF186" i="1"/>
  <c r="AC186" i="1"/>
  <c r="AA186" i="1"/>
  <c r="Z186" i="1"/>
  <c r="Y186" i="1"/>
  <c r="X186" i="1"/>
  <c r="W186" i="1"/>
  <c r="V186" i="1"/>
  <c r="M186" i="1"/>
  <c r="L186" i="1"/>
  <c r="H186" i="1"/>
  <c r="G186" i="1"/>
  <c r="F186" i="1"/>
  <c r="E186" i="1"/>
  <c r="D186" i="1"/>
  <c r="C186" i="1"/>
  <c r="B186" i="1"/>
  <c r="AG185" i="1"/>
  <c r="AF185" i="1"/>
  <c r="W185" i="1"/>
  <c r="V185" i="1"/>
  <c r="O185" i="1"/>
  <c r="N185" i="1"/>
  <c r="M185" i="1"/>
  <c r="L185" i="1"/>
  <c r="G185" i="1"/>
  <c r="F185" i="1"/>
  <c r="E185" i="1"/>
  <c r="D185" i="1"/>
  <c r="C185" i="1"/>
  <c r="B185" i="1"/>
  <c r="V184" i="1"/>
  <c r="Q184" i="1"/>
  <c r="P184" i="1"/>
  <c r="O184" i="1"/>
  <c r="N184" i="1"/>
  <c r="M184" i="1"/>
  <c r="L184" i="1"/>
  <c r="F184" i="1"/>
  <c r="E184" i="1"/>
  <c r="D184" i="1"/>
  <c r="C184" i="1"/>
  <c r="B184" i="1"/>
  <c r="AF183" i="1"/>
  <c r="X183" i="1"/>
  <c r="W183" i="1"/>
  <c r="V183" i="1"/>
  <c r="M183" i="1"/>
  <c r="L183" i="1"/>
  <c r="G183" i="1"/>
  <c r="F183" i="1"/>
  <c r="E183" i="1"/>
  <c r="D183" i="1"/>
  <c r="C183" i="1"/>
  <c r="B183" i="1"/>
  <c r="AG182" i="1"/>
  <c r="AF182" i="1"/>
  <c r="W182" i="1"/>
  <c r="V182" i="1"/>
  <c r="P182" i="1"/>
  <c r="O182" i="1"/>
  <c r="N182" i="1"/>
  <c r="M182" i="1"/>
  <c r="L182" i="1"/>
  <c r="B182" i="1"/>
  <c r="AF181" i="1"/>
  <c r="W181" i="1"/>
  <c r="V181" i="1"/>
  <c r="P181" i="1"/>
  <c r="O181" i="1"/>
  <c r="N181" i="1"/>
  <c r="M181" i="1"/>
  <c r="L181" i="1"/>
  <c r="F181" i="1"/>
  <c r="E181" i="1"/>
  <c r="D181" i="1"/>
  <c r="C181" i="1"/>
  <c r="B181" i="1"/>
  <c r="AG180" i="1"/>
  <c r="AF180" i="1"/>
  <c r="V180" i="1"/>
  <c r="O180" i="1"/>
  <c r="N180" i="1"/>
  <c r="M180" i="1"/>
  <c r="L180" i="1"/>
  <c r="G180" i="1"/>
  <c r="F180" i="1"/>
  <c r="E180" i="1"/>
  <c r="D180" i="1"/>
  <c r="C180" i="1"/>
  <c r="B180" i="1"/>
  <c r="AF179" i="1"/>
  <c r="X179" i="1"/>
  <c r="W179" i="1"/>
  <c r="V179" i="1"/>
  <c r="N179" i="1"/>
  <c r="M179" i="1"/>
  <c r="L179" i="1"/>
  <c r="F179" i="1"/>
  <c r="E179" i="1"/>
  <c r="D179" i="1"/>
  <c r="C179" i="1"/>
  <c r="B179" i="1"/>
  <c r="AF178" i="1"/>
  <c r="X178" i="1"/>
  <c r="W178" i="1"/>
  <c r="V178" i="1"/>
  <c r="L178" i="1"/>
  <c r="D178" i="1"/>
  <c r="C178" i="1"/>
  <c r="B178" i="1"/>
  <c r="AG177" i="1"/>
  <c r="AF177" i="1"/>
  <c r="Z177" i="1"/>
  <c r="Y177" i="1"/>
  <c r="X177" i="1"/>
  <c r="W177" i="1"/>
  <c r="V177" i="1"/>
  <c r="P177" i="1"/>
  <c r="O177" i="1"/>
  <c r="N177" i="1"/>
  <c r="M177" i="1"/>
  <c r="L177" i="1"/>
  <c r="F177" i="1"/>
  <c r="E177" i="1"/>
  <c r="D177" i="1"/>
  <c r="C177" i="1"/>
  <c r="B177" i="1"/>
  <c r="AG176" i="1"/>
  <c r="AF176" i="1"/>
  <c r="V176" i="1"/>
  <c r="M176" i="1"/>
  <c r="L176" i="1"/>
  <c r="F176" i="1"/>
  <c r="E176" i="1"/>
  <c r="D176" i="1"/>
  <c r="C176" i="1"/>
  <c r="B176" i="1"/>
  <c r="AG175" i="1"/>
  <c r="AF175" i="1"/>
  <c r="R175" i="1"/>
  <c r="Q175" i="1"/>
  <c r="P175" i="1"/>
  <c r="O175" i="1"/>
  <c r="N175" i="1"/>
  <c r="M175" i="1"/>
  <c r="L175" i="1"/>
  <c r="F175" i="1"/>
  <c r="E175" i="1"/>
  <c r="D175" i="1"/>
  <c r="C175" i="1"/>
  <c r="B175" i="1"/>
  <c r="AG174" i="1"/>
  <c r="AF174" i="1"/>
  <c r="W174" i="1"/>
  <c r="V174" i="1"/>
  <c r="O174" i="1"/>
  <c r="N174" i="1"/>
  <c r="M174" i="1"/>
  <c r="L174" i="1"/>
  <c r="F174" i="1"/>
  <c r="E174" i="1"/>
  <c r="D174" i="1"/>
  <c r="C174" i="1"/>
  <c r="B174" i="1"/>
  <c r="AF173" i="1"/>
  <c r="V173" i="1"/>
  <c r="L173" i="1"/>
  <c r="C173" i="1"/>
  <c r="B173" i="1"/>
  <c r="AF172" i="1"/>
  <c r="AA172" i="1"/>
  <c r="Z172" i="1"/>
  <c r="Y172" i="1"/>
  <c r="X172" i="1"/>
  <c r="W172" i="1"/>
  <c r="V172" i="1"/>
  <c r="P172" i="1"/>
  <c r="O172" i="1"/>
  <c r="N172" i="1"/>
  <c r="M172" i="1"/>
  <c r="L172" i="1"/>
  <c r="C172" i="1"/>
  <c r="B172" i="1"/>
  <c r="AG171" i="1"/>
  <c r="AF171" i="1"/>
  <c r="W171" i="1"/>
  <c r="V171" i="1"/>
  <c r="M171" i="1"/>
  <c r="L171" i="1"/>
  <c r="B171" i="1"/>
  <c r="AA170" i="1"/>
  <c r="Z170" i="1"/>
  <c r="Y170" i="1"/>
  <c r="X170" i="1"/>
  <c r="W170" i="1"/>
  <c r="V170" i="1"/>
  <c r="Q170" i="1"/>
  <c r="P170" i="1"/>
  <c r="O170" i="1"/>
  <c r="N170" i="1"/>
  <c r="M170" i="1"/>
  <c r="L170" i="1"/>
  <c r="E170" i="1"/>
  <c r="D170" i="1"/>
  <c r="C170" i="1"/>
  <c r="B170" i="1"/>
  <c r="AG169" i="1"/>
  <c r="AF169" i="1"/>
  <c r="W169" i="1"/>
  <c r="V169" i="1"/>
  <c r="L169" i="1"/>
  <c r="E169" i="1"/>
  <c r="D169" i="1"/>
  <c r="C169" i="1"/>
  <c r="B169" i="1"/>
  <c r="AF168" i="1"/>
  <c r="W168" i="1"/>
  <c r="V168" i="1"/>
  <c r="Q168" i="1"/>
  <c r="P168" i="1"/>
  <c r="O168" i="1"/>
  <c r="N168" i="1"/>
  <c r="M168" i="1"/>
  <c r="L168" i="1"/>
  <c r="C168" i="1"/>
  <c r="B168" i="1"/>
  <c r="AG167" i="1"/>
  <c r="AF167" i="1"/>
  <c r="V167" i="1"/>
  <c r="P167" i="1"/>
  <c r="O167" i="1"/>
  <c r="N167" i="1"/>
  <c r="M167" i="1"/>
  <c r="L167" i="1"/>
  <c r="F167" i="1"/>
  <c r="E167" i="1"/>
  <c r="D167" i="1"/>
  <c r="C167" i="1"/>
  <c r="B167" i="1"/>
  <c r="AF166" i="1"/>
  <c r="V166" i="1"/>
  <c r="P166" i="1"/>
  <c r="O166" i="1"/>
  <c r="N166" i="1"/>
  <c r="M166" i="1"/>
  <c r="L166" i="1"/>
  <c r="F166" i="1"/>
  <c r="E166" i="1"/>
  <c r="D166" i="1"/>
  <c r="C166" i="1"/>
  <c r="B166" i="1"/>
  <c r="AF165" i="1"/>
  <c r="W165" i="1"/>
  <c r="V165" i="1"/>
  <c r="N165" i="1"/>
  <c r="M165" i="1"/>
  <c r="L165" i="1"/>
  <c r="F165" i="1"/>
  <c r="E165" i="1"/>
  <c r="D165" i="1"/>
  <c r="C165" i="1"/>
  <c r="B165" i="1"/>
  <c r="AG164" i="1"/>
  <c r="AF164" i="1"/>
  <c r="Y164" i="1"/>
  <c r="X164" i="1"/>
  <c r="W164" i="1"/>
  <c r="V164" i="1"/>
  <c r="S164" i="1"/>
  <c r="Q164" i="1"/>
  <c r="P164" i="1"/>
  <c r="O164" i="1"/>
  <c r="N164" i="1"/>
  <c r="M164" i="1"/>
  <c r="L164" i="1"/>
  <c r="G164" i="1"/>
  <c r="F164" i="1"/>
  <c r="E164" i="1"/>
  <c r="D164" i="1"/>
  <c r="C164" i="1"/>
  <c r="B164" i="1"/>
  <c r="AF163" i="1"/>
  <c r="X163" i="1"/>
  <c r="W163" i="1"/>
  <c r="V163" i="1"/>
  <c r="P163" i="1"/>
  <c r="O163" i="1"/>
  <c r="N163" i="1"/>
  <c r="M163" i="1"/>
  <c r="L163" i="1"/>
  <c r="C163" i="1"/>
  <c r="B163" i="1"/>
  <c r="AG162" i="1"/>
  <c r="AF162" i="1"/>
  <c r="W162" i="1"/>
  <c r="V162" i="1"/>
  <c r="Q162" i="1"/>
  <c r="P162" i="1"/>
  <c r="O162" i="1"/>
  <c r="N162" i="1"/>
  <c r="M162" i="1"/>
  <c r="L162" i="1"/>
  <c r="F162" i="1"/>
  <c r="E162" i="1"/>
  <c r="D162" i="1"/>
  <c r="C162" i="1"/>
  <c r="B162" i="1"/>
  <c r="AF161" i="1"/>
  <c r="W161" i="1"/>
  <c r="V161" i="1"/>
  <c r="L161" i="1"/>
  <c r="F161" i="1"/>
  <c r="E161" i="1"/>
  <c r="D161" i="1"/>
  <c r="C161" i="1"/>
  <c r="B161" i="1"/>
  <c r="AF160" i="1"/>
  <c r="Z160" i="1"/>
  <c r="Y160" i="1"/>
  <c r="X160" i="1"/>
  <c r="W160" i="1"/>
  <c r="V160" i="1"/>
  <c r="M160" i="1"/>
  <c r="L160" i="1"/>
  <c r="E160" i="1"/>
  <c r="D160" i="1"/>
  <c r="C160" i="1"/>
  <c r="B160" i="1"/>
  <c r="V159" i="1"/>
  <c r="N159" i="1"/>
  <c r="M159" i="1"/>
  <c r="L159" i="1"/>
  <c r="G159" i="1"/>
  <c r="F159" i="1"/>
  <c r="E159" i="1"/>
  <c r="D159" i="1"/>
  <c r="C159" i="1"/>
  <c r="B159" i="1"/>
  <c r="AH158" i="1"/>
  <c r="AF158" i="1"/>
  <c r="W158" i="1"/>
  <c r="V158" i="1"/>
  <c r="P158" i="1"/>
  <c r="O158" i="1"/>
  <c r="N158" i="1"/>
  <c r="M158" i="1"/>
  <c r="L158" i="1"/>
  <c r="E158" i="1"/>
  <c r="D158" i="1"/>
  <c r="C158" i="1"/>
  <c r="B158" i="1"/>
  <c r="AG157" i="1"/>
  <c r="AF157" i="1"/>
  <c r="W157" i="1"/>
  <c r="V157" i="1"/>
  <c r="P157" i="1"/>
  <c r="O157" i="1"/>
  <c r="N157" i="1"/>
  <c r="M157" i="1"/>
  <c r="L157" i="1"/>
  <c r="D157" i="1"/>
  <c r="C157" i="1"/>
  <c r="B157" i="1"/>
  <c r="AF156" i="1"/>
  <c r="V156" i="1"/>
  <c r="M156" i="1"/>
  <c r="L156" i="1"/>
  <c r="F156" i="1"/>
  <c r="E156" i="1"/>
  <c r="D156" i="1"/>
  <c r="C156" i="1"/>
  <c r="B156" i="1"/>
  <c r="AF155" i="1"/>
  <c r="X155" i="1"/>
  <c r="W155" i="1"/>
  <c r="V155" i="1"/>
  <c r="O155" i="1"/>
  <c r="N155" i="1"/>
  <c r="M155" i="1"/>
  <c r="L155" i="1"/>
  <c r="F155" i="1"/>
  <c r="E155" i="1"/>
  <c r="D155" i="1"/>
  <c r="C155" i="1"/>
  <c r="B155" i="1"/>
  <c r="AF154" i="1"/>
  <c r="AB154" i="1"/>
  <c r="Z154" i="1"/>
  <c r="Y154" i="1"/>
  <c r="X154" i="1"/>
  <c r="W154" i="1"/>
  <c r="V154" i="1"/>
  <c r="O154" i="1"/>
  <c r="N154" i="1"/>
  <c r="M154" i="1"/>
  <c r="L154" i="1"/>
  <c r="F154" i="1"/>
  <c r="C154" i="1"/>
  <c r="B154" i="1"/>
  <c r="AH153" i="1"/>
  <c r="AG153" i="1"/>
  <c r="AF153" i="1"/>
  <c r="X153" i="1"/>
  <c r="W153" i="1"/>
  <c r="V153" i="1"/>
  <c r="L153" i="1"/>
  <c r="E153" i="1"/>
  <c r="D153" i="1"/>
  <c r="C153" i="1"/>
  <c r="B153" i="1"/>
  <c r="AF152" i="1"/>
  <c r="W152" i="1"/>
  <c r="V152" i="1"/>
  <c r="N152" i="1"/>
  <c r="M152" i="1"/>
  <c r="L152" i="1"/>
  <c r="B152" i="1"/>
  <c r="AF151" i="1"/>
  <c r="W151" i="1"/>
  <c r="V151" i="1"/>
  <c r="O151" i="1"/>
  <c r="N151" i="1"/>
  <c r="M151" i="1"/>
  <c r="L151" i="1"/>
  <c r="C151" i="1"/>
  <c r="B151" i="1"/>
  <c r="AH150" i="1"/>
  <c r="AG150" i="1"/>
  <c r="AF150" i="1"/>
  <c r="V150" i="1"/>
  <c r="M150" i="1"/>
  <c r="L150" i="1"/>
  <c r="D150" i="1"/>
  <c r="C150" i="1"/>
  <c r="B150" i="1"/>
  <c r="AG149" i="1"/>
  <c r="AF149" i="1"/>
  <c r="X149" i="1"/>
  <c r="W149" i="1"/>
  <c r="V149" i="1"/>
  <c r="P149" i="1"/>
  <c r="O149" i="1"/>
  <c r="N149" i="1"/>
  <c r="M149" i="1"/>
  <c r="L149" i="1"/>
  <c r="F149" i="1"/>
  <c r="E149" i="1"/>
  <c r="D149" i="1"/>
  <c r="C149" i="1"/>
  <c r="B149" i="1"/>
  <c r="AF148" i="1"/>
  <c r="V148" i="1"/>
  <c r="M148" i="1"/>
  <c r="L148" i="1"/>
  <c r="F148" i="1"/>
  <c r="E148" i="1"/>
  <c r="D148" i="1"/>
  <c r="C148" i="1"/>
  <c r="B148" i="1"/>
  <c r="AG147" i="1"/>
  <c r="AF147" i="1"/>
  <c r="W147" i="1"/>
  <c r="V147" i="1"/>
  <c r="N147" i="1"/>
  <c r="M147" i="1"/>
  <c r="L147" i="1"/>
  <c r="G147" i="1"/>
  <c r="F147" i="1"/>
  <c r="E147" i="1"/>
  <c r="D147" i="1"/>
  <c r="C147" i="1"/>
  <c r="B147" i="1"/>
  <c r="AH146" i="1"/>
  <c r="AG146" i="1"/>
  <c r="AF146" i="1"/>
  <c r="Z146" i="1"/>
  <c r="Y146" i="1"/>
  <c r="X146" i="1"/>
  <c r="W146" i="1"/>
  <c r="V146" i="1"/>
  <c r="N146" i="1"/>
  <c r="M146" i="1"/>
  <c r="L146" i="1"/>
  <c r="E146" i="1"/>
  <c r="D146" i="1"/>
  <c r="C146" i="1"/>
  <c r="B146" i="1"/>
  <c r="AG145" i="1"/>
  <c r="AF145" i="1"/>
  <c r="X145" i="1"/>
  <c r="V145" i="1"/>
  <c r="P145" i="1"/>
  <c r="O145" i="1"/>
  <c r="N145" i="1"/>
  <c r="M145" i="1"/>
  <c r="L145" i="1"/>
  <c r="D145" i="1"/>
  <c r="C145" i="1"/>
  <c r="B145" i="1"/>
  <c r="AF144" i="1"/>
  <c r="V144" i="1"/>
  <c r="P144" i="1"/>
  <c r="O144" i="1"/>
  <c r="N144" i="1"/>
  <c r="M144" i="1"/>
  <c r="L144" i="1"/>
  <c r="E144" i="1"/>
  <c r="D144" i="1"/>
  <c r="C144" i="1"/>
  <c r="B144" i="1"/>
  <c r="AF143" i="1"/>
  <c r="X143" i="1"/>
  <c r="W143" i="1"/>
  <c r="V143" i="1"/>
  <c r="M143" i="1"/>
  <c r="L143" i="1"/>
  <c r="E143" i="1"/>
  <c r="D143" i="1"/>
  <c r="C143" i="1"/>
  <c r="B143" i="1"/>
  <c r="AG142" i="1"/>
  <c r="AF142" i="1"/>
  <c r="W142" i="1"/>
  <c r="V142" i="1"/>
  <c r="O142" i="1"/>
  <c r="N142" i="1"/>
  <c r="M142" i="1"/>
  <c r="L142" i="1"/>
  <c r="F142" i="1"/>
  <c r="E142" i="1"/>
  <c r="D142" i="1"/>
  <c r="C142" i="1"/>
  <c r="B142" i="1"/>
  <c r="AG141" i="1"/>
  <c r="AF141" i="1"/>
  <c r="W141" i="1"/>
  <c r="V141" i="1"/>
  <c r="O141" i="1"/>
  <c r="N141" i="1"/>
  <c r="M141" i="1"/>
  <c r="L141" i="1"/>
  <c r="E141" i="1"/>
  <c r="D141" i="1"/>
  <c r="C141" i="1"/>
  <c r="B141" i="1"/>
  <c r="AG140" i="1"/>
  <c r="AF140" i="1"/>
  <c r="V140" i="1"/>
  <c r="O140" i="1"/>
  <c r="N140" i="1"/>
  <c r="M140" i="1"/>
  <c r="L140" i="1"/>
  <c r="E140" i="1"/>
  <c r="D140" i="1"/>
  <c r="C140" i="1"/>
  <c r="B140" i="1"/>
  <c r="AH139" i="1"/>
  <c r="AG139" i="1"/>
  <c r="AF139" i="1"/>
  <c r="W139" i="1"/>
  <c r="V139" i="1"/>
  <c r="O139" i="1"/>
  <c r="N139" i="1"/>
  <c r="M139" i="1"/>
  <c r="L139" i="1"/>
  <c r="D139" i="1"/>
  <c r="C139" i="1"/>
  <c r="B139" i="1"/>
  <c r="AG138" i="1"/>
  <c r="AF138" i="1"/>
  <c r="V138" i="1"/>
  <c r="L138" i="1"/>
  <c r="E138" i="1"/>
  <c r="D138" i="1"/>
  <c r="C138" i="1"/>
  <c r="B138" i="1"/>
  <c r="AF137" i="1"/>
  <c r="V137" i="1"/>
  <c r="P137" i="1"/>
  <c r="O137" i="1"/>
  <c r="N137" i="1"/>
  <c r="M137" i="1"/>
  <c r="L137" i="1"/>
  <c r="C137" i="1"/>
  <c r="B137" i="1"/>
  <c r="AG136" i="1"/>
  <c r="AF136" i="1"/>
  <c r="W136" i="1"/>
  <c r="V136" i="1"/>
  <c r="P136" i="1"/>
  <c r="O136" i="1"/>
  <c r="N136" i="1"/>
  <c r="M136" i="1"/>
  <c r="L136" i="1"/>
  <c r="C136" i="1"/>
  <c r="B136" i="1"/>
  <c r="AG135" i="1"/>
  <c r="AF135" i="1"/>
  <c r="W135" i="1"/>
  <c r="V135" i="1"/>
  <c r="M135" i="1"/>
  <c r="L135" i="1"/>
  <c r="D135" i="1"/>
  <c r="C135" i="1"/>
  <c r="B135" i="1"/>
  <c r="V134" i="1"/>
  <c r="M134" i="1"/>
  <c r="L134" i="1"/>
  <c r="C134" i="1"/>
  <c r="B134" i="1"/>
  <c r="AG133" i="1"/>
  <c r="AF133" i="1"/>
  <c r="V133" i="1"/>
  <c r="Q133" i="1"/>
  <c r="P133" i="1"/>
  <c r="O133" i="1"/>
  <c r="N133" i="1"/>
  <c r="M133" i="1"/>
  <c r="L133" i="1"/>
  <c r="G133" i="1"/>
  <c r="F133" i="1"/>
  <c r="E133" i="1"/>
  <c r="D133" i="1"/>
  <c r="C133" i="1"/>
  <c r="B133" i="1"/>
  <c r="AF132" i="1"/>
  <c r="X132" i="1"/>
  <c r="W132" i="1"/>
  <c r="V132" i="1"/>
  <c r="C132" i="1"/>
  <c r="B132" i="1"/>
  <c r="AH131" i="1"/>
  <c r="AG131" i="1"/>
  <c r="AF131" i="1"/>
  <c r="W131" i="1"/>
  <c r="V131" i="1"/>
  <c r="L131" i="1"/>
  <c r="D131" i="1"/>
  <c r="C131" i="1"/>
  <c r="B131" i="1"/>
  <c r="V130" i="1"/>
  <c r="N130" i="1"/>
  <c r="M130" i="1"/>
  <c r="L130" i="1"/>
  <c r="D130" i="1"/>
  <c r="C130" i="1"/>
  <c r="B130" i="1"/>
  <c r="AG129" i="1"/>
  <c r="AF129" i="1"/>
  <c r="Z129" i="1"/>
  <c r="Y129" i="1"/>
  <c r="X129" i="1"/>
  <c r="W129" i="1"/>
  <c r="V129" i="1"/>
  <c r="Q129" i="1"/>
  <c r="P129" i="1"/>
  <c r="O129" i="1"/>
  <c r="N129" i="1"/>
  <c r="M129" i="1"/>
  <c r="L129" i="1"/>
  <c r="E129" i="1"/>
  <c r="D129" i="1"/>
  <c r="C129" i="1"/>
  <c r="B129" i="1"/>
  <c r="AG128" i="1"/>
  <c r="AF128" i="1"/>
  <c r="W128" i="1"/>
  <c r="V128" i="1"/>
  <c r="M128" i="1"/>
  <c r="L128" i="1"/>
  <c r="F128" i="1"/>
  <c r="E128" i="1"/>
  <c r="D128" i="1"/>
  <c r="C128" i="1"/>
  <c r="B128" i="1"/>
  <c r="AG127" i="1"/>
  <c r="AF127" i="1"/>
  <c r="W127" i="1"/>
  <c r="V127" i="1"/>
  <c r="P127" i="1"/>
  <c r="O127" i="1"/>
  <c r="N127" i="1"/>
  <c r="M127" i="1"/>
  <c r="L127" i="1"/>
  <c r="F127" i="1"/>
  <c r="E127" i="1"/>
  <c r="D127" i="1"/>
  <c r="C127" i="1"/>
  <c r="B127" i="1"/>
  <c r="AF126" i="1"/>
  <c r="Z126" i="1"/>
  <c r="Y126" i="1"/>
  <c r="X126" i="1"/>
  <c r="W126" i="1"/>
  <c r="V126" i="1"/>
  <c r="N126" i="1"/>
  <c r="M126" i="1"/>
  <c r="L126" i="1"/>
  <c r="C126" i="1"/>
  <c r="B126" i="1"/>
  <c r="AG125" i="1"/>
  <c r="AF125" i="1"/>
  <c r="V125" i="1"/>
  <c r="O125" i="1"/>
  <c r="N125" i="1"/>
  <c r="M125" i="1"/>
  <c r="L125" i="1"/>
  <c r="J125" i="1"/>
  <c r="I125" i="1"/>
  <c r="H125" i="1"/>
  <c r="G125" i="1"/>
  <c r="F125" i="1"/>
  <c r="E125" i="1"/>
  <c r="D125" i="1"/>
  <c r="C125" i="1"/>
  <c r="B125" i="1"/>
  <c r="AF124" i="1"/>
  <c r="V124" i="1"/>
  <c r="N124" i="1"/>
  <c r="M124" i="1"/>
  <c r="L124" i="1"/>
  <c r="E124" i="1"/>
  <c r="D124" i="1"/>
  <c r="C124" i="1"/>
  <c r="B124" i="1"/>
  <c r="AG123" i="1"/>
  <c r="AF123" i="1"/>
  <c r="V123" i="1"/>
  <c r="Q123" i="1"/>
  <c r="P123" i="1"/>
  <c r="O123" i="1"/>
  <c r="N123" i="1"/>
  <c r="M123" i="1"/>
  <c r="L123" i="1"/>
  <c r="D123" i="1"/>
  <c r="C123" i="1"/>
  <c r="B123" i="1"/>
  <c r="AF122" i="1"/>
  <c r="V122" i="1"/>
  <c r="M122" i="1"/>
  <c r="L122" i="1"/>
  <c r="C122" i="1"/>
  <c r="B122" i="1"/>
  <c r="AG121" i="1"/>
  <c r="AF121" i="1"/>
  <c r="W121" i="1"/>
  <c r="V121" i="1"/>
  <c r="P121" i="1"/>
  <c r="O121" i="1"/>
  <c r="N121" i="1"/>
  <c r="M121" i="1"/>
  <c r="L121" i="1"/>
  <c r="C121" i="1"/>
  <c r="B121" i="1"/>
  <c r="W120" i="1"/>
  <c r="V120" i="1"/>
  <c r="S120" i="1"/>
  <c r="R120" i="1"/>
  <c r="Q120" i="1"/>
  <c r="P120" i="1"/>
  <c r="O120" i="1"/>
  <c r="N120" i="1"/>
  <c r="M120" i="1"/>
  <c r="L120" i="1"/>
  <c r="F120" i="1"/>
  <c r="E120" i="1"/>
  <c r="D120" i="1"/>
  <c r="C120" i="1"/>
  <c r="B120" i="1"/>
  <c r="AG119" i="1"/>
  <c r="AF119" i="1"/>
  <c r="W119" i="1"/>
  <c r="V119" i="1"/>
  <c r="N119" i="1"/>
  <c r="M119" i="1"/>
  <c r="L119" i="1"/>
  <c r="G119" i="1"/>
  <c r="F119" i="1"/>
  <c r="E119" i="1"/>
  <c r="D119" i="1"/>
  <c r="C119" i="1"/>
  <c r="B119" i="1"/>
  <c r="AF118" i="1"/>
  <c r="W118" i="1"/>
  <c r="V118" i="1"/>
  <c r="O118" i="1"/>
  <c r="N118" i="1"/>
  <c r="M118" i="1"/>
  <c r="L118" i="1"/>
  <c r="C118" i="1"/>
  <c r="B118" i="1"/>
  <c r="V117" i="1"/>
  <c r="N117" i="1"/>
  <c r="M117" i="1"/>
  <c r="L117" i="1"/>
  <c r="F117" i="1"/>
  <c r="E117" i="1"/>
  <c r="D117" i="1"/>
  <c r="C117" i="1"/>
  <c r="B117" i="1"/>
  <c r="AG116" i="1"/>
  <c r="AF116" i="1"/>
  <c r="V116" i="1"/>
  <c r="O116" i="1"/>
  <c r="N116" i="1"/>
  <c r="M116" i="1"/>
  <c r="L116" i="1"/>
  <c r="E116" i="1"/>
  <c r="D116" i="1"/>
  <c r="C116" i="1"/>
  <c r="B116" i="1"/>
  <c r="AG115" i="1"/>
  <c r="AF115" i="1"/>
  <c r="V115" i="1"/>
  <c r="M115" i="1"/>
  <c r="L115" i="1"/>
  <c r="J115" i="1"/>
  <c r="I115" i="1"/>
  <c r="H115" i="1"/>
  <c r="G115" i="1"/>
  <c r="F115" i="1"/>
  <c r="E115" i="1"/>
  <c r="D115" i="1"/>
  <c r="C115" i="1"/>
  <c r="B115" i="1"/>
  <c r="AG114" i="1"/>
  <c r="AF114" i="1"/>
  <c r="V114" i="1"/>
  <c r="M114" i="1"/>
  <c r="L114" i="1"/>
  <c r="E114" i="1"/>
  <c r="D114" i="1"/>
  <c r="C114" i="1"/>
  <c r="B114" i="1"/>
  <c r="AG113" i="1"/>
  <c r="AF113" i="1"/>
  <c r="AA113" i="1"/>
  <c r="Z113" i="1"/>
  <c r="Y113" i="1"/>
  <c r="X113" i="1"/>
  <c r="W113" i="1"/>
  <c r="V113" i="1"/>
  <c r="O113" i="1"/>
  <c r="N113" i="1"/>
  <c r="M113" i="1"/>
  <c r="L113" i="1"/>
  <c r="F113" i="1"/>
  <c r="C113" i="1"/>
  <c r="B113" i="1"/>
  <c r="AG112" i="1"/>
  <c r="AF112" i="1"/>
  <c r="W112" i="1"/>
  <c r="V112" i="1"/>
  <c r="M112" i="1"/>
  <c r="L112" i="1"/>
  <c r="G112" i="1"/>
  <c r="F112" i="1"/>
  <c r="E112" i="1"/>
  <c r="D112" i="1"/>
  <c r="C112" i="1"/>
  <c r="B112" i="1"/>
  <c r="AG111" i="1"/>
  <c r="AF111" i="1"/>
  <c r="V111" i="1"/>
  <c r="L111" i="1"/>
  <c r="C111" i="1"/>
  <c r="B111" i="1"/>
  <c r="AF110" i="1"/>
  <c r="V110" i="1"/>
  <c r="Q110" i="1"/>
  <c r="P110" i="1"/>
  <c r="O110" i="1"/>
  <c r="N110" i="1"/>
  <c r="M110" i="1"/>
  <c r="L110" i="1"/>
  <c r="B110" i="1"/>
  <c r="AF109" i="1"/>
  <c r="V109" i="1"/>
  <c r="L109" i="1"/>
  <c r="E109" i="1"/>
  <c r="D109" i="1"/>
  <c r="C109" i="1"/>
  <c r="B109" i="1"/>
  <c r="AF108" i="1"/>
  <c r="V108" i="1"/>
  <c r="Q108" i="1"/>
  <c r="P108" i="1"/>
  <c r="O108" i="1"/>
  <c r="N108" i="1"/>
  <c r="M108" i="1"/>
  <c r="L108" i="1"/>
  <c r="B108" i="1"/>
  <c r="AG107" i="1"/>
  <c r="AF107" i="1"/>
  <c r="W107" i="1"/>
  <c r="V107" i="1"/>
  <c r="O107" i="1"/>
  <c r="N107" i="1"/>
  <c r="M107" i="1"/>
  <c r="L107" i="1"/>
  <c r="H107" i="1"/>
  <c r="G107" i="1"/>
  <c r="F107" i="1"/>
  <c r="E107" i="1"/>
  <c r="D107" i="1"/>
  <c r="C107" i="1"/>
  <c r="B107" i="1"/>
  <c r="AF106" i="1"/>
  <c r="W106" i="1"/>
  <c r="V106" i="1"/>
  <c r="Q106" i="1"/>
  <c r="P106" i="1"/>
  <c r="O106" i="1"/>
  <c r="N106" i="1"/>
  <c r="M106" i="1"/>
  <c r="L106" i="1"/>
  <c r="G106" i="1"/>
  <c r="F106" i="1"/>
  <c r="E106" i="1"/>
  <c r="D106" i="1"/>
  <c r="C106" i="1"/>
  <c r="B106" i="1"/>
  <c r="X105" i="1"/>
  <c r="W105" i="1"/>
  <c r="V105" i="1"/>
  <c r="N105" i="1"/>
  <c r="M105" i="1"/>
  <c r="L105" i="1"/>
  <c r="H105" i="1"/>
  <c r="G105" i="1"/>
  <c r="F105" i="1"/>
  <c r="E105" i="1"/>
  <c r="D105" i="1"/>
  <c r="C105" i="1"/>
  <c r="B105" i="1"/>
  <c r="AH104" i="1"/>
  <c r="AG104" i="1"/>
  <c r="AF104" i="1"/>
  <c r="W104" i="1"/>
  <c r="V104" i="1"/>
  <c r="O104" i="1"/>
  <c r="N104" i="1"/>
  <c r="M104" i="1"/>
  <c r="L104" i="1"/>
  <c r="H104" i="1"/>
  <c r="G104" i="1"/>
  <c r="F104" i="1"/>
  <c r="E104" i="1"/>
  <c r="D104" i="1"/>
  <c r="C104" i="1"/>
  <c r="B104" i="1"/>
  <c r="AF103" i="1"/>
  <c r="W103" i="1"/>
  <c r="V103" i="1"/>
  <c r="N103" i="1"/>
  <c r="M103" i="1"/>
  <c r="L103" i="1"/>
  <c r="E103" i="1"/>
  <c r="D103" i="1"/>
  <c r="C103" i="1"/>
  <c r="B103" i="1"/>
  <c r="AG102" i="1"/>
  <c r="W102" i="1"/>
  <c r="V102" i="1"/>
  <c r="N102" i="1"/>
  <c r="M102" i="1"/>
  <c r="L102" i="1"/>
  <c r="E102" i="1"/>
  <c r="D102" i="1"/>
  <c r="C102" i="1"/>
  <c r="B102" i="1"/>
  <c r="AG101" i="1"/>
  <c r="AF101" i="1"/>
  <c r="X101" i="1"/>
  <c r="W101" i="1"/>
  <c r="V101" i="1"/>
  <c r="L101" i="1"/>
  <c r="G101" i="1"/>
  <c r="F101" i="1"/>
  <c r="E101" i="1"/>
  <c r="D101" i="1"/>
  <c r="C101" i="1"/>
  <c r="B101" i="1"/>
  <c r="AF100" i="1"/>
  <c r="W100" i="1"/>
  <c r="V100" i="1"/>
  <c r="M100" i="1"/>
  <c r="L100" i="1"/>
  <c r="C100" i="1"/>
  <c r="B100" i="1"/>
  <c r="V99" i="1"/>
  <c r="M99" i="1"/>
  <c r="L99" i="1"/>
  <c r="H99" i="1"/>
  <c r="G99" i="1"/>
  <c r="F99" i="1"/>
  <c r="E99" i="1"/>
  <c r="D99" i="1"/>
  <c r="C99" i="1"/>
  <c r="B99" i="1"/>
  <c r="AG98" i="1"/>
  <c r="AF98" i="1"/>
  <c r="W98" i="1"/>
  <c r="V98" i="1"/>
  <c r="P98" i="1"/>
  <c r="O98" i="1"/>
  <c r="N98" i="1"/>
  <c r="M98" i="1"/>
  <c r="L98" i="1"/>
  <c r="C98" i="1"/>
  <c r="B98" i="1"/>
  <c r="AF97" i="1"/>
  <c r="W97" i="1"/>
  <c r="V97" i="1"/>
  <c r="M97" i="1"/>
  <c r="L97" i="1"/>
  <c r="D97" i="1"/>
  <c r="C97" i="1"/>
  <c r="B97" i="1"/>
  <c r="AF96" i="1"/>
  <c r="W96" i="1"/>
  <c r="V96" i="1"/>
  <c r="M96" i="1"/>
  <c r="L96" i="1"/>
  <c r="F96" i="1"/>
  <c r="E96" i="1"/>
  <c r="D96" i="1"/>
  <c r="C96" i="1"/>
  <c r="B96" i="1"/>
  <c r="AG95" i="1"/>
  <c r="AF95" i="1"/>
  <c r="Y95" i="1"/>
  <c r="X95" i="1"/>
  <c r="W95" i="1"/>
  <c r="V95" i="1"/>
  <c r="M95" i="1"/>
  <c r="L95" i="1"/>
  <c r="F95" i="1"/>
  <c r="E95" i="1"/>
  <c r="D95" i="1"/>
  <c r="C95" i="1"/>
  <c r="B95" i="1"/>
  <c r="AG94" i="1"/>
  <c r="AF94" i="1"/>
  <c r="W94" i="1"/>
  <c r="V94" i="1"/>
  <c r="M94" i="1"/>
  <c r="L94" i="1"/>
  <c r="E94" i="1"/>
  <c r="D94" i="1"/>
  <c r="C94" i="1"/>
  <c r="B94" i="1"/>
  <c r="AG93" i="1"/>
  <c r="AF93" i="1"/>
  <c r="V93" i="1"/>
  <c r="R93" i="1"/>
  <c r="Q93" i="1"/>
  <c r="P93" i="1"/>
  <c r="O93" i="1"/>
  <c r="N93" i="1"/>
  <c r="M93" i="1"/>
  <c r="L93" i="1"/>
  <c r="E93" i="1"/>
  <c r="D93" i="1"/>
  <c r="C93" i="1"/>
  <c r="B93" i="1"/>
  <c r="AF92" i="1"/>
  <c r="Z92" i="1"/>
  <c r="Y92" i="1"/>
  <c r="X92" i="1"/>
  <c r="W92" i="1"/>
  <c r="V92" i="1"/>
  <c r="R92" i="1"/>
  <c r="Q92" i="1"/>
  <c r="P92" i="1"/>
  <c r="O92" i="1"/>
  <c r="N92" i="1"/>
  <c r="M92" i="1"/>
  <c r="L92" i="1"/>
  <c r="D92" i="1"/>
  <c r="AF91" i="1"/>
  <c r="Y91" i="1"/>
  <c r="X91" i="1"/>
  <c r="W91" i="1"/>
  <c r="V91" i="1"/>
  <c r="O91" i="1"/>
  <c r="N91" i="1"/>
  <c r="M91" i="1"/>
  <c r="L91" i="1"/>
  <c r="G91" i="1"/>
  <c r="F91" i="1"/>
  <c r="E91" i="1"/>
  <c r="D91" i="1"/>
  <c r="C91" i="1"/>
  <c r="B91" i="1"/>
  <c r="AG90" i="1"/>
  <c r="AF90" i="1"/>
  <c r="X90" i="1"/>
  <c r="W90" i="1"/>
  <c r="V90" i="1"/>
  <c r="P90" i="1"/>
  <c r="O90" i="1"/>
  <c r="N90" i="1"/>
  <c r="M90" i="1"/>
  <c r="L90" i="1"/>
  <c r="C90" i="1"/>
  <c r="B90" i="1"/>
  <c r="AG89" i="1"/>
  <c r="AF89" i="1"/>
  <c r="W89" i="1"/>
  <c r="V89" i="1"/>
  <c r="P89" i="1"/>
  <c r="O89" i="1"/>
  <c r="N89" i="1"/>
  <c r="M89" i="1"/>
  <c r="L89" i="1"/>
  <c r="E89" i="1"/>
  <c r="D89" i="1"/>
  <c r="C89" i="1"/>
  <c r="B89" i="1"/>
  <c r="AF88" i="1"/>
  <c r="V88" i="1"/>
  <c r="M88" i="1"/>
  <c r="L88" i="1"/>
  <c r="C88" i="1"/>
  <c r="B88" i="1"/>
  <c r="AF87" i="1"/>
  <c r="Z87" i="1"/>
  <c r="Y87" i="1"/>
  <c r="X87" i="1"/>
  <c r="W87" i="1"/>
  <c r="V87" i="1"/>
  <c r="L87" i="1"/>
  <c r="H87" i="1"/>
  <c r="F87" i="1"/>
  <c r="E87" i="1"/>
  <c r="D87" i="1"/>
  <c r="C87" i="1"/>
  <c r="B87" i="1"/>
  <c r="AF86" i="1"/>
  <c r="V86" i="1"/>
  <c r="P86" i="1"/>
  <c r="O86" i="1"/>
  <c r="N86" i="1"/>
  <c r="M86" i="1"/>
  <c r="L86" i="1"/>
  <c r="G86" i="1"/>
  <c r="F86" i="1"/>
  <c r="E86" i="1"/>
  <c r="D86" i="1"/>
  <c r="C86" i="1"/>
  <c r="B86" i="1"/>
  <c r="AF85" i="1"/>
  <c r="V85" i="1"/>
  <c r="O85" i="1"/>
  <c r="N85" i="1"/>
  <c r="M85" i="1"/>
  <c r="L85" i="1"/>
  <c r="D85" i="1"/>
  <c r="C85" i="1"/>
  <c r="B85" i="1"/>
  <c r="AF84" i="1"/>
  <c r="AA84" i="1"/>
  <c r="Z84" i="1"/>
  <c r="Y84" i="1"/>
  <c r="X84" i="1"/>
  <c r="W84" i="1"/>
  <c r="V84" i="1"/>
  <c r="M84" i="1"/>
  <c r="L84" i="1"/>
  <c r="J84" i="1"/>
  <c r="I84" i="1"/>
  <c r="H84" i="1"/>
  <c r="G84" i="1"/>
  <c r="F84" i="1"/>
  <c r="E84" i="1"/>
  <c r="D84" i="1"/>
  <c r="C84" i="1"/>
  <c r="B84" i="1"/>
  <c r="AG83" i="1"/>
  <c r="AF83" i="1"/>
  <c r="L83" i="1"/>
  <c r="F83" i="1"/>
  <c r="E83" i="1"/>
  <c r="D83" i="1"/>
  <c r="C83" i="1"/>
  <c r="B83" i="1"/>
  <c r="AF82" i="1"/>
  <c r="X82" i="1"/>
  <c r="W82" i="1"/>
  <c r="V82" i="1"/>
  <c r="M82" i="1"/>
  <c r="L82" i="1"/>
  <c r="D82" i="1"/>
  <c r="C82" i="1"/>
  <c r="B82" i="1"/>
  <c r="AG81" i="1"/>
  <c r="AF81" i="1"/>
  <c r="V81" i="1"/>
  <c r="O81" i="1"/>
  <c r="N81" i="1"/>
  <c r="M81" i="1"/>
  <c r="L81" i="1"/>
  <c r="E81" i="1"/>
  <c r="D81" i="1"/>
  <c r="C81" i="1"/>
  <c r="B81" i="1"/>
  <c r="AG80" i="1"/>
  <c r="AF80" i="1"/>
  <c r="P80" i="1"/>
  <c r="O80" i="1"/>
  <c r="N80" i="1"/>
  <c r="M80" i="1"/>
  <c r="L80" i="1"/>
  <c r="E80" i="1"/>
  <c r="D80" i="1"/>
  <c r="C80" i="1"/>
  <c r="B80" i="1"/>
  <c r="AF79" i="1"/>
  <c r="AC79" i="1"/>
  <c r="AB79" i="1"/>
  <c r="AA79" i="1"/>
  <c r="Z79" i="1"/>
  <c r="Y79" i="1"/>
  <c r="X79" i="1"/>
  <c r="W79" i="1"/>
  <c r="V79" i="1"/>
  <c r="O79" i="1"/>
  <c r="N79" i="1"/>
  <c r="M79" i="1"/>
  <c r="L79" i="1"/>
  <c r="D79" i="1"/>
  <c r="C79" i="1"/>
  <c r="B79" i="1"/>
  <c r="AF78" i="1"/>
  <c r="W78" i="1"/>
  <c r="V78" i="1"/>
  <c r="Q78" i="1"/>
  <c r="P78" i="1"/>
  <c r="O78" i="1"/>
  <c r="N78" i="1"/>
  <c r="M78" i="1"/>
  <c r="L78" i="1"/>
  <c r="G78" i="1"/>
  <c r="F78" i="1"/>
  <c r="E78" i="1"/>
  <c r="D78" i="1"/>
  <c r="C78" i="1"/>
  <c r="B78" i="1"/>
  <c r="AG77" i="1"/>
  <c r="AF77" i="1"/>
  <c r="W77" i="1"/>
  <c r="V77" i="1"/>
  <c r="M77" i="1"/>
  <c r="L77" i="1"/>
  <c r="D77" i="1"/>
  <c r="C77" i="1"/>
  <c r="B77" i="1"/>
  <c r="AF76" i="1"/>
  <c r="X76" i="1"/>
  <c r="W76" i="1"/>
  <c r="V76" i="1"/>
  <c r="M76" i="1"/>
  <c r="L76" i="1"/>
  <c r="F76" i="1"/>
  <c r="E76" i="1"/>
  <c r="D76" i="1"/>
  <c r="C76" i="1"/>
  <c r="B76" i="1"/>
  <c r="AG75" i="1"/>
  <c r="AF75" i="1"/>
  <c r="X75" i="1"/>
  <c r="W75" i="1"/>
  <c r="V75" i="1"/>
  <c r="L75" i="1"/>
  <c r="F75" i="1"/>
  <c r="E75" i="1"/>
  <c r="D75" i="1"/>
  <c r="C75" i="1"/>
  <c r="B75" i="1"/>
  <c r="AF74" i="1"/>
  <c r="V74" i="1"/>
  <c r="O74" i="1"/>
  <c r="N74" i="1"/>
  <c r="M74" i="1"/>
  <c r="L74" i="1"/>
  <c r="E74" i="1"/>
  <c r="D74" i="1"/>
  <c r="C74" i="1"/>
  <c r="B74" i="1"/>
  <c r="AF73" i="1"/>
  <c r="W73" i="1"/>
  <c r="V73" i="1"/>
  <c r="P73" i="1"/>
  <c r="O73" i="1"/>
  <c r="N73" i="1"/>
  <c r="M73" i="1"/>
  <c r="L73" i="1"/>
  <c r="G73" i="1"/>
  <c r="F73" i="1"/>
  <c r="E73" i="1"/>
  <c r="D73" i="1"/>
  <c r="C73" i="1"/>
  <c r="B73" i="1"/>
  <c r="V72" i="1"/>
  <c r="P72" i="1"/>
  <c r="O72" i="1"/>
  <c r="N72" i="1"/>
  <c r="M72" i="1"/>
  <c r="L72" i="1"/>
  <c r="H72" i="1"/>
  <c r="G72" i="1"/>
  <c r="F72" i="1"/>
  <c r="E72" i="1"/>
  <c r="D72" i="1"/>
  <c r="C72" i="1"/>
  <c r="B72" i="1"/>
  <c r="AG71" i="1"/>
  <c r="AF71" i="1"/>
  <c r="W71" i="1"/>
  <c r="V71" i="1"/>
  <c r="M71" i="1"/>
  <c r="L71" i="1"/>
  <c r="F71" i="1"/>
  <c r="E71" i="1"/>
  <c r="D71" i="1"/>
  <c r="C71" i="1"/>
  <c r="B71" i="1"/>
  <c r="AG70" i="1"/>
  <c r="AF70" i="1"/>
  <c r="W70" i="1"/>
  <c r="V70" i="1"/>
  <c r="O70" i="1"/>
  <c r="M70" i="1"/>
  <c r="L70" i="1"/>
  <c r="E70" i="1"/>
  <c r="D70" i="1"/>
  <c r="C70" i="1"/>
  <c r="B70" i="1"/>
  <c r="AH69" i="1"/>
  <c r="AG69" i="1"/>
  <c r="AF69" i="1"/>
  <c r="AA69" i="1"/>
  <c r="Z69" i="1"/>
  <c r="Y69" i="1"/>
  <c r="X69" i="1"/>
  <c r="W69" i="1"/>
  <c r="V69" i="1"/>
  <c r="M69" i="1"/>
  <c r="L69" i="1"/>
  <c r="C69" i="1"/>
  <c r="B69" i="1"/>
  <c r="AF68" i="1"/>
  <c r="W68" i="1"/>
  <c r="V68" i="1"/>
  <c r="M68" i="1"/>
  <c r="L68" i="1"/>
  <c r="H68" i="1"/>
  <c r="G68" i="1"/>
  <c r="F68" i="1"/>
  <c r="E68" i="1"/>
  <c r="D68" i="1"/>
  <c r="C68" i="1"/>
  <c r="B68" i="1"/>
  <c r="AF67" i="1"/>
  <c r="Z67" i="1"/>
  <c r="Y67" i="1"/>
  <c r="X67" i="1"/>
  <c r="W67" i="1"/>
  <c r="V67" i="1"/>
  <c r="L67" i="1"/>
  <c r="C67" i="1"/>
  <c r="B67" i="1"/>
  <c r="AG66" i="1"/>
  <c r="AF66" i="1"/>
  <c r="X66" i="1"/>
  <c r="W66" i="1"/>
  <c r="V66" i="1"/>
  <c r="P66" i="1"/>
  <c r="O66" i="1"/>
  <c r="N66" i="1"/>
  <c r="M66" i="1"/>
  <c r="L66" i="1"/>
  <c r="F66" i="1"/>
  <c r="E66" i="1"/>
  <c r="D66" i="1"/>
  <c r="C66" i="1"/>
  <c r="B66" i="1"/>
  <c r="AG65" i="1"/>
  <c r="AF65" i="1"/>
  <c r="V65" i="1"/>
  <c r="Q65" i="1"/>
  <c r="P65" i="1"/>
  <c r="O65" i="1"/>
  <c r="N65" i="1"/>
  <c r="M65" i="1"/>
  <c r="L65" i="1"/>
  <c r="F65" i="1"/>
  <c r="E65" i="1"/>
  <c r="D65" i="1"/>
  <c r="B65" i="1"/>
  <c r="AH64" i="1"/>
  <c r="AG64" i="1"/>
  <c r="AF64" i="1"/>
  <c r="X64" i="1"/>
  <c r="W64" i="1"/>
  <c r="V64" i="1"/>
  <c r="L64" i="1"/>
  <c r="E64" i="1"/>
  <c r="D64" i="1"/>
  <c r="C64" i="1"/>
  <c r="B64" i="1"/>
  <c r="AF63" i="1"/>
  <c r="Z63" i="1"/>
  <c r="Y63" i="1"/>
  <c r="X63" i="1"/>
  <c r="W63" i="1"/>
  <c r="V63" i="1"/>
  <c r="O63" i="1"/>
  <c r="N63" i="1"/>
  <c r="M63" i="1"/>
  <c r="L63" i="1"/>
  <c r="E63" i="1"/>
  <c r="D63" i="1"/>
  <c r="C63" i="1"/>
  <c r="B63" i="1"/>
  <c r="AH62" i="1"/>
  <c r="AG62" i="1"/>
  <c r="AF62" i="1"/>
  <c r="V62" i="1"/>
  <c r="Q62" i="1"/>
  <c r="P62" i="1"/>
  <c r="O62" i="1"/>
  <c r="N62" i="1"/>
  <c r="M62" i="1"/>
  <c r="L62" i="1"/>
  <c r="F62" i="1"/>
  <c r="E62" i="1"/>
  <c r="D62" i="1"/>
  <c r="C62" i="1"/>
  <c r="B62" i="1"/>
  <c r="AF61" i="1"/>
  <c r="O61" i="1"/>
  <c r="N61" i="1"/>
  <c r="M61" i="1"/>
  <c r="L61" i="1"/>
  <c r="F61" i="1"/>
  <c r="E61" i="1"/>
  <c r="D61" i="1"/>
  <c r="C61" i="1"/>
  <c r="B61" i="1"/>
  <c r="AG60" i="1"/>
  <c r="AF60" i="1"/>
  <c r="V60" i="1"/>
  <c r="M60" i="1"/>
  <c r="L60" i="1"/>
  <c r="E60" i="1"/>
  <c r="D60" i="1"/>
  <c r="C60" i="1"/>
  <c r="B60" i="1"/>
  <c r="W59" i="1"/>
  <c r="V59" i="1"/>
  <c r="M59" i="1"/>
  <c r="L59" i="1"/>
  <c r="E59" i="1"/>
  <c r="D59" i="1"/>
  <c r="C59" i="1"/>
  <c r="B59" i="1"/>
  <c r="AG58" i="1"/>
  <c r="AF58" i="1"/>
  <c r="V58" i="1"/>
  <c r="P58" i="1"/>
  <c r="O58" i="1"/>
  <c r="N58" i="1"/>
  <c r="M58" i="1"/>
  <c r="L58" i="1"/>
  <c r="C58" i="1"/>
  <c r="B58" i="1"/>
  <c r="AG57" i="1"/>
  <c r="AF57" i="1"/>
  <c r="V57" i="1"/>
  <c r="M57" i="1"/>
  <c r="L57" i="1"/>
  <c r="D57" i="1"/>
  <c r="C57" i="1"/>
  <c r="B57" i="1"/>
  <c r="AF56" i="1"/>
  <c r="V56" i="1"/>
  <c r="M56" i="1"/>
  <c r="L56" i="1"/>
  <c r="E56" i="1"/>
  <c r="D56" i="1"/>
  <c r="C56" i="1"/>
  <c r="B56" i="1"/>
  <c r="AF55" i="1"/>
  <c r="V55" i="1"/>
  <c r="P55" i="1"/>
  <c r="O55" i="1"/>
  <c r="N55" i="1"/>
  <c r="M55" i="1"/>
  <c r="L55" i="1"/>
  <c r="F55" i="1"/>
  <c r="E55" i="1"/>
  <c r="D55" i="1"/>
  <c r="C55" i="1"/>
  <c r="B55" i="1"/>
  <c r="AG54" i="1"/>
  <c r="AF54" i="1"/>
  <c r="W54" i="1"/>
  <c r="V54" i="1"/>
  <c r="P54" i="1"/>
  <c r="O54" i="1"/>
  <c r="N54" i="1"/>
  <c r="M54" i="1"/>
  <c r="L54" i="1"/>
  <c r="B54" i="1"/>
  <c r="W53" i="1"/>
  <c r="V53" i="1"/>
  <c r="P53" i="1"/>
  <c r="O53" i="1"/>
  <c r="N53" i="1"/>
  <c r="M53" i="1"/>
  <c r="L53" i="1"/>
  <c r="D53" i="1"/>
  <c r="C53" i="1"/>
  <c r="B53" i="1"/>
  <c r="AG52" i="1"/>
  <c r="AF52" i="1"/>
  <c r="W52" i="1"/>
  <c r="V52" i="1"/>
  <c r="O52" i="1"/>
  <c r="N52" i="1"/>
  <c r="M52" i="1"/>
  <c r="L52" i="1"/>
  <c r="G52" i="1"/>
  <c r="F52" i="1"/>
  <c r="E52" i="1"/>
  <c r="D52" i="1"/>
  <c r="C52" i="1"/>
  <c r="B52" i="1"/>
  <c r="AG51" i="1"/>
  <c r="AF51" i="1"/>
  <c r="AA51" i="1"/>
  <c r="Z51" i="1"/>
  <c r="Y51" i="1"/>
  <c r="X51" i="1"/>
  <c r="W51" i="1"/>
  <c r="V51" i="1"/>
  <c r="S51" i="1"/>
  <c r="R51" i="1"/>
  <c r="Q51" i="1"/>
  <c r="P51" i="1"/>
  <c r="O51" i="1"/>
  <c r="N51" i="1"/>
  <c r="M51" i="1"/>
  <c r="L51" i="1"/>
  <c r="D51" i="1"/>
  <c r="C51" i="1"/>
  <c r="B51" i="1"/>
  <c r="AH50" i="1"/>
  <c r="AG50" i="1"/>
  <c r="AF50" i="1"/>
  <c r="Y50" i="1"/>
  <c r="W50" i="1"/>
  <c r="V50" i="1"/>
  <c r="O50" i="1"/>
  <c r="N50" i="1"/>
  <c r="M50" i="1"/>
  <c r="L50" i="1"/>
  <c r="B50" i="1"/>
  <c r="AF49" i="1"/>
  <c r="V49" i="1"/>
  <c r="P49" i="1"/>
  <c r="O49" i="1"/>
  <c r="N49" i="1"/>
  <c r="M49" i="1"/>
  <c r="L49" i="1"/>
  <c r="F49" i="1"/>
  <c r="E49" i="1"/>
  <c r="D49" i="1"/>
  <c r="C49" i="1"/>
  <c r="B49" i="1"/>
  <c r="X48" i="1"/>
  <c r="W48" i="1"/>
  <c r="V48" i="1"/>
  <c r="N48" i="1"/>
  <c r="M48" i="1"/>
  <c r="L48" i="1"/>
  <c r="I48" i="1"/>
  <c r="G48" i="1"/>
  <c r="F48" i="1"/>
  <c r="E48" i="1"/>
  <c r="D48" i="1"/>
  <c r="C48" i="1"/>
  <c r="B48" i="1"/>
  <c r="AH47" i="1"/>
  <c r="AG47" i="1"/>
  <c r="AF47" i="1"/>
  <c r="AA47" i="1"/>
  <c r="Z47" i="1"/>
  <c r="Y47" i="1"/>
  <c r="X47" i="1"/>
  <c r="W47" i="1"/>
  <c r="V47" i="1"/>
  <c r="O47" i="1"/>
  <c r="N47" i="1"/>
  <c r="M47" i="1"/>
  <c r="L47" i="1"/>
  <c r="B47" i="1"/>
  <c r="AF46" i="1"/>
  <c r="W46" i="1"/>
  <c r="V46" i="1"/>
  <c r="P46" i="1"/>
  <c r="O46" i="1"/>
  <c r="N46" i="1"/>
  <c r="M46" i="1"/>
  <c r="L46" i="1"/>
  <c r="F46" i="1"/>
  <c r="E46" i="1"/>
  <c r="D46" i="1"/>
  <c r="C46" i="1"/>
  <c r="B46" i="1"/>
  <c r="AH45" i="1"/>
  <c r="AG45" i="1"/>
  <c r="AF45" i="1"/>
  <c r="W45" i="1"/>
  <c r="V45" i="1"/>
  <c r="M45" i="1"/>
  <c r="L45" i="1"/>
  <c r="J45" i="1"/>
  <c r="I45" i="1"/>
  <c r="H45" i="1"/>
  <c r="G45" i="1"/>
  <c r="F45" i="1"/>
  <c r="E45" i="1"/>
  <c r="D45" i="1"/>
  <c r="C45" i="1"/>
  <c r="B45" i="1"/>
  <c r="AG44" i="1"/>
  <c r="AF44" i="1"/>
  <c r="V44" i="1"/>
  <c r="M44" i="1"/>
  <c r="L44" i="1"/>
  <c r="F44" i="1"/>
  <c r="E44" i="1"/>
  <c r="D44" i="1"/>
  <c r="C44" i="1"/>
  <c r="B44" i="1"/>
  <c r="AG43" i="1"/>
  <c r="AF43" i="1"/>
  <c r="Z43" i="1"/>
  <c r="Y43" i="1"/>
  <c r="X43" i="1"/>
  <c r="W43" i="1"/>
  <c r="V43" i="1"/>
  <c r="L43" i="1"/>
  <c r="C43" i="1"/>
  <c r="B43" i="1"/>
  <c r="AG42" i="1"/>
  <c r="AF42" i="1"/>
  <c r="V42" i="1"/>
  <c r="L42" i="1"/>
  <c r="F42" i="1"/>
  <c r="E42" i="1"/>
  <c r="D42" i="1"/>
  <c r="C42" i="1"/>
  <c r="B42" i="1"/>
  <c r="AG41" i="1"/>
  <c r="AF41" i="1"/>
  <c r="W41" i="1"/>
  <c r="V41" i="1"/>
  <c r="M41" i="1"/>
  <c r="L41" i="1"/>
  <c r="C41" i="1"/>
  <c r="B41" i="1"/>
  <c r="AF40" i="1"/>
  <c r="P40" i="1"/>
  <c r="O40" i="1"/>
  <c r="N40" i="1"/>
  <c r="M40" i="1"/>
  <c r="L40" i="1"/>
  <c r="D40" i="1"/>
  <c r="C40" i="1"/>
  <c r="B40" i="1"/>
  <c r="AG39" i="1"/>
  <c r="AF39" i="1"/>
  <c r="W39" i="1"/>
  <c r="V39" i="1"/>
  <c r="Q39" i="1"/>
  <c r="P39" i="1"/>
  <c r="O39" i="1"/>
  <c r="N39" i="1"/>
  <c r="M39" i="1"/>
  <c r="L39" i="1"/>
  <c r="C39" i="1"/>
  <c r="B39" i="1"/>
  <c r="AG38" i="1"/>
  <c r="AF38" i="1"/>
  <c r="W38" i="1"/>
  <c r="V38" i="1"/>
  <c r="N38" i="1"/>
  <c r="L38" i="1"/>
  <c r="H38" i="1"/>
  <c r="G38" i="1"/>
  <c r="F38" i="1"/>
  <c r="E38" i="1"/>
  <c r="D38" i="1"/>
  <c r="C38" i="1"/>
  <c r="B38" i="1"/>
  <c r="AG37" i="1"/>
  <c r="AF37" i="1"/>
  <c r="W37" i="1"/>
  <c r="V37" i="1"/>
  <c r="P37" i="1"/>
  <c r="O37" i="1"/>
  <c r="N37" i="1"/>
  <c r="M37" i="1"/>
  <c r="L37" i="1"/>
  <c r="F37" i="1"/>
  <c r="D37" i="1"/>
  <c r="G37" i="1"/>
  <c r="C37" i="1"/>
  <c r="E37" i="1"/>
  <c r="B37" i="1"/>
  <c r="AF36" i="1"/>
  <c r="AB36" i="1"/>
  <c r="AA36" i="1"/>
  <c r="Z36" i="1"/>
  <c r="Y36" i="1"/>
  <c r="X36" i="1"/>
  <c r="W36" i="1"/>
  <c r="V36" i="1"/>
  <c r="P36" i="1"/>
  <c r="O36" i="1"/>
  <c r="N36" i="1"/>
  <c r="M36" i="1"/>
  <c r="L36" i="1"/>
  <c r="F36" i="1"/>
  <c r="E36" i="1"/>
  <c r="D36" i="1"/>
  <c r="C36" i="1"/>
  <c r="B36" i="1"/>
  <c r="AF35" i="1"/>
  <c r="W35" i="1"/>
  <c r="V35" i="1"/>
  <c r="M35" i="1"/>
  <c r="L35" i="1"/>
  <c r="E35" i="1"/>
  <c r="D35" i="1"/>
  <c r="C35" i="1"/>
  <c r="B35" i="1"/>
  <c r="AF34" i="1"/>
  <c r="V34" i="1"/>
  <c r="Q34" i="1"/>
  <c r="P34" i="1"/>
  <c r="O34" i="1"/>
  <c r="N34" i="1"/>
  <c r="M34" i="1"/>
  <c r="L34" i="1"/>
  <c r="E34" i="1"/>
  <c r="D34" i="1"/>
  <c r="C34" i="1"/>
  <c r="B34" i="1"/>
  <c r="AG33" i="1"/>
  <c r="AF33" i="1"/>
  <c r="V33" i="1"/>
  <c r="Q33" i="1"/>
  <c r="P33" i="1"/>
  <c r="O33" i="1"/>
  <c r="N33" i="1"/>
  <c r="M33" i="1"/>
  <c r="L33" i="1"/>
  <c r="F33" i="1"/>
  <c r="E33" i="1"/>
  <c r="D33" i="1"/>
  <c r="C33" i="1"/>
  <c r="B33" i="1"/>
  <c r="AG32" i="1"/>
  <c r="AF32" i="1"/>
  <c r="V32" i="1"/>
  <c r="L32" i="1"/>
  <c r="G32" i="1"/>
  <c r="F32" i="1"/>
  <c r="E32" i="1"/>
  <c r="C32" i="1"/>
  <c r="B32" i="1"/>
  <c r="V31" i="1"/>
  <c r="O31" i="1"/>
  <c r="N31" i="1"/>
  <c r="M31" i="1"/>
  <c r="L31" i="1"/>
  <c r="E31" i="1"/>
  <c r="D31" i="1"/>
  <c r="C31" i="1"/>
  <c r="B31" i="1"/>
  <c r="AG30" i="1"/>
  <c r="AF30" i="1"/>
  <c r="W30" i="1"/>
  <c r="V30" i="1"/>
  <c r="P30" i="1"/>
  <c r="O30" i="1"/>
  <c r="N30" i="1"/>
  <c r="M30" i="1"/>
  <c r="L30" i="1"/>
  <c r="D30" i="1"/>
  <c r="C30" i="1"/>
  <c r="B30" i="1"/>
  <c r="V29" i="1"/>
  <c r="Q29" i="1"/>
  <c r="P29" i="1"/>
  <c r="O29" i="1"/>
  <c r="N29" i="1"/>
  <c r="M29" i="1"/>
  <c r="L29" i="1"/>
  <c r="F29" i="1"/>
  <c r="E29" i="1"/>
  <c r="D29" i="1"/>
  <c r="C29" i="1"/>
  <c r="B29" i="1"/>
  <c r="AH28" i="1"/>
  <c r="AF28" i="1"/>
  <c r="X28" i="1"/>
  <c r="V28" i="1"/>
  <c r="P28" i="1"/>
  <c r="O28" i="1"/>
  <c r="N28" i="1"/>
  <c r="M28" i="1"/>
  <c r="L28" i="1"/>
  <c r="C28" i="1"/>
  <c r="B28" i="1"/>
  <c r="AG27" i="1"/>
  <c r="AF27" i="1"/>
  <c r="V27" i="1"/>
  <c r="O27" i="1"/>
  <c r="N27" i="1"/>
  <c r="M27" i="1"/>
  <c r="L27" i="1"/>
  <c r="E27" i="1"/>
  <c r="D27" i="1"/>
  <c r="C27" i="1"/>
  <c r="B27" i="1"/>
  <c r="AF26" i="1"/>
  <c r="V26" i="1"/>
  <c r="M26" i="1"/>
  <c r="L26" i="1"/>
  <c r="E26" i="1"/>
  <c r="D26" i="1"/>
  <c r="C26" i="1"/>
  <c r="B26" i="1"/>
  <c r="V25" i="1"/>
  <c r="Q25" i="1"/>
  <c r="P25" i="1"/>
  <c r="O25" i="1"/>
  <c r="N25" i="1"/>
  <c r="M25" i="1"/>
  <c r="L25" i="1"/>
  <c r="B25" i="1"/>
  <c r="Z24" i="1"/>
  <c r="Y24" i="1"/>
  <c r="X24" i="1"/>
  <c r="W24" i="1"/>
  <c r="V24" i="1"/>
  <c r="T24" i="1"/>
  <c r="S24" i="1"/>
  <c r="R24" i="1"/>
  <c r="Q24" i="1"/>
  <c r="P24" i="1"/>
  <c r="O24" i="1"/>
  <c r="N24" i="1"/>
  <c r="M24" i="1"/>
  <c r="L24" i="1"/>
  <c r="C24" i="1"/>
  <c r="B24" i="1"/>
  <c r="AF23" i="1"/>
  <c r="AA23" i="1"/>
  <c r="Z23" i="1"/>
  <c r="AB23" i="1"/>
  <c r="AD23" i="1"/>
  <c r="W23" i="1"/>
  <c r="Y23" i="1"/>
  <c r="V23" i="1"/>
  <c r="AC23" i="1"/>
  <c r="X23" i="1"/>
  <c r="M23" i="1"/>
  <c r="L23" i="1"/>
  <c r="D23" i="1"/>
  <c r="C23" i="1"/>
  <c r="B23" i="1"/>
  <c r="W22" i="1"/>
  <c r="V22" i="1"/>
  <c r="O22" i="1"/>
  <c r="N22" i="1"/>
  <c r="M22" i="1"/>
  <c r="L22" i="1"/>
  <c r="C22" i="1"/>
  <c r="B22" i="1"/>
  <c r="AF21" i="1"/>
  <c r="V21" i="1"/>
  <c r="L21" i="1"/>
  <c r="F21" i="1"/>
  <c r="E21" i="1"/>
  <c r="D21" i="1"/>
  <c r="C21" i="1"/>
  <c r="B21" i="1"/>
  <c r="AG20" i="1"/>
  <c r="AF20" i="1"/>
  <c r="V20" i="1"/>
  <c r="N20" i="1"/>
  <c r="M20" i="1"/>
  <c r="L20" i="1"/>
  <c r="F20" i="1"/>
  <c r="E20" i="1"/>
  <c r="D20" i="1"/>
  <c r="C20" i="1"/>
  <c r="B20" i="1"/>
  <c r="AG19" i="1"/>
  <c r="AF19" i="1"/>
  <c r="W19" i="1"/>
  <c r="V19" i="1"/>
  <c r="O19" i="1"/>
  <c r="N19" i="1"/>
  <c r="M19" i="1"/>
  <c r="L19" i="1"/>
  <c r="C19" i="1"/>
  <c r="B19" i="1"/>
  <c r="AH18" i="1"/>
  <c r="AF18" i="1"/>
  <c r="V18" i="1"/>
  <c r="L18" i="1"/>
  <c r="G18" i="1"/>
  <c r="C18" i="1"/>
  <c r="B18" i="1"/>
  <c r="AG17" i="1"/>
  <c r="AF17" i="1"/>
  <c r="V17" i="1"/>
  <c r="O17" i="1"/>
  <c r="N17" i="1"/>
  <c r="M17" i="1"/>
  <c r="L17" i="1"/>
  <c r="B17" i="1"/>
  <c r="AF16" i="1"/>
  <c r="AG16" i="1"/>
  <c r="V16" i="1"/>
  <c r="P16" i="1"/>
  <c r="O16" i="1"/>
  <c r="N16" i="1"/>
  <c r="M16" i="1"/>
  <c r="L16" i="1"/>
  <c r="C16" i="1"/>
  <c r="B16" i="1"/>
  <c r="AB15" i="1"/>
  <c r="Z15" i="1"/>
  <c r="W15" i="1"/>
  <c r="AA15" i="1"/>
  <c r="Y15" i="1"/>
  <c r="V15" i="1"/>
  <c r="AC15" i="1"/>
  <c r="X15" i="1"/>
  <c r="M15" i="1"/>
  <c r="L15" i="1"/>
  <c r="D15" i="1"/>
  <c r="C15" i="1"/>
  <c r="B15" i="1"/>
  <c r="AH14" i="1"/>
  <c r="AG14" i="1"/>
  <c r="AF14" i="1"/>
  <c r="X14" i="1"/>
  <c r="W14" i="1"/>
  <c r="V14" i="1"/>
  <c r="L14" i="1"/>
  <c r="N14" i="1"/>
  <c r="M14" i="1"/>
  <c r="C14" i="1"/>
  <c r="B14" i="1"/>
  <c r="AG13" i="1"/>
  <c r="AF13" i="1"/>
  <c r="W13" i="1"/>
  <c r="V13" i="1"/>
  <c r="X13" i="1"/>
  <c r="P13" i="1"/>
  <c r="O13" i="1"/>
  <c r="N13" i="1"/>
  <c r="M13" i="1"/>
  <c r="L13" i="1"/>
  <c r="Q13" i="1"/>
  <c r="C13" i="1"/>
  <c r="E13" i="1"/>
  <c r="D13" i="1"/>
  <c r="B13" i="1"/>
  <c r="AH12" i="1"/>
  <c r="W12" i="1"/>
  <c r="V12" i="1"/>
  <c r="AB12" i="1"/>
  <c r="AA12" i="1"/>
  <c r="Z12" i="1"/>
  <c r="Y12" i="1"/>
  <c r="X12" i="1"/>
  <c r="P12" i="1"/>
  <c r="T12" i="1"/>
  <c r="O12" i="1"/>
  <c r="S12" i="1"/>
  <c r="N12" i="1"/>
  <c r="R12" i="1"/>
  <c r="M12" i="1"/>
  <c r="Q12" i="1"/>
  <c r="L12" i="1"/>
  <c r="G12" i="1"/>
  <c r="I12" i="1"/>
  <c r="E12" i="1"/>
  <c r="D12" i="1"/>
  <c r="C12" i="1"/>
  <c r="J12" i="1"/>
  <c r="H12" i="1"/>
  <c r="B12" i="1"/>
  <c r="F12" i="1"/>
  <c r="AF11" i="1"/>
  <c r="AH11" i="1"/>
  <c r="AG11" i="1"/>
  <c r="X11" i="1"/>
  <c r="W11" i="1"/>
  <c r="V11" i="1"/>
  <c r="O11" i="1"/>
  <c r="N11" i="1"/>
  <c r="R11" i="1"/>
  <c r="M11" i="1"/>
  <c r="T11" i="1"/>
  <c r="P11" i="1"/>
  <c r="L11" i="1"/>
  <c r="S11" i="1"/>
  <c r="Q11" i="1"/>
  <c r="D11" i="1"/>
  <c r="C11" i="1"/>
  <c r="B11" i="1"/>
  <c r="AH10" i="1"/>
  <c r="AF10" i="1"/>
  <c r="AG10" i="1"/>
  <c r="AC10" i="1"/>
  <c r="W10" i="1"/>
  <c r="AB10" i="1"/>
  <c r="V10" i="1"/>
  <c r="AD10" i="1"/>
  <c r="AA10" i="1"/>
  <c r="Z10" i="1"/>
  <c r="Y10" i="1"/>
  <c r="X10" i="1"/>
  <c r="M10" i="1"/>
  <c r="S10" i="1"/>
  <c r="Q10" i="1"/>
  <c r="O10" i="1"/>
  <c r="L10" i="1"/>
  <c r="T10" i="1"/>
  <c r="R10" i="1"/>
  <c r="P10" i="1"/>
  <c r="N10" i="1"/>
  <c r="D10" i="1"/>
  <c r="C10" i="1"/>
  <c r="I10" i="1"/>
  <c r="F10" i="1"/>
  <c r="E10" i="1"/>
  <c r="B10" i="1"/>
  <c r="H10" i="1"/>
  <c r="G10" i="1"/>
  <c r="AH9" i="1"/>
  <c r="AG9" i="1"/>
  <c r="AF9" i="1"/>
  <c r="W9" i="1"/>
  <c r="S9" i="1"/>
  <c r="P9" i="1"/>
  <c r="M9" i="1"/>
  <c r="T9" i="1"/>
  <c r="R9" i="1"/>
  <c r="O9" i="1"/>
  <c r="N9" i="1"/>
  <c r="L9" i="1"/>
  <c r="Q9" i="1"/>
  <c r="J9" i="1"/>
  <c r="I9" i="1"/>
  <c r="H9" i="1"/>
  <c r="G9" i="1"/>
  <c r="F9" i="1"/>
  <c r="E9" i="1"/>
  <c r="D9" i="1"/>
  <c r="C9" i="1"/>
  <c r="B9" i="1"/>
  <c r="AF8" i="1"/>
  <c r="AH8" i="1"/>
  <c r="AG8" i="1"/>
  <c r="T8" i="1"/>
  <c r="R8" i="1"/>
  <c r="P8" i="1"/>
  <c r="M8" i="1"/>
  <c r="L8" i="1"/>
  <c r="S8" i="1"/>
  <c r="Q8" i="1"/>
  <c r="O8" i="1"/>
  <c r="N8" i="1"/>
  <c r="B8" i="1"/>
  <c r="J8" i="1"/>
  <c r="I8" i="1"/>
  <c r="H8" i="1"/>
  <c r="G8" i="1"/>
  <c r="F8" i="1"/>
  <c r="E8" i="1"/>
  <c r="D8" i="1"/>
  <c r="C8" i="1"/>
  <c r="AF7" i="1"/>
  <c r="AH7" i="1"/>
  <c r="AG7" i="1"/>
  <c r="AD7" i="1"/>
  <c r="V7" i="1"/>
  <c r="AC7" i="1"/>
  <c r="AB7" i="1"/>
  <c r="AA7" i="1"/>
  <c r="Z7" i="1"/>
  <c r="Y7" i="1"/>
  <c r="X7" i="1"/>
  <c r="W7" i="1"/>
  <c r="T7" i="1"/>
  <c r="S7" i="1"/>
  <c r="R7" i="1"/>
  <c r="Q7" i="1"/>
  <c r="P7" i="1"/>
  <c r="O7" i="1"/>
  <c r="N7" i="1"/>
  <c r="M7" i="1"/>
  <c r="L7" i="1"/>
  <c r="J7" i="1"/>
  <c r="I7" i="1"/>
  <c r="G7" i="1"/>
  <c r="E7" i="1"/>
  <c r="C7" i="1"/>
  <c r="B7" i="1"/>
  <c r="H7" i="1"/>
  <c r="F7" i="1"/>
  <c r="D7" i="1"/>
  <c r="AF6" i="1"/>
  <c r="AH6" i="1"/>
  <c r="AG6" i="1"/>
  <c r="AD6" i="1"/>
  <c r="AC6" i="1"/>
  <c r="AB6" i="1"/>
  <c r="AA6" i="1"/>
  <c r="Z6" i="1"/>
  <c r="Y6" i="1"/>
  <c r="X6" i="1"/>
  <c r="W6" i="1"/>
  <c r="V6" i="1"/>
  <c r="S6" i="1"/>
  <c r="Q6" i="1"/>
  <c r="P6" i="1"/>
  <c r="N6" i="1"/>
  <c r="L6" i="1"/>
  <c r="T6" i="1"/>
  <c r="R6" i="1"/>
  <c r="O6" i="1"/>
  <c r="J6" i="1"/>
  <c r="I6" i="1"/>
  <c r="H6" i="1"/>
  <c r="G6" i="1"/>
  <c r="F6" i="1"/>
  <c r="E6" i="1"/>
  <c r="D6" i="1"/>
  <c r="C6" i="1"/>
  <c r="B6" i="1"/>
  <c r="AH5" i="1"/>
  <c r="AG5" i="1"/>
  <c r="AF5" i="1"/>
  <c r="AD5" i="1"/>
  <c r="V5" i="1"/>
  <c r="AC5" i="1"/>
  <c r="AB5" i="1"/>
  <c r="AA5" i="1"/>
  <c r="Z5" i="1"/>
  <c r="Y5" i="1"/>
  <c r="X5" i="1"/>
  <c r="W5" i="1"/>
  <c r="T5" i="1"/>
  <c r="S5" i="1"/>
  <c r="R5" i="1"/>
  <c r="Q5" i="1"/>
  <c r="P5" i="1"/>
  <c r="O5" i="1"/>
  <c r="N5" i="1"/>
  <c r="M5" i="1"/>
  <c r="L5" i="1"/>
  <c r="B5" i="1"/>
  <c r="J5" i="1"/>
  <c r="I5" i="1"/>
  <c r="H5" i="1"/>
  <c r="G5" i="1"/>
  <c r="F5" i="1"/>
  <c r="E5" i="1"/>
  <c r="D5" i="1"/>
  <c r="C5" i="1"/>
  <c r="AG4" i="1"/>
  <c r="AH4" i="1"/>
  <c r="W4" i="1"/>
  <c r="V4" i="1"/>
  <c r="AD4" i="1"/>
  <c r="AC4" i="1"/>
  <c r="AB4" i="1"/>
  <c r="AA4" i="1"/>
  <c r="Z4" i="1"/>
  <c r="Y4" i="1"/>
  <c r="X4" i="1"/>
  <c r="L4" i="1"/>
  <c r="T4" i="1"/>
  <c r="S4" i="1"/>
  <c r="R4" i="1"/>
  <c r="Q4" i="1"/>
  <c r="P4" i="1"/>
  <c r="O4" i="1"/>
  <c r="N4" i="1"/>
  <c r="M4" i="1"/>
  <c r="I4" i="1"/>
  <c r="B4" i="1"/>
  <c r="J4" i="1"/>
  <c r="H4" i="1"/>
  <c r="G4" i="1"/>
  <c r="F4" i="1"/>
  <c r="E4" i="1"/>
  <c r="D4" i="1"/>
  <c r="C4" i="1"/>
  <c r="AF3" i="1"/>
  <c r="AH3" i="1"/>
  <c r="AG3" i="1"/>
  <c r="V3" i="1"/>
  <c r="AD3" i="1"/>
  <c r="AC3" i="1"/>
  <c r="AB3" i="1"/>
  <c r="AA3" i="1"/>
  <c r="Z3" i="1"/>
  <c r="Y3" i="1"/>
  <c r="X3" i="1"/>
  <c r="W3" i="1"/>
  <c r="T3" i="1"/>
  <c r="S3" i="1"/>
  <c r="R3" i="1"/>
  <c r="Q3" i="1"/>
  <c r="P3" i="1"/>
  <c r="O3" i="1"/>
  <c r="N3" i="1"/>
  <c r="M3" i="1"/>
  <c r="L3" i="1"/>
  <c r="B3" i="1"/>
  <c r="J3" i="1"/>
  <c r="I3" i="1"/>
  <c r="H3" i="1"/>
  <c r="G3" i="1"/>
  <c r="F3" i="1"/>
  <c r="E3" i="1"/>
  <c r="D3" i="1"/>
  <c r="C3" i="1"/>
  <c r="AH2" i="1"/>
  <c r="AG2" i="1"/>
  <c r="AF2" i="1"/>
  <c r="V2" i="1"/>
  <c r="AD2" i="1"/>
  <c r="AC2" i="1"/>
  <c r="AB2" i="1"/>
  <c r="AA2" i="1"/>
  <c r="Z2" i="1"/>
  <c r="Y2" i="1"/>
  <c r="X2" i="1"/>
  <c r="W2" i="1"/>
  <c r="T2" i="1"/>
  <c r="S2" i="1"/>
  <c r="R2" i="1"/>
  <c r="Q2" i="1"/>
  <c r="P2" i="1"/>
  <c r="O2" i="1"/>
  <c r="N2" i="1"/>
  <c r="M2" i="1"/>
  <c r="L2" i="1"/>
  <c r="E2" i="1"/>
  <c r="D2" i="1"/>
  <c r="I2" i="1"/>
  <c r="F2" i="1"/>
  <c r="C2" i="1"/>
  <c r="H2" i="1"/>
  <c r="B2" i="1"/>
  <c r="J2" i="1"/>
  <c r="G2" i="1"/>
</calcChain>
</file>

<file path=xl/sharedStrings.xml><?xml version="1.0" encoding="utf-8"?>
<sst xmlns="http://schemas.openxmlformats.org/spreadsheetml/2006/main" count="34" uniqueCount="33">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</sst>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1101.TW-ChipsField3,ChipsField1,ChipsField25,CashAndStockDividend,CashDividendYieldRate,ProfitFourSeason,ProfitSingle,CName,ExchangeIndustry,CompanyPos" advise="1">
        <values cols="10">
          <value>
            <val>-92</val>
          </value>
          <value>
            <val>40825</val>
          </value>
          <value t="str">
            <val>2022/07/21</val>
          </value>
          <value t="str">
            <val>2.00</val>
          </value>
          <value>
            <val>5.81</val>
          </value>
          <value t="str">
            <val>1.30</val>
          </value>
          <value t="str">
            <val>0.17</val>
          </value>
          <value t="str">
            <val>台泥</val>
          </value>
          <value t="str">
            <val>上市水泥</val>
          </value>
          <value t="str">
            <val>台灣最大水泥廠</val>
          </value>
        </values>
      </ddeItem>
      <ddeItem name="1101.TW-CName,InvestorConferenceDate,DateofMeetingofShareHolders,TradingDate" advise="1">
        <values cols="4">
          <value t="str">
            <val>台泥</val>
          </value>
          <value t="str">
            <val>2022/11/14</val>
          </value>
          <value t="str">
            <val>2022/05/26</val>
          </value>
          <value t="str">
            <val>2022/12/22</val>
          </value>
        </values>
      </ddeItem>
      <ddeItem name="1101.TW-ID,Name,MarketValue,Capital,NetIncomeGrowthRate,OperIncomeGrowthRate,FinancialStatementsTime,TFXRatio,MonthlyNetSalesYoY,RevenueMonth" advise="1">
        <values cols="10">
          <value t="str">
            <val>1101</val>
          </value>
          <value t="str">
            <val>台泥</val>
          </value>
          <value t="str">
            <val>2465.3</val>
          </value>
          <value t="str">
            <val>715.62</val>
          </value>
          <value t="str">
            <val>-90.43</val>
          </value>
          <value t="str">
            <val>-107.76</val>
          </value>
          <value t="str">
            <val>2022/09</val>
          </value>
          <value t="str">
            <val>-14.90</val>
          </value>
          <value t="str">
            <val>-0.80</val>
          </value>
          <value t="str">
            <val>2022/11</val>
          </value>
        </values>
      </ddeItem>
      <ddeItem name="1101.TW-OperatingProfitRatio,Price,PriceChangeRatio,InOutRatioNumber,Value,YearReturn,MonthReturn,WeekReturn,FinanceBalanceDif,ChipsField2" advise="1">
        <values cols="10">
          <value t="str">
            <val>-1.48</val>
          </value>
          <value>
            <val>34.450000000000003</val>
          </value>
          <value>
            <val>1.17</val>
          </value>
          <value t="str">
            <val>57.21%</val>
          </value>
          <value t="str">
            <val>24.6億</val>
          </value>
          <value t="str">
            <val>-17.83</val>
          </value>
          <value t="str">
            <val>+4.87</val>
          </value>
          <value t="str">
            <val>+2.84</val>
          </value>
          <value>
            <val>-324</val>
          </value>
          <value>
            <val>-38056</val>
          </value>
        </values>
      </ddeItem>
      <ddeItem name="1102.TW-ChipsField3,ChipsField1,ChipsField25,CashAndStockDividend,CashDividendYieldRate,ProfitFourSeason,ProfitSingle,CName,ExchangeIndustry,CompanyPos" advise="1">
        <values cols="10">
          <value>
            <val>74</val>
          </value>
          <value>
            <val>17777</val>
          </value>
          <value t="str">
            <val>2022/07/28</val>
          </value>
          <value t="str">
            <val>3.40</val>
          </value>
          <value>
            <val>8.1999999999999993</val>
          </value>
          <value t="str">
            <val>4.69</val>
          </value>
          <value t="str">
            <val>1.33</val>
          </value>
          <value t="str">
            <val>亞泥</val>
          </value>
          <value t="str">
            <val>上市水泥</val>
          </value>
          <value t="str">
            <val>台灣前二大水泥廠</val>
          </value>
        </values>
      </ddeItem>
      <ddeItem name="1102.TW-CName,InvestorConferenceDate,DateofMeetingofShareHolders,TradingDate" advise="1">
        <values cols="4">
          <value t="str">
            <val>亞泥</val>
          </value>
          <value t="str">
            <val>2022/09/14</val>
          </value>
          <value t="str">
            <val>2022/06/29</val>
          </value>
          <value t="str">
            <val>2022/12/22</val>
          </value>
        </values>
      </ddeItem>
      <ddeItem name="1102.TW-ID,Name,MarketValue,Capital,NetIncomeGrowthRate,OperIncomeGrowthRate,FinancialStatementsTime,TFXRatio,MonthlyNetSalesYoY,RevenueMonth" advise="1">
        <values cols="10">
          <value t="str">
            <val>1102</val>
          </value>
          <value t="str">
            <val>亞泥</val>
          </value>
          <value t="str">
            <val>1469.8</val>
          </value>
          <value t="str">
            <val>354.59</val>
          </value>
          <value t="str">
            <val>-7.99</val>
          </value>
          <value t="str">
            <val>-40.18</val>
          </value>
          <value t="str">
            <val>2022/09</val>
          </value>
          <value t="str">
            <val>9.27</val>
          </value>
          <value t="str">
            <val>-7.56</val>
          </value>
          <value t="str">
            <val>2022/11</val>
          </value>
        </values>
      </ddeItem>
      <ddeItem name="1102.TW-OperatingProfitRatio,Price,PriceChangeRatio,InOutRatioNumber,Value,YearReturn,MonthReturn,WeekReturn,FinanceBalanceDif,ChipsField2" advise="1">
        <values cols="10">
          <value t="str">
            <val>11.21</val>
          </value>
          <value>
            <val>41.45</val>
          </value>
          <value>
            <val>2.2200000000000002</val>
          </value>
          <value t="str">
            <val>30.07%</val>
          </value>
          <value t="str">
            <val>14.0億</val>
          </value>
          <value t="str">
            <val>+2.59</val>
          </value>
          <value t="str">
            <val>+0.97</val>
          </value>
          <value t="str">
            <val>+0.61</val>
          </value>
          <value>
            <val>38</val>
          </value>
          <value>
            <val>-21855</val>
          </value>
        </values>
      </ddeItem>
      <ddeItem name="1103.TW-ChipsField3,ChipsField1,ChipsField25,CashAndStockDividend,CashDividendYieldRate,ProfitFourSeason,ProfitSingle,CName,ExchangeIndustry,CompanyPos" advise="1">
        <values cols="10">
          <value>
            <val>-18</val>
          </value>
          <value>
            <val>44</val>
          </value>
          <value t="str">
            <val>2022/08/04</val>
          </value>
          <value t="str">
            <val>0.65</val>
          </value>
          <value>
            <val>3.69</val>
          </value>
          <value t="str">
            <val>-0.24</val>
          </value>
          <value t="str">
            <val>0.41</val>
          </value>
          <value t="str">
            <val>嘉泥</val>
          </value>
          <value t="str">
            <val>上市水泥</val>
          </value>
          <value t="str">
            <val>轉型為水泥通路貿易商</val>
          </value>
        </values>
      </ddeItem>
      <ddeItem name="1103.TW-CName,InvestorConferenceDate,DateofMeetingofShareHolders,TradingDate" advise="1">
        <values cols="4">
          <value t="str">
            <val>嘉泥</val>
          </value>
          <value t="str">
            <val>2022/12/16</val>
          </value>
          <value t="str">
            <val>2022/06/14</val>
          </value>
          <value t="str">
            <val>2022/12/22</val>
          </value>
        </values>
      </ddeItem>
      <ddeItem name="1103.TW-ID,Name,MarketValue,Capital,NetIncomeGrowthRate,OperIncomeGrowthRate,FinancialStatementsTime,TFXRatio,MonthlyNetSalesYoY,RevenueMonth" advise="1">
        <values cols="10">
          <value t="str">
            <val>1103</val>
          </value>
          <value t="str">
            <val>嘉泥</val>
          </value>
          <value t="str">
            <val>136.4</val>
          </value>
          <value t="str">
            <val>77.48</val>
          </value>
          <value t="str">
            <val>-130.93</val>
          </value>
          <value t="str">
            <val>26.22</val>
          </value>
          <value t="str">
            <val>2022/09</val>
          </value>
          <value t="str">
            <val>5.89</val>
          </value>
          <value t="str">
            <val>12.13</val>
          </value>
          <value t="str">
            <val>2022/11</val>
          </value>
        </values>
      </ddeItem>
      <ddeItem name="1103.TW-OperatingProfitRatio,Price,PriceChangeRatio,InOutRatioNumber,Value,YearReturn,MonthReturn,WeekReturn,FinanceBalanceDif,ChipsField2" advise="1">
        <values cols="10">
          <value t="str">
            <val>-20.34</val>
          </value>
          <value>
            <val>17.600000000000001</val>
          </value>
          <value>
            <val>0.86</val>
          </value>
          <value t="str">
            <val>26.26%</val>
          </value>
          <value t="str">
            <val>173萬</val>
          </value>
          <value t="str">
            <val>-10.69</val>
          </value>
          <value t="str">
            <val>+2.33</val>
          </value>
          <value t="str">
            <val>-0.56</val>
          </value>
          <value>
            <val>21</val>
          </value>
          <value>
            <val>0</val>
          </value>
        </values>
      </ddeItem>
      <ddeItem name="1104.TW-ChipsField3,ChipsField1,ChipsField25,CashAndStockDividend,CashDividendYieldRate,ProfitFourSeason,ProfitSingle,CName,ExchangeIndustry,CompanyPos" advise="1">
        <values cols="10">
          <value>
            <val>-27</val>
          </value>
          <value>
            <val>94</val>
          </value>
          <value t="str">
            <val>2022/07/26</val>
          </value>
          <value t="str">
            <val>1.00</val>
          </value>
          <value>
            <val>4.4800000000000004</val>
          </value>
          <value t="str">
            <val>2.75</val>
          </value>
          <value t="str">
            <val>0.87</val>
          </value>
          <value t="str">
            <val>環泥</val>
          </value>
          <value t="str">
            <val>上市水泥</val>
          </value>
          <value t="str">
            <val>台灣最大石膏板供應商</val>
          </value>
        </values>
      </ddeItem>
      <ddeItem name="1104.TW-CName,InvestorConferenceDate,DateofMeetingofShareHolders,TradingDate" advise="1">
        <values cols="4">
          <value t="str">
            <val>環泥</val>
          </value>
          <value t="str">
            <val>2022/09/14</val>
          </value>
          <value t="str">
            <val>2022/06/14</val>
          </value>
          <value t="str">
            <val>2022/12/22</val>
          </value>
        </values>
      </ddeItem>
      <ddeItem name="1104.TW-ID,Name,MarketValue,Capital,NetIncomeGrowthRate,OperIncomeGrowthRate,FinancialStatementsTime,TFXRatio,MonthlyNetSalesYoY,RevenueMonth" advise="1">
        <values cols="10">
          <value t="str">
            <val>1104</val>
          </value>
          <value t="str">
            <val>環泥</val>
          </value>
          <value t="str">
            <val>145.8</val>
          </value>
          <value t="str">
            <val>65.36</val>
          </value>
          <value t="str">
            <val>94.83</val>
          </value>
          <value t="str">
            <val>21.01</val>
          </value>
          <value t="str">
            <val>2022/09</val>
          </value>
          <value t="str">
            <val>-0.50</val>
          </value>
          <value t="str">
            <val>6.68</val>
          </value>
          <value t="str">
            <val>2022/11</val>
          </value>
        </values>
      </ddeItem>
      <ddeItem name="1104.TW-OperatingProfitRatio,Price,PriceChangeRatio,InOutRatioNumber,Value,YearReturn,MonthReturn,WeekReturn,FinanceBalanceDif,ChipsField2" advise="1">
        <values cols="10">
          <value t="str">
            <val>10.88</val>
          </value>
          <value>
            <val>22.3</val>
          </value>
          <value>
            <val>0.45</val>
          </value>
          <value t="str">
            <val>53.33%</val>
          </value>
          <value t="str">
            <val>349萬</val>
          </value>
          <value t="str">
            <val>+8.07</val>
          </value>
          <value t="str">
            <val>+3.48</val>
          </value>
          <value t="str">
            <val>-1.76</val>
          </value>
          <value>
            <val>3</val>
          </value>
          <value>
            <val>0</val>
          </value>
        </values>
      </ddeItem>
      <ddeItem name="1108.TW-ChipsField3,ChipsField1,ChipsField25,CashAndStockDividend,CashDividendYieldRate,ProfitFourSeason,ProfitSingle,CName,ExchangeIndustry,CompanyPos" advise="1">
        <values cols="10">
          <value>
            <val>-4</val>
          </value>
          <value>
            <val>1</val>
          </value>
          <value t="str">
            <val>2022/08/26</val>
          </value>
          <value t="str">
            <val>0.60</val>
          </value>
          <value>
            <val>5.53</val>
          </value>
          <value t="str">
            <val>0.98</val>
          </value>
          <value t="str">
            <val>0.33</val>
          </value>
          <value t="str">
            <val>幸福</val>
          </value>
          <value t="str">
            <val>上市水泥</val>
          </value>
          <value t="str">
            <val>台灣第三大水泥廠</val>
          </value>
        </values>
      </ddeItem>
      <ddeItem name="1108.TW-CName,InvestorConferenceDate,DateofMeetingofShareHolders,TradingDate" advise="1">
        <values cols="4">
          <value t="str">
            <val>幸福</val>
          </value>
          <value t="str">
            <val>2022/12/26</val>
          </value>
          <value t="str">
            <val>2022/06/30</val>
          </value>
          <value t="str">
            <val>2022/12/22</val>
          </value>
        </values>
      </ddeItem>
      <ddeItem name="1108.TW-ID,Name,MarketValue,Capital,NetIncomeGrowthRate,OperIncomeGrowthRate,FinancialStatementsTime,TFXRatio,MonthlyNetSalesYoY,RevenueMonth" advise="1">
        <values cols="10">
          <value t="str">
            <val>1108</val>
          </value>
          <value t="str">
            <val>幸福</val>
          </value>
          <value t="str">
            <val>43.9</val>
          </value>
          <value t="str">
            <val>40.47</val>
          </value>
          <value t="str">
            <val>80.30</val>
          </value>
          <value t="str">
            <val>73.73</val>
          </value>
          <value t="str">
            <val>2022/09</val>
          </value>
          <value t="str">
            <val>-4.34</val>
          </value>
          <value t="str">
            <val>43.18</val>
          </value>
          <value t="str">
            <val>2022/11</val>
          </value>
        </values>
      </ddeItem>
      <ddeItem name="1108.TW-OperatingProfitRatio,Price,PriceChangeRatio,InOutRatioNumber,Value,YearReturn,MonthReturn,WeekReturn,FinanceBalanceDif,ChipsField2" advise="1">
        <values cols="10">
          <value t="str">
            <val>13.41</val>
          </value>
          <value>
            <val>10.85</val>
          </value>
          <value>
            <val>0.93</val>
          </value>
          <value t="str">
            <val>69.84%</val>
          </value>
          <value t="str">
            <val>74.6萬</val>
          </value>
          <value t="str">
            <val>-1.88</val>
          </value>
          <value t="str">
            <val>+2.36</val>
          </value>
          <value t="str">
            <val>-0.91</val>
          </value>
          <value>
            <val>-72</val>
          </value>
          <value>
            <val>0</val>
          </value>
        </values>
      </ddeItem>
      <ddeItem name="1109.TW-ChipsField3,ChipsField1,ChipsField25,CashAndStockDividend,CashDividendYieldRate,ProfitFourSeason,ProfitSingle,CName,ExchangeIndustry,CompanyPos" advise="1">
        <values cols="10">
          <value>
            <val>-17</val>
          </value>
          <value>
            <val>4</val>
          </value>
          <value t="str">
            <val>2022/08/04</val>
          </value>
          <value t="str">
            <val>1.50</val>
          </value>
          <value>
            <val>9.4600000000000009</val>
          </value>
          <value t="str">
            <val>1.74</val>
          </value>
          <value t="str">
            <val>0.63</val>
          </value>
          <value t="str">
            <val>信大</val>
          </value>
          <value t="str">
            <val>上市水泥</val>
          </value>
          <value t="str">
            <val>銷售市場以台北、宜蘭、基隆、桃園等為主</val>
          </value>
        </values>
      </ddeItem>
      <ddeItem name="1109.TW-CName,InvestorConferenceDate,DateofMeetingofShareHolders,TradingDate" advise="1">
        <values cols="4">
          <value t="str">
            <val>信大</val>
          </value>
          <value t="str">
            <val>2022/08/31</val>
          </value>
          <value t="str">
            <val>2022/06/22</val>
          </value>
          <value t="str">
            <val>2022/12/22</val>
          </value>
        </values>
      </ddeItem>
      <ddeItem name="1109.TW-ID,Name,MarketValue,Capital,NetIncomeGrowthRate,OperIncomeGrowthRate,FinancialStatementsTime,TFXRatio,MonthlyNetSalesYoY,RevenueMonth" advise="1">
        <values cols="10">
          <value t="str">
            <val>1109</val>
          </value>
          <value t="str">
            <val>信大</val>
          </value>
          <value t="str">
            <val>54.1</val>
          </value>
          <value t="str">
            <val>34.12</val>
          </value>
          <value t="str">
            <val>-52.98</val>
          </value>
          <value t="str">
            <val>-48.23</val>
          </value>
          <value t="str">
            <val>2022/09</val>
          </value>
          <value t="str">
            <val>27.01</val>
          </value>
          <value t="str">
            <val>-14.34</val>
          </value>
          <value t="str">
            <val>2022/11</val>
          </value>
        </values>
      </ddeItem>
      <ddeItem name="1109.TW-OperatingProfitRatio,Price,PriceChangeRatio,InOutRatioNumber,Value,YearReturn,MonthReturn,WeekReturn,FinanceBalanceDif,ChipsField2" advise="1">
        <values cols="10">
          <value t="str">
            <val>12.86</val>
          </value>
          <value>
            <val>15.85</val>
          </value>
          <value>
            <val>0</val>
          </value>
          <value t="str">
            <val>23.08%</val>
          </value>
          <value t="str">
            <val>108萬</val>
          </value>
          <value t="str">
            <val>-15.10</val>
          </value>
          <value t="str">
            <val>+2.59</val>
          </value>
          <value t="str">
            <val>-1.86</val>
          </value>
          <value>
            <val>1</val>
          </value>
          <value>
            <val>0</val>
          </value>
        </values>
      </ddeItem>
      <ddeItem name="1110.TW-ChipsField3,ChipsField1,ChipsField25,CashAndStockDividend,CashDividendYieldRate,ProfitFourSeason,ProfitSingle,CName,ExchangeIndustry,CompanyPos" advise="1">
        <values cols="10">
          <value>
            <val>-7</val>
          </value>
          <value>
            <val>-13</val>
          </value>
          <value t="str">
            <val>2022/07/21</val>
          </value>
          <value t="str">
            <val>0.20</val>
          </value>
          <value>
            <val>1.1399999999999999</val>
          </value>
          <value t="str">
            <val>0.11</val>
          </value>
          <value t="str">
            <val>0.12</val>
          </value>
          <value t="str">
            <val>東泥</val>
          </value>
          <value t="str">
            <val>上市水泥</val>
          </value>
          <value t="str">
            <val>台灣中南部市場水泥供應商</val>
          </value>
        </values>
      </ddeItem>
      <ddeItem name="1110.TW-CName,InvestorConferenceDate,DateofMeetingofShareHolders,TradingDate" advise="1">
        <values cols="4">
          <value t="str">
            <val>東泥</val>
          </value>
          <value t="str">
            <val>2022/11/30</val>
          </value>
          <value t="str">
            <val>2022/06/28</val>
          </value>
          <value t="str">
            <val>2022/12/22</val>
          </value>
        </values>
      </ddeItem>
      <ddeItem name="1110.TW-ID,Name,MarketValue,Capital,NetIncomeGrowthRate,OperIncomeGrowthRate,FinancialStatementsTime,TFXRatio,MonthlyNetSalesYoY,RevenueMonth" advise="1">
        <values cols="10">
          <value t="str">
            <val>1110</val>
          </value>
          <value t="str">
            <val>東泥</val>
          </value>
          <value t="str">
            <val>100.4</val>
          </value>
          <value t="str">
            <val>57.20</val>
          </value>
          <value t="str">
            <val>-86.26</val>
          </value>
          <value t="str">
            <val>-1023.74</val>
          </value>
          <value t="str">
            <val>2022/09</val>
          </value>
          <value t="str">
            <val>0.41</val>
          </value>
          <value t="str">
            <val>23.41</val>
          </value>
          <value t="str">
            <val>2022/11</val>
          </value>
        </values>
      </ddeItem>
      <ddeItem name="1110.TW-OperatingProfitRatio,Price,PriceChangeRatio,InOutRatioNumber,Value,YearReturn,MonthReturn,WeekReturn,FinanceBalanceDif,ChipsField2" advise="1">
        <values cols="10">
          <value t="str">
            <val>-0.72</val>
          </value>
          <value>
            <val>17.55</val>
          </value>
          <value>
            <val>0.56999999999999995</val>
          </value>
          <value t="str">
            <val>90.48%</val>
          </value>
          <value t="str">
            <val>112萬</val>
          </value>
          <value t="str">
            <val>-12.37</val>
          </value>
          <value t="str">
            <val>-1.96</val>
          </value>
          <value t="str">
            <val>-1.96</val>
          </value>
          <value>
            <val>39</val>
          </value>
          <value>
            <val>0</val>
          </value>
        </values>
      </ddeItem>
      <ddeItem name="1201.TW-ChipsField3,ChipsField1,ChipsField25,CashAndStockDividend,CashDividendYieldRate,ProfitFourSeason,ProfitSingle,CName,ExchangeIndustry,CompanyPos" advise="1">
        <values cols="10">
          <value>
            <val>-27</val>
          </value>
          <value>
            <val>35</val>
          </value>
          <value t="str">
            <val>2022/07/26</val>
          </value>
          <value t="str">
            <val>0.50</val>
          </value>
          <value>
            <val>2.62</val>
          </value>
          <value t="str">
            <val>0.88</val>
          </value>
          <value t="str">
            <val>0.28</val>
          </value>
          <value t="str">
            <val>味全</val>
          </value>
          <value t="str">
            <val>上市食品</val>
          </value>
          <value t="str">
            <val>老牌綜合食品大廠</val>
          </value>
        </values>
      </ddeItem>
      <ddeItem name="1201.TW-CName,InvestorConferenceDate,DateofMeetingofShareHolders,TradingDate" advise="1">
        <values cols="4">
          <value t="str">
            <val>味全</val>
          </value>
          <value t="str">
            <val>2022/12/19</val>
          </value>
          <value t="str">
            <val>2022/06/29</val>
          </value>
          <value t="str">
            <val>2022/12/22</val>
          </value>
        </values>
      </ddeItem>
      <ddeItem name="1201.TW-ID,Name,MarketValue,Capital,NetIncomeGrowthRate,OperIncomeGrowthRate,FinancialStatementsTime,TFXRatio,MonthlyNetSalesYoY,RevenueMonth" advise="1">
        <values cols="10">
          <value t="str">
            <val>1201</val>
          </value>
          <value t="str">
            <val>味全</val>
          </value>
          <value t="str">
            <val>96.4</val>
          </value>
          <value t="str">
            <val>50.61</val>
          </value>
          <value t="str">
            <val>-15.42</val>
          </value>
          <value t="str">
            <val>-23.17</val>
          </value>
          <value t="str">
            <val>2022/09</val>
          </value>
          <value t="str">
            <val>-7.15</val>
          </value>
          <value t="str">
            <val>-2.47</val>
          </value>
          <value t="str">
            <val>2022/11</val>
          </value>
        </values>
      </ddeItem>
      <ddeItem name="1201.TW-OperatingProfitRatio,Price,PriceChangeRatio,InOutRatioNumber,Value,YearReturn,MonthReturn,WeekReturn,FinanceBalanceDif,ChipsField2" advise="1">
        <values cols="10">
          <value t="str">
            <val>2.75</val>
          </value>
          <value>
            <val>19.05</val>
          </value>
          <value>
            <val>0.26</val>
          </value>
          <value t="str">
            <val>59.76%</val>
          </value>
          <value t="str">
            <val>170萬</val>
          </value>
          <value t="str">
            <val>-11.25</val>
          </value>
          <value t="str">
            <val>+1.33</val>
          </value>
          <value t="str">
            <val>-1.04</val>
          </value>
          <value>
            <val>-9</val>
          </value>
          <value>
            <val>0</val>
          </value>
        </values>
      </ddeItem>
      <ddeItem name="1203.TW-ChipsField3,ChipsField1,ChipsField25,CashAndStockDividend,CashDividendYieldRate,ProfitFourSeason,ProfitSingle,CName,ExchangeIndustry,CompanyPos" advise="1">
        <values cols="10">
          <value>
            <val>-2</val>
          </value>
          <value>
            <val>0</val>
          </value>
          <value t="str">
            <val>2022/09/01</val>
          </value>
          <value t="str">
            <val>1.10</val>
          </value>
          <value>
            <val>3.14</val>
          </value>
          <value t="str">
            <val>2.63</val>
          </value>
          <value t="str">
            <val>1.50</val>
          </value>
          <value t="str">
            <val>味王</val>
          </value>
          <value t="str">
            <val>上市食品</val>
          </value>
          <value t="str">
            <val>亞洲第一大味精品牌，並生產方便麵等食品</val>
          </value>
        </values>
      </ddeItem>
      <ddeItem name="1203.TW-CName,InvestorConferenceDate,DateofMeetingofShareHolders,TradingDate" advise="1">
        <values cols="4">
          <value t="str">
            <val>味王</val>
          </value>
          <value t="str">
            <val>2022/10/25</val>
          </value>
          <value t="str">
            <val>2022/06/22</val>
          </value>
          <value t="str">
            <val>2022/12/22</val>
          </value>
        </values>
      </ddeItem>
      <ddeItem name="1203.TW-ID,Name,MarketValue,Capital,NetIncomeGrowthRate,OperIncomeGrowthRate,FinancialStatementsTime,TFXRatio,MonthlyNetSalesYoY,RevenueMonth" advise="1">
        <values cols="10">
          <value t="str">
            <val>1203</val>
          </value>
          <value t="str">
            <val>味王</val>
          </value>
          <value t="str">
            <val>84.0</val>
          </value>
          <value t="str">
            <val>24.00</val>
          </value>
          <value t="str">
            <val>31.72</val>
          </value>
          <value t="str">
            <val>-3.75</val>
          </value>
          <value t="str">
            <val>2022/09</val>
          </value>
          <value t="str">
            <val>0.57</val>
          </value>
          <value t="str">
            <val>38.46</val>
          </value>
          <value t="str">
            <val>2022/11</val>
          </value>
        </values>
      </ddeItem>
      <ddeItem name="1203.TW-OperatingProfitRatio,Price,PriceChangeRatio,InOutRatioNumber,Value,YearReturn,MonthReturn,WeekReturn,FinanceBalanceDif,ChipsField2" advise="1">
        <values cols="10">
          <value t="str">
            <val>13.78</val>
          </value>
          <value>
            <val>35</val>
          </value>
          <value>
            <val>0.56999999999999995</val>
          </value>
          <value t="str">
            <val>66.67%</val>
          </value>
          <value t="str">
            <val>31.6萬</val>
          </value>
          <value t="str">
            <val>+12.07</val>
          </value>
          <value t="str">
            <val>+5.11</val>
          </value>
          <value t="str">
            <val>-1.13</val>
          </value>
          <value>
            <val>-1</val>
          </value>
          <value>
            <val>0</val>
          </value>
        </values>
      </ddeItem>
      <ddeItem name="1210.TW-ChipsField3,ChipsField1,ChipsField25,CashAndStockDividend,CashDividendYieldRate,ProfitFourSeason,ProfitSingle,CName,ExchangeIndustry,CompanyPos" advise="1">
        <values cols="10">
          <value>
            <val>-33</val>
          </value>
          <value>
            <val>-94</val>
          </value>
          <value t="str">
            <val>2022/04/15</val>
          </value>
          <value t="str">
            <val>2.00</val>
          </value>
          <value>
            <val>4.4800000000000004</val>
          </value>
          <value t="str">
            <val>2.43</val>
          </value>
          <value t="str">
            <val>0.62</val>
          </value>
          <value t="str">
            <val>大成</val>
          </value>
          <value t="str">
            <val>上市食品</val>
          </value>
          <value t="str">
            <val>兩岸最大白肉雞電宰加工廠及飼料大廠</val>
          </value>
        </values>
      </ddeItem>
      <ddeItem name="1210.TW-CName,InvestorConferenceDate,DateofMeetingofShareHolders,TradingDate" advise="1">
        <values cols="4">
          <value t="str">
            <val>大成</val>
          </value>
          <value t="str">
            <val>2022/11/18</val>
          </value>
          <value t="str">
            <val>2022/06/17</val>
          </value>
          <value t="str">
            <val>2022/12/22</val>
          </value>
        </values>
      </ddeItem>
      <ddeItem name="1210.TW-ID,Name,MarketValue,Capital,NetIncomeGrowthRate,OperIncomeGrowthRate,FinancialStatementsTime,TFXRatio,MonthlyNetSalesYoY,RevenueMonth" advise="1">
        <values cols="10">
          <value t="str">
            <val>1210</val>
          </value>
          <value t="str">
            <val>大成</val>
          </value>
          <value t="str">
            <val>399.1</val>
          </value>
          <value t="str">
            <val>89.48</val>
          </value>
          <value t="str">
            <val>22.97</val>
          </value>
          <value t="str">
            <val>31.19</val>
          </value>
          <value t="str">
            <val>2022/09</val>
          </value>
          <value t="str">
            <val>0.43</val>
          </value>
          <value t="str">
            <val>13.76</val>
          </value>
          <value t="str">
            <val>2022/11</val>
          </value>
        </values>
      </ddeItem>
      <ddeItem name="1210.TW-OperatingProfitRatio,Price,PriceChangeRatio,InOutRatioNumber,Value,YearReturn,MonthReturn,WeekReturn,FinanceBalanceDif,ChipsField2" advise="1">
        <values cols="10">
          <value t="str">
            <val>2.59</val>
          </value>
          <value>
            <val>44.6</val>
          </value>
          <value>
            <val>1.1299999999999999</val>
          </value>
          <value t="str">
            <val>48.34%</val>
          </value>
          <value t="str">
            <val>1271萬</val>
          </value>
          <value t="str">
            <val>-8.29</val>
          </value>
          <value t="str">
            <val>+2.76</val>
          </value>
          <value t="str">
            <val>-0.89</val>
          </value>
          <value>
            <val>4</val>
          </value>
          <value>
            <val>4</val>
          </value>
        </values>
      </ddeItem>
      <ddeItem name="121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-1.38</val>
          </value>
          <value t="str">
            <val>-0.30</val>
          </value>
          <value t="str">
            <val>大飲</val>
          </value>
          <value t="str">
            <val>上市食品</val>
          </value>
          <value t="str">
            <val>產品以蘋果西打為主</val>
          </value>
        </values>
      </ddeItem>
      <ddeItem name="1213.TW-CName,InvestorConferenceDate,DateofMeetingofShareHolders,TradingDate" advise="1">
        <values cols="4">
          <value t="str">
            <val>大飲</val>
          </value>
          <value t="str">
            <val>2022/11/23</val>
          </value>
          <value t="str">
            <val>2022/06/01</val>
          </value>
          <value t="str">
            <val>2022/12/22</val>
          </value>
        </values>
      </ddeItem>
      <ddeItem name="1213.TW-ID,Name,MarketValue,Capital,NetIncomeGrowthRate,OperIncomeGrowthRate,FinancialStatementsTime,TFXRatio,MonthlyNetSalesYoY,RevenueMonth" advise="1">
        <values cols="10">
          <value t="str">
            <val>1213</val>
          </value>
          <value t="str">
            <val>大飲</val>
          </value>
          <value t="str">
            <val>4.0</val>
          </value>
          <value t="str">
            <val>5.66</val>
          </value>
          <value t="str">
            <val>20.91</val>
          </value>
          <value t="str">
            <val>-10.86</val>
          </value>
          <value t="str">
            <val>2022/09</val>
          </value>
          <value t="str">
            <val>-1.72</val>
          </value>
          <value t="str">
            <val>-13.58</val>
          </value>
          <value t="str">
            <val>2022/11</val>
          </value>
        </values>
      </ddeItem>
      <ddeItem name="1213.TW-OperatingProfitRatio,Price,PriceChangeRatio,InOutRatioNumber,Value,YearReturn,MonthReturn,WeekReturn,FinanceBalanceDif,ChipsField2" advise="1">
        <values cols="10">
          <value t="str">
            <val>-18.57</val>
          </value>
          <value>
            <val>7.03</val>
          </value>
          <value>
            <val>0</val>
          </value>
          <value t="str">
            <val>57.14%</val>
          </value>
          <value t="str">
            <val>4.95萬</val>
          </value>
          <value t="str">
            <val>-14.27</val>
          </value>
          <value t="str">
            <val>-1.95</val>
          </value>
          <value t="str">
            <val>0.00</val>
          </value>
          <value>
            <val>0</val>
          </value>
          <value>
            <val>0</val>
          </value>
        </values>
      </ddeItem>
      <ddeItem name="1215.TW-ChipsField3,ChipsField1,ChipsField25,CashAndStockDividend,CashDividendYieldRate,ProfitFourSeason,ProfitSingle,CName,ExchangeIndustry,CompanyPos" advise="1">
        <values cols="10">
          <value>
            <val>-15</val>
          </value>
          <value>
            <val>172</val>
          </value>
          <value t="str">
            <val>2022/07/05</val>
          </value>
          <value t="str">
            <val>4.00</val>
          </value>
          <value>
            <val>5.15</val>
          </value>
          <value t="str">
            <val>5.40</val>
          </value>
          <value t="str">
            <val>1.28</val>
          </value>
          <value t="str">
            <val>卜蜂</val>
          </value>
          <value t="str">
            <val>上市食品</val>
          </value>
          <value t="str">
            <val>台灣第二大白肉雞供應商及飼料大廠</val>
          </value>
        </values>
      </ddeItem>
      <ddeItem name="1215.TW-CName,InvestorConferenceDate,DateofMeetingofShareHolders,TradingDate" advise="1">
        <values cols="4">
          <value t="str">
            <val>卜蜂</val>
          </value>
          <value t="str">
            <val>2022/11/29</val>
          </value>
          <value t="str">
            <val>2022/06/23</val>
          </value>
          <value t="str">
            <val>2022/12/22</val>
          </value>
        </values>
      </ddeItem>
      <ddeItem name="1215.TW-ID,Name,MarketValue,Capital,NetIncomeGrowthRate,OperIncomeGrowthRate,FinancialStatementsTime,TFXRatio,MonthlyNetSalesYoY,RevenueMonth" advise="1">
        <values cols="10">
          <value t="str">
            <val>1215</val>
          </value>
          <value t="str">
            <val>卜蜂</val>
          </value>
          <value t="str">
            <val>229.1</val>
          </value>
          <value t="str">
            <val>29.48</val>
          </value>
          <value t="str">
            <val>13.00</val>
          </value>
          <value t="str">
            <val>21.55</val>
          </value>
          <value t="str">
            <val>2022/09</val>
          </value>
          <value t="str">
            <val>9.74</val>
          </value>
          <value t="str">
            <val>15.08</val>
          </value>
          <value t="str">
            <val>2022/11</val>
          </value>
        </values>
      </ddeItem>
      <ddeItem name="1215.TW-OperatingProfitRatio,Price,PriceChangeRatio,InOutRatioNumber,Value,YearReturn,MonthReturn,WeekReturn,FinanceBalanceDif,ChipsField2" advise="1">
        <values cols="10">
          <value t="str">
            <val>7.16</val>
          </value>
          <value>
            <val>77.7</val>
          </value>
          <value>
            <val>0.91</val>
          </value>
          <value t="str">
            <val>47.60%</val>
          </value>
          <value t="str">
            <val>1790萬</val>
          </value>
          <value t="str">
            <val>+10.70</val>
          </value>
          <value t="str">
            <val>0.00</val>
          </value>
          <value t="str">
            <val>+0.52</val>
          </value>
          <value>
            <val>31</val>
          </value>
          <value>
            <val>-257</val>
          </value>
        </values>
      </ddeItem>
      <ddeItem name="1216.TW-ChipsField3,ChipsField1,ChipsField25,CashAndStockDividend,CashDividendYieldRate,ProfitFourSeason,ProfitSingle,CName,ExchangeIndustry,CompanyPos" advise="1">
        <values cols="10">
          <value>
            <val>-350</val>
          </value>
          <value>
            <val>-1030</val>
          </value>
          <value t="str">
            <val>2022/08/04</val>
          </value>
          <value t="str">
            <val>2.70</val>
          </value>
          <value>
            <val>4.0999999999999996</val>
          </value>
          <value t="str">
            <val>3.17</val>
          </value>
          <value t="str">
            <val>0.97</val>
          </value>
          <value t="str">
            <val>統一</val>
          </value>
          <value t="str">
            <val>上市食品</val>
          </value>
          <value t="str">
            <val>台灣食品業龍頭廠之一</val>
          </value>
        </values>
      </ddeItem>
      <ddeItem name="1216.TW-CName,InvestorConferenceDate,DateofMeetingofShareHolders,TradingDate" advise="1">
        <values cols="4">
          <value t="str">
            <val>統一</val>
          </value>
          <value t="str">
            <val>2022/03/11</val>
          </value>
          <value t="str">
            <val>2022/05/31</val>
          </value>
          <value t="str">
            <val>2022/12/22</val>
          </value>
        </values>
      </ddeItem>
      <ddeItem name="1216.TW-ID,Name,MarketValue,Capital,NetIncomeGrowthRate,OperIncomeGrowthRate,FinancialStatementsTime,TFXRatio,MonthlyNetSalesYoY,RevenueMonth" advise="1">
        <values cols="10">
          <value t="str">
            <val>1216</val>
          </value>
          <value t="str">
            <val>統一</val>
          </value>
          <value t="str">
            <val>3744.4</val>
          </value>
          <value t="str">
            <val>568.20</val>
          </value>
          <value t="str">
            <val>-4.96</val>
          </value>
          <value t="str">
            <val>3.98</val>
          </value>
          <value t="str">
            <val>2022/09</val>
          </value>
          <value t="str">
            <val>-5.29</val>
          </value>
          <value t="str">
            <val>3.32</val>
          </value>
          <value t="str">
            <val>2022/11</val>
          </value>
        </values>
      </ddeItem>
      <ddeItem name="1216.TW-OperatingProfitRatio,Price,PriceChangeRatio,InOutRatioNumber,Value,YearReturn,MonthReturn,WeekReturn,FinanceBalanceDif,ChipsField2" advise="1">
        <values cols="10">
          <value t="str">
            <val>6.07</val>
          </value>
          <value>
            <val>65.900000000000006</val>
          </value>
          <value>
            <val>0.76</val>
          </value>
          <value t="str">
            <val>56.23%</val>
          </value>
          <value t="str">
            <val>2.20億</val>
          </value>
          <value t="str">
            <val>+1.04</val>
          </value>
          <value t="str">
            <val>+2.65</val>
          </value>
          <value t="str">
            <val>-0.15</val>
          </value>
          <value>
            <val>3</val>
          </value>
          <value>
            <val>21</val>
          </value>
        </values>
      </ddeItem>
      <ddeItem name="1217.TW-ChipsField3,ChipsField1,ChipsField25,CashAndStockDividend,CashDividendYieldRate,ProfitFourSeason,ProfitSingle,CName,ExchangeIndustry,CompanyPos" advise="1">
        <values cols="10">
          <value>
            <val>-30</val>
          </value>
          <value>
            <val>1089</val>
          </value>
          <value t="str">
            <val>2022/07/12</val>
          </value>
          <value t="str">
            <val>0.30</val>
          </value>
          <value>
            <val>2.76</val>
          </value>
          <value t="str">
            <val>0.45</val>
          </value>
          <value t="str">
            <val>0.52</val>
          </value>
          <value t="str">
            <val>愛之味</val>
          </value>
          <value t="str">
            <val>上市食品</val>
          </value>
          <value t="str">
            <val>以飲料、傳統類罐頭為主的食品商</val>
          </value>
        </values>
      </ddeItem>
      <ddeItem name="1217.TW-CName,InvestorConferenceDate,DateofMeetingofShareHolders,TradingDate" advise="1">
        <values cols="4">
          <value t="str">
            <val>愛之味</val>
          </value>
          <value t="str">
            <val>2022/08/19</val>
          </value>
          <value t="str">
            <val>2022/06/24</val>
          </value>
          <value t="str">
            <val>2022/12/22</val>
          </value>
        </values>
      </ddeItem>
      <ddeItem name="1217.TW-ID,Name,MarketValue,Capital,NetIncomeGrowthRate,OperIncomeGrowthRate,FinancialStatementsTime,TFXRatio,MonthlyNetSalesYoY,RevenueMonth" advise="1">
        <values cols="10">
          <value t="str">
            <val>1217</val>
          </value>
          <value t="str">
            <val>愛之味</val>
          </value>
          <value t="str">
            <val>53.7</val>
          </value>
          <value t="str">
            <val>49.45</val>
          </value>
          <value t="str">
            <val>5.11</val>
          </value>
          <value t="str">
            <val>5.63</val>
          </value>
          <value t="str">
            <val>2022/09</val>
          </value>
          <value t="str">
            <val>-3.63</val>
          </value>
          <value t="str">
            <val>-0.64</val>
          </value>
          <value t="str">
            <val>2022/11</val>
          </value>
        </values>
      </ddeItem>
      <ddeItem name="1217.TW-OperatingProfitRatio,Price,PriceChangeRatio,InOutRatioNumber,Value,YearReturn,MonthReturn,WeekReturn,FinanceBalanceDif,ChipsField2" advise="1">
        <values cols="10">
          <value t="str">
            <val>5.67</val>
          </value>
          <value>
            <val>10.85</val>
          </value>
          <value>
            <val>-0.46</val>
          </value>
          <value t="str">
            <val>45.28%</val>
          </value>
          <value t="str">
            <val>2543萬</val>
          </value>
          <value t="str">
            <val>+6.78</val>
          </value>
          <value t="str">
            <val>+6.90</val>
          </value>
          <value t="str">
            <val>+1.40</val>
          </value>
          <value>
            <val>-98</val>
          </value>
          <value>
            <val>0</val>
          </value>
        </values>
      </ddeItem>
      <ddeItem name="1218.TW-ChipsField3,ChipsField1,ChipsField25,CashAndStockDividend,CashDividendYieldRate,ProfitFourSeason,ProfitSingle,CName,ExchangeIndustry,CompanyPos" advise="1">
        <values cols="10">
          <value>
            <val>13</val>
          </value>
          <value>
            <val>980</val>
          </value>
          <value t="str">
            <val>2022/06/23</val>
          </value>
          <value t="str">
            <val>1.00</val>
          </value>
          <value>
            <val>3.11</val>
          </value>
          <value t="str">
            <val>1.19</val>
          </value>
          <value t="str">
            <val>0.32</val>
          </value>
          <value t="str">
            <val>泰山</val>
          </value>
          <value t="str">
            <val>上市食品</val>
          </value>
          <value t="str">
            <val>台灣油脂、飲料大廠及轉投資全家便利超商</val>
          </value>
        </values>
      </ddeItem>
      <ddeItem name="1218.TW-CName,InvestorConferenceDate,DateofMeetingofShareHolders,TradingDate" advise="1">
        <values cols="4">
          <value t="str">
            <val>泰山</val>
          </value>
          <value t="str">
            <val>2022/12/01</val>
          </value>
          <value t="str">
            <val>2022/05/26</val>
          </value>
          <value t="str">
            <val>2022/12/22</val>
          </value>
        </values>
      </ddeItem>
      <ddeItem name="1218.TW-ID,Name,MarketValue,Capital,NetIncomeGrowthRate,OperIncomeGrowthRate,FinancialStatementsTime,TFXRatio,MonthlyNetSalesYoY,RevenueMonth" advise="1">
        <values cols="10">
          <value t="str">
            <val>1218</val>
          </value>
          <value t="str">
            <val>泰山</val>
          </value>
          <value t="str">
            <val>161.0</val>
          </value>
          <value t="str">
            <val>50.00</val>
          </value>
          <value t="str">
            <val>-3.03</val>
          </value>
          <value t="str">
            <val>-20.07</val>
          </value>
          <value t="str">
            <val>2022/09</val>
          </value>
          <value t="str">
            <val>9.70</val>
          </value>
          <value t="str">
            <val>3.86</val>
          </value>
          <value t="str">
            <val>2022/11</val>
          </value>
        </values>
      </ddeItem>
      <ddeItem name="1218.TW-OperatingProfitRatio,Price,PriceChangeRatio,InOutRatioNumber,Value,YearReturn,MonthReturn,WeekReturn,FinanceBalanceDif,ChipsField2" advise="1">
        <values cols="10">
          <value t="str">
            <val>1.57</val>
          </value>
          <value>
            <val>32.200000000000003</val>
          </value>
          <value>
            <val>-1.83</val>
          </value>
          <value t="str">
            <val>32.17%</val>
          </value>
          <value t="str">
            <val>1.31億</val>
          </value>
          <value t="str">
            <val>+23.67</val>
          </value>
          <value t="str">
            <val>-14.36</val>
          </value>
          <value t="str">
            <val>-17.22</val>
          </value>
          <value>
            <val>293</val>
          </value>
          <value>
            <val>0</val>
          </value>
        </values>
      </ddeItem>
      <ddeItem name="1219.TW-ChipsField3,ChipsField1,ChipsField25,CashAndStockDividend,CashDividendYieldRate,ProfitFourSeason,ProfitSingle,CName,ExchangeIndustry,CompanyPos" advise="1">
        <values cols="10">
          <value>
            <val>-19</val>
          </value>
          <value>
            <val>-3</val>
          </value>
          <value t="str">
            <val>2022/07/06</val>
          </value>
          <value t="str">
            <val>1.10</val>
          </value>
          <value>
            <val>5.87</val>
          </value>
          <value t="str">
            <val>1.16</val>
          </value>
          <value t="str">
            <val>-0.10</val>
          </value>
          <value t="str">
            <val>福壽</val>
          </value>
          <value t="str">
            <val>上市食品</val>
          </value>
          <value t="str">
            <val>台灣第二大麻油生產商及最大的寵物飼料廠</val>
          </value>
        </values>
      </ddeItem>
      <ddeItem name="1219.TW-CName,InvestorConferenceDate,DateofMeetingofShareHolders,TradingDate" advise="1">
        <values cols="4">
          <value t="str">
            <val>福壽</val>
          </value>
          <value t="str">
            <val>2022/09/02</val>
          </value>
          <value t="str">
            <val>2022/06/17</val>
          </value>
          <value t="str">
            <val>2022/12/22</val>
          </value>
        </values>
      </ddeItem>
      <ddeItem name="1219.TW-ID,Name,MarketValue,Capital,NetIncomeGrowthRate,OperIncomeGrowthRate,FinancialStatementsTime,TFXRatio,MonthlyNetSalesYoY,RevenueMonth" advise="1">
        <values cols="10">
          <value t="str">
            <val>1219</val>
          </value>
          <value t="str">
            <val>福壽</val>
          </value>
          <value t="str">
            <val>60.4</val>
          </value>
          <value t="str">
            <val>32.20</val>
          </value>
          <value t="str">
            <val>29.53</val>
          </value>
          <value t="str">
            <val>23.54</val>
          </value>
          <value t="str">
            <val>2022/09</val>
          </value>
          <value t="str">
            <val>0.13</val>
          </value>
          <value t="str">
            <val>3.00</val>
          </value>
          <value t="str">
            <val>2022/11</val>
          </value>
        </values>
      </ddeItem>
      <ddeItem name="1219.TW-OperatingProfitRatio,Price,PriceChangeRatio,InOutRatioNumber,Value,YearReturn,MonthReturn,WeekReturn,FinanceBalanceDif,ChipsField2" advise="1">
        <values cols="10">
          <value t="str">
            <val>2.40</val>
          </value>
          <value>
            <val>18.75</val>
          </value>
          <value>
            <val>1.08</val>
          </value>
          <value t="str">
            <val>51.22%</val>
          </value>
          <value t="str">
            <val>1152萬</val>
          </value>
          <value t="str">
            <val>+0.60</val>
          </value>
          <value t="str">
            <val>-0.53</val>
          </value>
          <value t="str">
            <val>-2.85</val>
          </value>
          <value>
            <val>-281</val>
          </value>
          <value>
            <val>0</val>
          </value>
        </values>
      </ddeItem>
      <ddeItem name="1220.TW-ChipsField3,ChipsField1,ChipsField25,CashAndStockDividend,CashDividendYieldRate,ProfitFourSeason,ProfitSingle,CName,ExchangeIndustry,CompanyPos" advise="1">
        <values cols="10">
          <value>
            <val>-10</val>
          </value>
          <value>
            <val>20</val>
          </value>
          <value t="str">
            <val>2022/07/19</val>
          </value>
          <value t="str">
            <val>1.00</val>
          </value>
          <value>
            <val>6.58</val>
          </value>
          <value t="str">
            <val>0.36</val>
          </value>
          <value t="str">
            <val>-0.08</val>
          </value>
          <value t="str">
            <val>台榮</val>
          </value>
          <value t="str">
            <val>上市食品</val>
          </value>
          <value t="str">
            <val>台灣知名果糖大廠，並生產飼料及水產品</val>
          </value>
        </values>
      </ddeItem>
      <ddeItem name="1220.TW-CName,InvestorConferenceDate,DateofMeetingofShareHolders,TradingDate" advise="1">
        <values cols="4">
          <value t="str">
            <val>台榮</val>
          </value>
          <value t="str">
            <val>2022/10/11</val>
          </value>
          <value t="str">
            <val>2022/06/29</val>
          </value>
          <value t="str">
            <val>2022/12/22</val>
          </value>
        </values>
      </ddeItem>
      <ddeItem name="1220.TW-ID,Name,MarketValue,Capital,NetIncomeGrowthRate,OperIncomeGrowthRate,FinancialStatementsTime,TFXRatio,MonthlyNetSalesYoY,RevenueMonth" advise="1">
        <values cols="10">
          <value t="str">
            <val>1220</val>
          </value>
          <value t="str">
            <val>台榮</val>
          </value>
          <value t="str">
            <val>26.9</val>
          </value>
          <value t="str">
            <val>17.71</val>
          </value>
          <value t="str">
            <val>-66.61</val>
          </value>
          <value t="str">
            <val>-71.52</val>
          </value>
          <value t="str">
            <val>2022/09</val>
          </value>
          <value t="str">
            <val>4.83</val>
          </value>
          <value t="str">
            <val>5.23</val>
          </value>
          <value t="str">
            <val>2022/11</val>
          </value>
        </values>
      </ddeItem>
      <ddeItem name="1220.TW-OperatingProfitRatio,Price,PriceChangeRatio,InOutRatioNumber,Value,YearReturn,MonthReturn,WeekReturn,FinanceBalanceDif,ChipsField2" advise="1">
        <values cols="10">
          <value t="str">
            <val>2.13</val>
          </value>
          <value>
            <val>15.2</val>
          </value>
          <value>
            <val>0.33</val>
          </value>
          <value t="str">
            <val>45.45%</val>
          </value>
          <value t="str">
            <val>217萬</val>
          </value>
          <value t="str">
            <val>+4.05</val>
          </value>
          <value t="str">
            <val>+4.83</val>
          </value>
          <value t="str">
            <val>-0.65</val>
          </value>
          <value>
            <val>45</val>
          </value>
          <value>
            <val>0</val>
          </value>
        </values>
      </ddeItem>
      <ddeItem name="122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2022/08/26</val>
          </value>
          <value t="str">
            <val>1.60</val>
          </value>
          <value>
            <val>2.82</val>
          </value>
          <value t="str">
            <val>2.12</val>
          </value>
          <value t="str">
            <val>-0.05</val>
          </value>
          <value t="str">
            <val>福懋油</val>
          </value>
          <value t="str">
            <val>上市食品</val>
          </value>
          <value t="str">
            <val>台灣油脂、飼料大廠</val>
          </value>
        </values>
      </ddeItem>
      <ddeItem name="1225.TW-CName,InvestorConferenceDate,DateofMeetingofShareHolders,TradingDate" advise="1">
        <values cols="4">
          <value t="str">
            <val>福懋油</val>
          </value>
          <value t="str">
            <val>2022/11/25</val>
          </value>
          <value t="str">
            <val>2022/06/23</val>
          </value>
          <value t="str">
            <val>2022/12/22</val>
          </value>
        </values>
      </ddeItem>
      <ddeItem name="1225.TW-ID,Name,MarketValue,Capital,NetIncomeGrowthRate,OperIncomeGrowthRate,FinancialStatementsTime,TFXRatio,MonthlyNetSalesYoY,RevenueMonth" advise="1">
        <values cols="10">
          <value t="str">
            <val>1225</val>
          </value>
          <value t="str">
            <val>福懋油</val>
          </value>
          <value t="str">
            <val>124.0</val>
          </value>
          <value t="str">
            <val>21.87</val>
          </value>
          <value t="str">
            <val>-7.77</val>
          </value>
          <value t="str">
            <val>-12.32</val>
          </value>
          <value t="str">
            <val>2022/09</val>
          </value>
          <value t="str">
            <val>-0.06</val>
          </value>
          <value t="str">
            <val>-2.38</val>
          </value>
          <value t="str">
            <val>2022/11</val>
          </value>
        </values>
      </ddeItem>
      <ddeItem name="1225.TW-OperatingProfitRatio,Price,PriceChangeRatio,InOutRatioNumber,Value,YearReturn,MonthReturn,WeekReturn,FinanceBalanceDif,ChipsField2" advise="1">
        <values cols="10">
          <value t="str">
            <val>3.09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+12.96</val>
          </value>
          <value t="str">
            <val>+0.35</val>
          </value>
          <value t="str">
            <val>-1.90</val>
          </value>
          <value>
            <val>1</val>
          </value>
          <value>
            <val>0</val>
          </value>
        </values>
      </ddeItem>
      <ddeItem name="1227.TW-ChipsField3,ChipsField1,ChipsField25,CashAndStockDividend,CashDividendYieldRate,ProfitFourSeason,ProfitSingle,CName,ExchangeIndustry,CompanyPos" advise="1">
        <values cols="10">
          <value>
            <val>-40</val>
          </value>
          <value>
            <val>155</val>
          </value>
          <value t="str">
            <val>2022/07/21</val>
          </value>
          <value t="str">
            <val>1.90</val>
          </value>
          <value>
            <val>4.8</val>
          </value>
          <value t="str">
            <val>1.61</val>
          </value>
          <value t="str">
            <val>0.54</val>
          </value>
          <value t="str">
            <val>佳格</val>
          </value>
          <value t="str">
            <val>上市食品</val>
          </value>
          <value t="str">
            <val>台灣最大穀物營養品與油品供應商</val>
          </value>
        </values>
      </ddeItem>
      <ddeItem name="1227.TW-CName,InvestorConferenceDate,DateofMeetingofShareHolders,TradingDate" advise="1">
        <values cols="4">
          <value t="str">
            <val>佳格</val>
          </value>
          <value t="str">
            <val>2021/11/23</val>
          </value>
          <value t="str">
            <val>2022/06/16</val>
          </value>
          <value t="str">
            <val>2022/12/22</val>
          </value>
        </values>
      </ddeItem>
      <ddeItem name="1227.TW-ID,Name,MarketValue,Capital,NetIncomeGrowthRate,OperIncomeGrowthRate,FinancialStatementsTime,TFXRatio,MonthlyNetSalesYoY,RevenueMonth" advise="1">
        <values cols="10">
          <value t="str">
            <val>1227</val>
          </value>
          <value t="str">
            <val>佳格</val>
          </value>
          <value t="str">
            <val>362.4</val>
          </value>
          <value t="str">
            <val>91.51</val>
          </value>
          <value t="str">
            <val>-48.84</val>
          </value>
          <value t="str">
            <val>-52.54</val>
          </value>
          <value t="str">
            <val>2022/09</val>
          </value>
          <value t="str">
            <val>27.31</val>
          </value>
          <value t="str">
            <val>-24.60</val>
          </value>
          <value t="str">
            <val>2022/11</val>
          </value>
        </values>
      </ddeItem>
      <ddeItem name="1227.TW-OperatingProfitRatio,Price,PriceChangeRatio,InOutRatioNumber,Value,YearReturn,MonthReturn,WeekReturn,FinanceBalanceDif,ChipsField2" advise="1">
        <values cols="10">
          <value t="str">
            <val>5.70</val>
          </value>
          <value>
            <val>39.6</val>
          </value>
          <value>
            <val>1.1499999999999999</val>
          </value>
          <value t="str">
            <val>66.49%</val>
          </value>
          <value t="str">
            <val>1494萬</val>
          </value>
          <value t="str">
            <val>-23.07</val>
          </value>
          <value t="str">
            <val>-0.75</val>
          </value>
          <value t="str">
            <val>-1.25</val>
          </value>
          <value>
            <val>2</val>
          </value>
          <value>
            <val>2</val>
          </value>
        </values>
      </ddeItem>
      <ddeItem name="1229.TW-ChipsField3,ChipsField1,ChipsField25,CashAndStockDividend,CashDividendYieldRate,ProfitFourSeason,ProfitSingle,CName,ExchangeIndustry,CompanyPos" advise="1">
        <values cols="10">
          <value>
            <val>-69</val>
          </value>
          <value>
            <val>-6</val>
          </value>
          <value t="str">
            <val>2022/04/21</val>
          </value>
          <value t="str">
            <val>2.30</val>
          </value>
          <value>
            <val>4.68</val>
          </value>
          <value t="str">
            <val>2.62</val>
          </value>
          <value t="str">
            <val>0.44</val>
          </value>
          <value t="str">
            <val>聯華</val>
          </value>
          <value t="str">
            <val>上市食品</val>
          </value>
          <value t="str">
            <val>神達集團母公司，台灣最大麵粉廠</val>
          </value>
        </values>
      </ddeItem>
      <ddeItem name="1229.TW-CName,InvestorConferenceDate,DateofMeetingofShareHolders,TradingDate" advise="1">
        <values cols="4">
          <value t="str">
            <val>聯華</val>
          </value>
          <value t="str">
            <val>2022/12/14</val>
          </value>
          <value t="str">
            <val>2022/06/23</val>
          </value>
          <value t="str">
            <val>2022/12/22</val>
          </value>
        </values>
      </ddeItem>
      <ddeItem name="1229.TW-ID,Name,MarketValue,Capital,NetIncomeGrowthRate,OperIncomeGrowthRate,FinancialStatementsTime,TFXRatio,MonthlyNetSalesYoY,RevenueMonth" advise="1">
        <values cols="10">
          <value t="str">
            <val>1229</val>
          </value>
          <value t="str">
            <val>聯華</val>
          </value>
          <value t="str">
            <val>727.5</val>
          </value>
          <value t="str">
            <val>148.01</val>
          </value>
          <value t="str">
            <val>-0.87</val>
          </value>
          <value t="str">
            <val>16.56</val>
          </value>
          <value t="str">
            <val>2022/09</val>
          </value>
          <value t="str">
            <val>3.55</val>
          </value>
          <value t="str">
            <val>-16.96</val>
          </value>
          <value t="str">
            <val>2022/11</val>
          </value>
        </values>
      </ddeItem>
      <ddeItem name="1229.TW-OperatingProfitRatio,Price,PriceChangeRatio,InOutRatioNumber,Value,YearReturn,MonthReturn,WeekReturn,FinanceBalanceDif,ChipsField2" advise="1">
        <values cols="10">
          <value t="str">
            <val>16.58</val>
          </value>
          <value>
            <val>49.15</val>
          </value>
          <value>
            <val>0.51</val>
          </value>
          <value t="str">
            <val>23.99%</val>
          </value>
          <value t="str">
            <val>1343萬</val>
          </value>
          <value t="str">
            <val>-8.52</val>
          </value>
          <value t="str">
            <val>+0.51</val>
          </value>
          <value t="str">
            <val>-1.60</val>
          </value>
          <value>
            <val>4</val>
          </value>
          <value>
            <val>4</val>
          </value>
        </values>
      </ddeItem>
      <ddeItem name="123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-30</val>
          </value>
          <value t="str">
            <val>2022/07/04</val>
          </value>
          <value t="str">
            <val>2.60</val>
          </value>
          <value>
            <val>3.52</val>
          </value>
          <value t="str">
            <val>4.11</val>
          </value>
          <value t="str">
            <val>1.04</val>
          </value>
          <value t="str">
            <val>聯華食</val>
          </value>
          <value t="str">
            <val>上市食品</val>
          </value>
          <value t="str">
            <val>台灣休閒食品大廠，並供應7-11鮮食產品</val>
          </value>
        </values>
      </ddeItem>
      <ddeItem name="1231.TW-CName,InvestorConferenceDate,DateofMeetingofShareHolders,TradingDate" advise="1">
        <values cols="4">
          <value t="str">
            <val>聯華食</val>
          </value>
          <value t="str">
            <val>2022/12/21</val>
          </value>
          <value t="str">
            <val>2022/05/27</val>
          </value>
          <value t="str">
            <val>2022/12/22</val>
          </value>
        </values>
      </ddeItem>
      <ddeItem name="1231.TW-ID,Name,MarketValue,Capital,NetIncomeGrowthRate,OperIncomeGrowthRate,FinancialStatementsTime,TFXRatio,MonthlyNetSalesYoY,RevenueMonth" advise="1">
        <values cols="10">
          <value t="str">
            <val>1231</val>
          </value>
          <value t="str">
            <val>聯華食</val>
          </value>
          <value t="str">
            <val>165.7</val>
          </value>
          <value t="str">
            <val>22.42</val>
          </value>
          <value t="str">
            <val>11.36</val>
          </value>
          <value t="str">
            <val>24.63</val>
          </value>
          <value t="str">
            <val>2022/09</val>
          </value>
          <value t="str">
            <val>0.28</val>
          </value>
          <value t="str">
            <val>16.21</val>
          </value>
          <value t="str">
            <val>2022/11</val>
          </value>
        </values>
      </ddeItem>
      <ddeItem name="1231.TW-OperatingProfitRatio,Price,PriceChangeRatio,InOutRatioNumber,Value,YearReturn,MonthReturn,WeekReturn,FinanceBalanceDif,ChipsField2" advise="1">
        <values cols="10">
          <value t="str">
            <val>10.36</val>
          </value>
          <value>
            <val>73.900000000000006</val>
          </value>
          <value>
            <val>1.51</val>
          </value>
          <value t="str">
            <val>80.00%</val>
          </value>
          <value t="str">
            <val>562萬</val>
          </value>
          <value t="str">
            <val>+22.56</val>
          </value>
          <value t="str">
            <val>+7.73</val>
          </value>
          <value t="str">
            <val>-0.14</val>
          </value>
          <value>
            <val>-2</val>
          </value>
          <value>
            <val>0</val>
          </value>
        </values>
      </ddeItem>
      <ddeItem name="1232.TW-ChipsField3,ChipsField1,ChipsField25,CashAndStockDividend,CashDividendYieldRate,ProfitFourSeason,ProfitSingle,CName,ExchangeIndustry,CompanyPos" advise="1">
        <values cols="10">
          <value>
            <val>-4</val>
          </value>
          <value>
            <val>0</val>
          </value>
          <value t="str">
            <val>2022/06/27</val>
          </value>
          <value t="str">
            <val>6.00</val>
          </value>
          <value>
            <val>4.2300000000000004</val>
          </value>
          <value t="str">
            <val>8.30</val>
          </value>
          <value t="str">
            <val>0.78</val>
          </value>
          <value t="str">
            <val>大統益</val>
          </value>
          <value t="str">
            <val>上市食品</val>
          </value>
          <value t="str">
            <val>亞洲最大黃豆油煉製廠商</val>
          </value>
        </values>
      </ddeItem>
      <ddeItem name="1232.TW-CName,InvestorConferenceDate,DateofMeetingofShareHolders,TradingDate" advise="1">
        <values cols="4">
          <value t="str">
            <val>大統益</val>
          </value>
          <value t="str">
            <val>2022/03/11</val>
          </value>
          <value t="str">
            <val>2022/05/25</val>
          </value>
          <value t="str">
            <val>2022/12/22</val>
          </value>
        </values>
      </ddeItem>
      <ddeItem name="1232.TW-ID,Name,MarketValue,Capital,NetIncomeGrowthRate,OperIncomeGrowthRate,FinancialStatementsTime,TFXRatio,MonthlyNetSalesYoY,RevenueMonth" advise="1">
        <values cols="10">
          <value t="str">
            <val>1232</val>
          </value>
          <value t="str">
            <val>大統益</val>
          </value>
          <value t="str">
            <val>227.2</val>
          </value>
          <value t="str">
            <val>16.00</val>
          </value>
          <value t="str">
            <val>10.33</val>
          </value>
          <value t="str">
            <val>1.48</val>
          </value>
          <value t="str">
            <val>2022/09</val>
          </value>
          <value t="str">
            <val>2.73</val>
          </value>
          <value t="str">
            <val>7.30</val>
          </value>
          <value t="str">
            <val>2022/11</val>
          </value>
        </values>
      </ddeItem>
      <ddeItem name="1232.TW-OperatingProfitRatio,Price,PriceChangeRatio,InOutRatioNumber,Value,YearReturn,MonthReturn,WeekReturn,FinanceBalanceDif,ChipsField2" advise="1">
        <values cols="10">
          <value t="str">
            <val>6.28</val>
          </value>
          <value>
            <val>142</val>
          </value>
          <value>
            <val>0.71</val>
          </value>
          <value t="str">
            <val>26.67%</val>
          </value>
          <value t="str">
            <val>667萬</val>
          </value>
          <value t="str">
            <val>-5.51</val>
          </value>
          <value t="str">
            <val>-3.07</val>
          </value>
          <value t="str">
            <val>-1.05</val>
          </value>
          <value>
            <val>2</val>
          </value>
          <value>
            <val>-114</val>
          </value>
        </values>
      </ddeItem>
      <ddeItem name="123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2022/07/12</val>
          </value>
          <value t="str">
            <val>0.80</val>
          </value>
          <value>
            <val>2.5</val>
          </value>
          <value t="str">
            <val>0.55</val>
          </value>
          <value t="str">
            <val>0.08</val>
          </value>
          <value t="str">
            <val>天仁</val>
          </value>
          <value t="str">
            <val>上市食品</val>
          </value>
          <value t="str">
            <val>台灣知名茶葉廠商並轉投資喫茶趣</val>
          </value>
        </values>
      </ddeItem>
      <ddeItem name="1233.TW-CName,InvestorConferenceDate,DateofMeetingofShareHolders,TradingDate" advise="1">
        <values cols="4">
          <value t="str">
            <val>天仁</val>
          </value>
          <value t="str">
            <val>2022/12/09</val>
          </value>
          <value t="str">
            <val>2022/06/14</val>
          </value>
          <value t="str">
            <val>2022/12/22</val>
          </value>
        </values>
      </ddeItem>
      <ddeItem name="1233.TW-ID,Name,MarketValue,Capital,NetIncomeGrowthRate,OperIncomeGrowthRate,FinancialStatementsTime,TFXRatio,MonthlyNetSalesYoY,RevenueMonth" advise="1">
        <values cols="10">
          <value t="str">
            <val>1233</val>
          </value>
          <value t="str">
            <val>天仁</val>
          </value>
          <value t="str">
            <val>29.0</val>
          </value>
          <value t="str">
            <val>9.06</val>
          </value>
          <value t="str">
            <val>33.08</val>
          </value>
          <value t="str">
            <val>-8.21</val>
          </value>
          <value t="str">
            <val>2022/09</val>
          </value>
          <value t="str">
            <val>18.38</val>
          </value>
          <value t="str">
            <val>10.04</val>
          </value>
          <value t="str">
            <val>2022/11</val>
          </value>
        </values>
      </ddeItem>
      <ddeItem name="1233.TW-OperatingProfitRatio,Price,PriceChangeRatio,InOutRatioNumber,Value,YearReturn,MonthReturn,WeekReturn,FinanceBalanceDif,ChipsField2" advise="1">
        <values cols="10">
          <value t="str">
            <val>-0.90</val>
          </value>
          <value>
            <val>32.049999999999997</val>
          </value>
          <value>
            <val>0</val>
          </value>
          <value t="str">
            <val>28.57%</val>
          </value>
          <value t="str">
            <val>22.5萬</val>
          </value>
          <value t="str">
            <val>-4.72</val>
          </value>
          <value t="str">
            <val>-1.54</val>
          </value>
          <value t="str">
            <val>-1.69</val>
          </value>
          <value>
            <val>0</val>
          </value>
          <value>
            <val>0</val>
          </value>
        </values>
      </ddeItem>
      <ddeItem name="1234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8</val>
          </value>
          <value t="str">
            <val>2022/07/22</val>
          </value>
          <value t="str">
            <val>1.70</val>
          </value>
          <value>
            <val>5.18</val>
          </value>
          <value t="str">
            <val>2.37</val>
          </value>
          <value t="str">
            <val>0.97</val>
          </value>
          <value t="str">
            <val>黑松</val>
          </value>
          <value t="str">
            <val>上市食品</val>
          </value>
          <value t="str">
            <val>主要從事黑松品牌飲料製造及酒品代理</val>
          </value>
        </values>
      </ddeItem>
      <ddeItem name="1234.TW-CName,InvestorConferenceDate,DateofMeetingofShareHolders,TradingDate" advise="1">
        <values cols="4">
          <value t="str">
            <val>黑松</val>
          </value>
          <value t="str">
            <val>2022/12/21</val>
          </value>
          <value t="str">
            <val>2022/06/23</val>
          </value>
          <value t="str">
            <val>2022/12/22</val>
          </value>
        </values>
      </ddeItem>
      <ddeItem name="1234.TW-ID,Name,MarketValue,Capital,NetIncomeGrowthRate,OperIncomeGrowthRate,FinancialStatementsTime,TFXRatio,MonthlyNetSalesYoY,RevenueMonth" advise="1">
        <values cols="10">
          <value t="str">
            <val>1234</val>
          </value>
          <value t="str">
            <val>黑松</val>
          </value>
          <value t="str">
            <val>132.0</val>
          </value>
          <value t="str">
            <val>40.19</val>
          </value>
          <value t="str">
            <val>29.29</val>
          </value>
          <value t="str">
            <val>4.08</val>
          </value>
          <value t="str">
            <val>2022/09</val>
          </value>
          <value t="str">
            <val>12.52</val>
          </value>
          <value t="str">
            <val>17.27</val>
          </value>
          <value t="str">
            <val>2022/11</val>
          </value>
        </values>
      </ddeItem>
      <ddeItem name="1234.TW-OperatingProfitRatio,Price,PriceChangeRatio,InOutRatioNumber,Value,YearReturn,MonthReturn,WeekReturn,FinanceBalanceDif,ChipsField2" advise="1">
        <values cols="10">
          <value t="str">
            <val>6.68</val>
          </value>
          <value>
            <val>32.85</val>
          </value>
          <value>
            <val>0.15</val>
          </value>
          <value t="str">
            <val>5.13%</val>
          </value>
          <value t="str">
            <val>394萬</val>
          </value>
          <value t="str">
            <val>-2.55</val>
          </value>
          <value t="str">
            <val>-0.15</val>
          </value>
          <value t="str">
            <val>-0.45</val>
          </value>
          <value>
            <val>1</val>
          </value>
          <value>
            <val>0</val>
          </value>
        </values>
      </ddeItem>
      <ddeItem name="123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2022/08/30</val>
          </value>
          <value t="str">
            <val>3.80</val>
          </value>
          <value>
            <val>5.52</val>
          </value>
          <value t="str">
            <val>1.62</val>
          </value>
          <value t="str">
            <val>1.03</val>
          </value>
          <value t="str">
            <val>興泰</val>
          </value>
          <value t="str">
            <val>上市食品</val>
          </value>
          <value t="str">
            <val>生產畜產及水產類飼料之廠商</val>
          </value>
        </values>
      </ddeItem>
      <ddeItem name="1235.TW-CName,InvestorConferenceDate,DateofMeetingofShareHolders,TradingDate" advise="1">
        <values cols="4">
          <value t="str">
            <val>興泰</val>
          </value>
          <value t="str">
            <val>2022/12/23</val>
          </value>
          <value t="str">
            <val>2022/06/16</val>
          </value>
          <value t="str">
            <val>2022/12/22</val>
          </value>
        </values>
      </ddeItem>
      <ddeItem name="1235.TW-ID,Name,MarketValue,Capital,NetIncomeGrowthRate,OperIncomeGrowthRate,FinancialStatementsTime,TFXRatio,MonthlyNetSalesYoY,RevenueMonth" advise="1">
        <values cols="10">
          <value t="str">
            <val>1235</val>
          </value>
          <value t="str">
            <val>興泰</val>
          </value>
          <value t="str">
            <val>91.9</val>
          </value>
          <value t="str">
            <val>13.36</val>
          </value>
          <value t="str">
            <val>106.51</val>
          </value>
          <value t="str">
            <val>195.72</val>
          </value>
          <value t="str">
            <val>2022/09</val>
          </value>
          <value t="str">
            <val>-16.88</val>
          </value>
          <value t="str">
            <val>121.86</val>
          </value>
          <value t="str">
            <val>2022/11</val>
          </value>
        </values>
      </ddeItem>
      <ddeItem name="1235.TW-OperatingProfitRatio,Price,PriceChangeRatio,InOutRatioNumber,Value,YearReturn,MonthReturn,WeekReturn,FinanceBalanceDif,ChipsField2" advise="1">
        <values cols="10">
          <value t="str">
            <val>36.48</val>
          </value>
          <value>
            <val>68.8</val>
          </value>
          <value>
            <val>0</val>
          </value>
          <value t="str">
            <val>34.78%</val>
          </value>
          <value t="str">
            <val>158萬</val>
          </value>
          <value t="str">
            <val>+104.62</val>
          </value>
          <value t="str">
            <val>-1.15</val>
          </value>
          <value t="str">
            <val>-2.13</val>
          </value>
          <value>
            <val>0</val>
          </value>
          <value>
            <val>0</val>
          </value>
        </values>
      </ddeItem>
      <ddeItem name="123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2022/07/19</val>
          </value>
          <value t="str">
            <val>0.50</val>
          </value>
          <value>
            <val>2.33</val>
          </value>
          <value t="str">
            <val>3.68</val>
          </value>
          <value t="str">
            <val>0.14</val>
          </value>
          <value t="str">
            <val>宏亞</val>
          </value>
          <value t="str">
            <val>上市食品</val>
          </value>
          <value t="str">
            <val>旗下七七巧克力與禮坊喜餅為知名品牌</val>
          </value>
        </values>
      </ddeItem>
      <ddeItem name="1236.TW-CName,InvestorConferenceDate,DateofMeetingofShareHolders,TradingDate" advise="1">
        <values cols="4">
          <value t="str">
            <val>宏亞</val>
          </value>
          <value t="str">
            <val>2022/12/28</val>
          </value>
          <value t="str">
            <val>2022/06/29</val>
          </value>
          <value t="str">
            <val>2022/12/22</val>
          </value>
        </values>
      </ddeItem>
      <ddeItem name="1236.TW-ID,Name,MarketValue,Capital,NetIncomeGrowthRate,OperIncomeGrowthRate,FinancialStatementsTime,TFXRatio,MonthlyNetSalesYoY,RevenueMonth" advise="1">
        <values cols="10">
          <value t="str">
            <val>1236</val>
          </value>
          <value t="str">
            <val>宏亞</val>
          </value>
          <value t="str">
            <val>23.3</val>
          </value>
          <value t="str">
            <val>10.83</val>
          </value>
          <value t="str">
            <val>1650.35</val>
          </value>
          <value t="str">
            <val>51.96</val>
          </value>
          <value t="str">
            <val>2022/09</val>
          </value>
          <value t="str">
            <val>38.34</val>
          </value>
          <value t="str">
            <val>28.62</val>
          </value>
          <value t="str">
            <val>2022/11</val>
          </value>
        </values>
      </ddeItem>
      <ddeItem name="1236.TW-OperatingProfitRatio,Price,PriceChangeRatio,InOutRatioNumber,Value,YearReturn,MonthReturn,WeekReturn,FinanceBalanceDif,ChipsField2" advise="1">
        <values cols="10">
          <value t="str">
            <val>-1.46</val>
          </value>
          <value>
            <val>21.5</val>
          </value>
          <value>
            <val>0.47</val>
          </value>
          <value t="str">
            <val>44.93%</val>
          </value>
          <value t="str">
            <val>148萬</val>
          </value>
          <value t="str">
            <val>-24.30</val>
          </value>
          <value t="str">
            <val>+3.37</val>
          </value>
          <value t="str">
            <val>-5.49</val>
          </value>
          <value>
            <val>-7</val>
          </value>
          <value>
            <val>0</val>
          </value>
        </values>
      </ddeItem>
      <ddeItem name="125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2022/07/22</val>
          </value>
          <value t="str">
            <val>13.00</val>
          </value>
          <value>
            <val>4.7699999999999996</val>
          </value>
          <value t="str">
            <val>10.23</val>
          </value>
          <value t="str">
            <val>6.57</val>
          </value>
          <value t="str">
            <val>鮮活果汁-KY</val>
          </value>
          <value t="str">
            <val>上市食品</val>
          </value>
          <value t="str">
            <val>大陸最大原料型濃縮果汁、果粉、果粒供應商</val>
          </value>
        </values>
      </ddeItem>
      <ddeItem name="1256.TW-CName,InvestorConferenceDate,DateofMeetingofShareHolders,TradingDate" advise="1">
        <values cols="4">
          <value t="str">
            <val>鮮活果汁-KY</val>
          </value>
          <value t="str">
            <val>2022/12/09</val>
          </value>
          <value t="str">
            <val>2022/05/26</val>
          </value>
          <value t="str">
            <val>2022/12/22</val>
          </value>
        </values>
      </ddeItem>
      <ddeItem name="1256.TW-ID,Name,MarketValue,Capital,NetIncomeGrowthRate,OperIncomeGrowthRate,FinancialStatementsTime,TFXRatio,MonthlyNetSalesYoY,RevenueMonth" advise="1">
        <values cols="10">
          <value t="str">
            <val>1256</val>
          </value>
          <value t="str">
            <val>鮮活果汁-KY</val>
          </value>
          <value t="str">
            <val>92.2</val>
          </value>
          <value t="str">
            <val>3.38</val>
          </value>
          <value t="str">
            <val>-44.52</val>
          </value>
          <value t="str">
            <val>-53.72</val>
          </value>
          <value t="str">
            <val>2022/09</val>
          </value>
          <value t="str">
            <val>28.74</val>
          </value>
          <value t="str">
            <val>-7.76</val>
          </value>
          <value t="str">
            <val>2022/11</val>
          </value>
        </values>
      </ddeItem>
      <ddeItem name="1256.TW-OperatingProfitRatio,Price,PriceChangeRatio,InOutRatioNumber,Value,YearReturn,MonthReturn,WeekReturn,FinanceBalanceDif,ChipsField2" advise="1">
        <values cols="10">
          <value t="str">
            <val>13.43</val>
          </value>
          <value>
            <val>272.5</val>
          </value>
          <value>
            <val>1.87</val>
          </value>
          <value t="str">
            <val>50.00%</val>
          </value>
          <value t="str">
            <val>163萬</val>
          </value>
          <value t="str">
            <val>-11.16</val>
          </value>
          <value t="str">
            <val>+18.22</val>
          </value>
          <value t="str">
            <val>-3.88</val>
          </value>
          <value>
            <val>1</val>
          </value>
          <value>
            <val>0</val>
          </value>
        </values>
      </ddeItem>
      <ddeItem name="1301.TW-ChipsField3,ChipsField1,ChipsField25,CashAndStockDividend,CashDividendYieldRate,ProfitFourSeason,ProfitSingle,CName,ExchangeIndustry,CompanyPos" advise="1">
        <values cols="10">
          <value>
            <val>-438</val>
          </value>
          <value>
            <val>-9298</val>
          </value>
          <value t="str">
            <val>2022/07/05</val>
          </value>
          <value t="str">
            <val>8.20</val>
          </value>
          <value>
            <val>9.4</val>
          </value>
          <value t="str">
            <val>9.49</val>
          </value>
          <value t="str">
            <val>0.90</val>
          </value>
          <value t="str">
            <val>台塑</val>
          </value>
          <value t="str">
            <val>上市塑膠</val>
          </value>
          <value t="str">
            <val>台灣最大塑化集團，亞洲最大PVC生產商</val>
          </value>
        </values>
      </ddeItem>
      <ddeItem name="1301.TW-CName,InvestorConferenceDate,DateofMeetingofShareHolders,TradingDate" advise="1">
        <values cols="4">
          <value t="str">
            <val>台塑</val>
          </value>
          <value t="str">
            <val>2022/03/14</val>
          </value>
          <value t="str">
            <val>2022/06/09</val>
          </value>
          <value t="str">
            <val>2022/12/22</val>
          </value>
        </values>
      </ddeItem>
      <ddeItem name="1301.TW-ID,Name,MarketValue,Capital,NetIncomeGrowthRate,OperIncomeGrowthRate,FinancialStatementsTime,TFXRatio,MonthlyNetSalesYoY,RevenueMonth" advise="1">
        <values cols="10">
          <value t="str">
            <val>1301</val>
          </value>
          <value t="str">
            <val>台塑</val>
          </value>
          <value t="str">
            <val>5550.9</val>
          </value>
          <value t="str">
            <val>636.57</val>
          </value>
          <value t="str">
            <val>-20.13</val>
          </value>
          <value t="str">
            <val>-33.94</val>
          </value>
          <value t="str">
            <val>2022/09</val>
          </value>
          <value t="str">
            <val>1.90</val>
          </value>
          <value t="str">
            <val>-29.20</val>
          </value>
          <value t="str">
            <val>2022/11</val>
          </value>
        </values>
      </ddeItem>
      <ddeItem name="1301.TW-OperatingProfitRatio,Price,PriceChangeRatio,InOutRatioNumber,Value,YearReturn,MonthReturn,WeekReturn,FinanceBalanceDif,ChipsField2" advise="1">
        <values cols="10">
          <value t="str">
            <val>14.51</val>
          </value>
          <value>
            <val>87.2</val>
          </value>
          <value>
            <val>2.11</val>
          </value>
          <value t="str">
            <val>75.09%</val>
          </value>
          <value t="str">
            <val>12.2億</val>
          </value>
          <value t="str">
            <val>-8.79</val>
          </value>
          <value t="str">
            <val>-0.91</val>
          </value>
          <value t="str">
            <val>0.00</val>
          </value>
          <value>
            <val>11</val>
          </value>
          <value>
            <val>7750</val>
          </value>
        </values>
      </ddeItem>
      <ddeItem name="1303.TW-ChipsField3,ChipsField1,ChipsField25,CashAndStockDividend,CashDividendYieldRate,ProfitFourSeason,ProfitSingle,CName,ExchangeIndustry,CompanyPos" advise="1">
        <values cols="10">
          <value>
            <val>-330</val>
          </value>
          <value>
            <val>-9653</val>
          </value>
          <value t="str">
            <val>2022/07/06</val>
          </value>
          <value t="str">
            <val>7.50</val>
          </value>
          <value>
            <val>10.5</val>
          </value>
          <value t="str">
            <val>6.33</val>
          </value>
          <value t="str">
            <val>0.43</val>
          </value>
          <value t="str">
            <val>南亞</val>
          </value>
          <value t="str">
            <val>上市塑膠</val>
          </value>
          <value t="str">
            <val>全球最大的塑膠加工廠、第四大EG廠</val>
          </value>
        </values>
      </ddeItem>
      <ddeItem name="1303.TW-CName,InvestorConferenceDate,DateofMeetingofShareHolders,TradingDate" advise="1">
        <values cols="4">
          <value t="str">
            <val>南亞</val>
          </value>
          <value t="str">
            <val>2021/05/18</val>
          </value>
          <value t="str">
            <val>2022/06/10</val>
          </value>
          <value t="str">
            <val>2022/12/22</val>
          </value>
        </values>
      </ddeItem>
      <ddeItem name="1303.TW-ID,Name,MarketValue,Capital,NetIncomeGrowthRate,OperIncomeGrowthRate,FinancialStatementsTime,TFXRatio,MonthlyNetSalesYoY,RevenueMonth" advise="1">
        <values cols="10">
          <value t="str">
            <val>1303</val>
          </value>
          <value t="str">
            <val>南亞</val>
          </value>
          <value t="str">
            <val>5662.6</val>
          </value>
          <value t="str">
            <val>793.08</val>
          </value>
          <value t="str">
            <val>-43.50</val>
          </value>
          <value t="str">
            <val>-56.65</val>
          </value>
          <value t="str">
            <val>2022/09</val>
          </value>
          <value t="str">
            <val>-5.35</val>
          </value>
          <value t="str">
            <val>-30.08</val>
          </value>
          <value t="str">
            <val>2022/11</val>
          </value>
        </values>
      </ddeItem>
      <ddeItem name="1303.TW-OperatingProfitRatio,Price,PriceChangeRatio,InOutRatioNumber,Value,YearReturn,MonthReturn,WeekReturn,FinanceBalanceDif,ChipsField2" advise="1">
        <values cols="10">
          <value t="str">
            <val>9.60</val>
          </value>
          <value>
            <val>71.400000000000006</val>
          </value>
          <value>
            <val>1.28</val>
          </value>
          <value t="str">
            <val>76.36%</val>
          </value>
          <value t="str">
            <val>10.3億</val>
          </value>
          <value t="str">
            <val>-6.72</val>
          </value>
          <value t="str">
            <val>-3.38</val>
          </value>
          <value t="str">
            <val>-3.38</val>
          </value>
          <value>
            <val>42</val>
          </value>
          <value>
            <val>9676</val>
          </value>
        </values>
      </ddeItem>
      <ddeItem name="1304.TW-ChipsField3,ChipsField1,ChipsField25,CashAndStockDividend,CashDividendYieldRate,ProfitFourSeason,ProfitSingle,CName,ExchangeIndustry,CompanyPos" advise="1">
        <values cols="10">
          <value>
            <val>-66</val>
          </value>
          <value>
            <val>2307</val>
          </value>
          <value t="str">
            <val>2022/07/28</val>
          </value>
          <value t="str">
            <val>2.20</val>
          </value>
          <value>
            <val>10.11</val>
          </value>
          <value t="str">
            <val>2.48</val>
          </value>
          <value t="str">
            <val>0.16</val>
          </value>
          <value t="str">
            <val>台聚</val>
          </value>
          <value t="str">
            <val>上市塑膠</val>
          </value>
          <value t="str">
            <val>台灣EVA、PE知名廠商</val>
          </value>
        </values>
      </ddeItem>
      <ddeItem name="1304.TW-CName,InvestorConferenceDate,DateofMeetingofShareHolders,TradingDate" advise="1">
        <values cols="4">
          <value t="str">
            <val>台聚</val>
          </value>
          <value t="str">
            <val>2022/11/17</val>
          </value>
          <value t="str">
            <val>2022/05/31</val>
          </value>
          <value t="str">
            <val>2022/12/22</val>
          </value>
        </values>
      </ddeItem>
      <ddeItem name="1304.TW-ID,Name,MarketValue,Capital,NetIncomeGrowthRate,OperIncomeGrowthRate,FinancialStatementsTime,TFXRatio,MonthlyNetSalesYoY,RevenueMonth" advise="1">
        <values cols="10">
          <value t="str">
            <val>1304</val>
          </value>
          <value t="str">
            <val>台聚</val>
          </value>
          <value t="str">
            <val>258.6</val>
          </value>
          <value t="str">
            <val>118.88</val>
          </value>
          <value t="str">
            <val>-99.97</val>
          </value>
          <value t="str">
            <val>-54.92</val>
          </value>
          <value t="str">
            <val>2022/09</val>
          </value>
          <value t="str">
            <val>-7.32</val>
          </value>
          <value t="str">
            <val>-31.28</val>
          </value>
          <value t="str">
            <val>2022/11</val>
          </value>
        </values>
      </ddeItem>
      <ddeItem name="1304.TW-OperatingProfitRatio,Price,PriceChangeRatio,InOutRatioNumber,Value,YearReturn,MonthReturn,WeekReturn,FinanceBalanceDif,ChipsField2" advise="1">
        <values cols="10">
          <value t="str">
            <val>7.83</val>
          </value>
          <value>
            <val>21.75</val>
          </value>
          <value>
            <val>3.82</val>
          </value>
          <value t="str">
            <val>50.91%</val>
          </value>
          <value t="str">
            <val>2.04億</val>
          </value>
          <value t="str">
            <val>-23.13</val>
          </value>
          <value t="str">
            <val>+6.10</val>
          </value>
          <value t="str">
            <val>+0.23</val>
          </value>
          <value>
            <val>29</val>
          </value>
          <value>
            <val>-2874</val>
          </value>
        </values>
      </ddeItem>
      <ddeItem name="1305.TW-ChipsField3,ChipsField1,ChipsField25,CashAndStockDividend,CashDividendYieldRate,ProfitFourSeason,ProfitSingle,CName,ExchangeIndustry,CompanyPos" advise="1">
        <values cols="10">
          <value>
            <val>-39</val>
          </value>
          <value>
            <val>-323</val>
          </value>
          <value t="str">
            <val>2022/07/28</val>
          </value>
          <value t="str">
            <val>2.50</val>
          </value>
          <value>
            <val>9.5399999999999991</val>
          </value>
          <value t="str">
            <val>0.49</val>
          </value>
          <value t="str">
            <val>-1.17</val>
          </value>
          <value t="str">
            <val>華夏</val>
          </value>
          <value t="str">
            <val>上市塑膠</val>
          </value>
          <value t="str">
            <val>台灣第二大PVC廠，轉投資台氯</val>
          </value>
        </values>
      </ddeItem>
      <ddeItem name="1305.TW-CName,InvestorConferenceDate,DateofMeetingofShareHolders,TradingDate" advise="1">
        <values cols="4">
          <value t="str">
            <val>華夏</val>
          </value>
          <value t="str">
            <val>2022/11/16</val>
          </value>
          <value t="str">
            <val>2022/05/30</val>
          </value>
          <value t="str">
            <val>2022/12/22</val>
          </value>
        </values>
      </ddeItem>
      <ddeItem name="1305.TW-ID,Name,MarketValue,Capital,NetIncomeGrowthRate,OperIncomeGrowthRate,FinancialStatementsTime,TFXRatio,MonthlyNetSalesYoY,RevenueMonth" advise="1">
        <values cols="10">
          <value t="str">
            <val>1305</val>
          </value>
          <value t="str">
            <val>華夏</val>
          </value>
          <value t="str">
            <val>152.2</val>
          </value>
          <value t="str">
            <val>58.11</val>
          </value>
          <value t="str">
            <val>-115.01</val>
          </value>
          <value t="str">
            <val>-135.94</val>
          </value>
          <value t="str">
            <val>2022/09</val>
          </value>
          <value t="str">
            <val>-3.80</val>
          </value>
          <value t="str">
            <val>-38.42</val>
          </value>
          <value t="str">
            <val>2022/11</val>
          </value>
        </values>
      </ddeItem>
      <ddeItem name="1305.TW-OperatingProfitRatio,Price,PriceChangeRatio,InOutRatioNumber,Value,YearReturn,MonthReturn,WeekReturn,FinanceBalanceDif,ChipsField2" advise="1">
        <values cols="10">
          <value t="str">
            <val>-6.45</val>
          </value>
          <value>
            <val>26.2</val>
          </value>
          <value>
            <val>8.94</val>
          </value>
          <value t="str">
            <val>71.11%</val>
          </value>
          <value t="str">
            <val>3.20億</val>
          </value>
          <value t="str">
            <val>-15.59</val>
          </value>
          <value t="str">
            <val>+28.43</val>
          </value>
          <value t="str">
            <val>+3.35</val>
          </value>
          <value>
            <val>47</val>
          </value>
          <value>
            <val>50</val>
          </value>
        </values>
      </ddeItem>
      <ddeItem name="1307.TW-ChipsField3,ChipsField1,ChipsField25,CashAndStockDividend,CashDividendYieldRate,ProfitFourSeason,ProfitSingle,CName,ExchangeIndustry,CompanyPos" advise="1">
        <values cols="10">
          <value>
            <val>-4</val>
          </value>
          <value>
            <val>-6</val>
          </value>
          <value t="str">
            <val>2022/07/07</val>
          </value>
          <value t="str">
            <val>0.50</val>
          </value>
          <value>
            <val>2.4</val>
          </value>
          <value t="str">
            <val>1.19</val>
          </value>
          <value t="str">
            <val>0.46</val>
          </value>
          <value t="str">
            <val>三芳</val>
          </value>
          <value t="str">
            <val>上市塑膠</val>
          </value>
          <value t="str">
            <val>全球最大的合成皮生產商</val>
          </value>
        </values>
      </ddeItem>
      <ddeItem name="1307.TW-CName,InvestorConferenceDate,DateofMeetingofShareHolders,TradingDate" advise="1">
        <values cols="4">
          <value t="str">
            <val>三芳</val>
          </value>
          <value t="str">
            <val>2022/09/20</val>
          </value>
          <value t="str">
            <val>2022/06/21</val>
          </value>
          <value t="str">
            <val>2022/12/22</val>
          </value>
        </values>
      </ddeItem>
      <ddeItem name="1307.TW-ID,Name,MarketValue,Capital,NetIncomeGrowthRate,OperIncomeGrowthRate,FinancialStatementsTime,TFXRatio,MonthlyNetSalesYoY,RevenueMonth" advise="1">
        <values cols="10">
          <value t="str">
            <val>1307</val>
          </value>
          <value t="str">
            <val>三芳</val>
          </value>
          <value t="str">
            <val>82.7</val>
          </value>
          <value t="str">
            <val>39.78</val>
          </value>
          <value t="str">
            <val>372.65</val>
          </value>
          <value t="str">
            <val>-27.22</val>
          </value>
          <value t="str">
            <val>2022/09</val>
          </value>
          <value t="str">
            <val>0.65</val>
          </value>
          <value t="str">
            <val>2.53</val>
          </value>
          <value t="str">
            <val>2022/11</val>
          </value>
        </values>
      </ddeItem>
      <ddeItem name="1307.TW-OperatingProfitRatio,Price,PriceChangeRatio,InOutRatioNumber,Value,YearReturn,MonthReturn,WeekReturn,FinanceBalanceDif,ChipsField2" advise="1">
        <values cols="10">
          <value t="str">
            <val>2.07</val>
          </value>
          <value>
            <val>20.8</val>
          </value>
          <value>
            <val>0.73</val>
          </value>
          <value t="str">
            <val>51.22%</val>
          </value>
          <value t="str">
            <val>184萬</val>
          </value>
          <value t="str">
            <val>+3.09</val>
          </value>
          <value t="str">
            <val>-0.72</val>
          </value>
          <value t="str">
            <val>-1.65</val>
          </value>
          <value>
            <val>0</val>
          </value>
          <value>
            <val>0</val>
          </value>
        </values>
      </ddeItem>
      <ddeItem name="1308.TW-ChipsField3,ChipsField1,ChipsField25,CashAndStockDividend,CashDividendYieldRate,ProfitFourSeason,ProfitSingle,CName,ExchangeIndustry,CompanyPos" advise="1">
        <values cols="10">
          <value>
            <val>-29</val>
          </value>
          <value>
            <val>437</val>
          </value>
          <value t="str">
            <val>2022/07/28</val>
          </value>
          <value t="str">
            <val>3.00</val>
          </value>
          <value>
            <val>10.54</val>
          </value>
          <value t="str">
            <val>3.52</val>
          </value>
          <value t="str">
            <val>0.76</val>
          </value>
          <value t="str">
            <val>亞聚</val>
          </value>
          <value t="str">
            <val>上市塑膠</val>
          </value>
          <value t="str">
            <val>台灣EVA及LDPE知名廠商</val>
          </value>
        </values>
      </ddeItem>
      <ddeItem name="1308.TW-CName,InvestorConferenceDate,DateofMeetingofShareHolders,TradingDate" advise="1">
        <values cols="4">
          <value t="str">
            <val>亞聚</val>
          </value>
          <value t="str">
            <val>2022/05/18</val>
          </value>
          <value t="str">
            <val>2022/05/27</val>
          </value>
          <value t="str">
            <val>2022/12/22</val>
          </value>
        </values>
      </ddeItem>
      <ddeItem name="1308.TW-ID,Name,MarketValue,Capital,NetIncomeGrowthRate,OperIncomeGrowthRate,FinancialStatementsTime,TFXRatio,MonthlyNetSalesYoY,RevenueMonth" advise="1">
        <values cols="10">
          <value t="str">
            <val>1308</val>
          </value>
          <value t="str">
            <val>亞聚</val>
          </value>
          <value t="str">
            <val>168.9</val>
          </value>
          <value t="str">
            <val>59.37</val>
          </value>
          <value t="str">
            <val>-46.94</val>
          </value>
          <value t="str">
            <val>3.21</val>
          </value>
          <value t="str">
            <val>2022/09</val>
          </value>
          <value t="str">
            <val>-9.65</val>
          </value>
          <value t="str">
            <val>-24.61</val>
          </value>
          <value t="str">
            <val>2022/11</val>
          </value>
        </values>
      </ddeItem>
      <ddeItem name="1308.TW-OperatingProfitRatio,Price,PriceChangeRatio,InOutRatioNumber,Value,YearReturn,MonthReturn,WeekReturn,FinanceBalanceDif,ChipsField2" advise="1">
        <values cols="10">
          <value t="str">
            <val>30.04</val>
          </value>
          <value>
            <val>28.45</val>
          </value>
          <value>
            <val>2.34</val>
          </value>
          <value t="str">
            <val>61.24%</val>
          </value>
          <value t="str">
            <val>6189萬</val>
          </value>
          <value t="str">
            <val>-13.43</val>
          </value>
          <value t="str">
            <val>+6.16</val>
          </value>
          <value t="str">
            <val>-0.70</val>
          </value>
          <value>
            <val>-18</val>
          </value>
          <value>
            <val>0</val>
          </value>
        </values>
      </ddeItem>
      <ddeItem name="1309.TW-ChipsField3,ChipsField1,ChipsField25,CashAndStockDividend,CashDividendYieldRate,ProfitFourSeason,ProfitSingle,CName,ExchangeIndustry,CompanyPos" advise="1">
        <values cols="10">
          <value>
            <val>-16</val>
          </value>
          <value>
            <val>-35</val>
          </value>
          <value t="str">
            <val>2022/07/28</val>
          </value>
          <value t="str">
            <val>2.50</val>
          </value>
          <value>
            <val>11.21</val>
          </value>
          <value t="str">
            <val>2.36</val>
          </value>
          <value t="str">
            <val>0.09</val>
          </value>
          <value t="str">
            <val>台達化</val>
          </value>
          <value t="str">
            <val>上市塑膠</val>
          </value>
          <value t="str">
            <val>台灣第三大PS廠</val>
          </value>
        </values>
      </ddeItem>
      <ddeItem name="1309.TW-CName,InvestorConferenceDate,DateofMeetingofShareHolders,TradingDate" advise="1">
        <values cols="4">
          <value t="str">
            <val>台達化</val>
          </value>
          <value t="str">
            <val>2022/05/18</val>
          </value>
          <value t="str">
            <val>2022/05/27</val>
          </value>
          <value t="str">
            <val>2022/12/22</val>
          </value>
        </values>
      </ddeItem>
      <ddeItem name="1309.TW-ID,Name,MarketValue,Capital,NetIncomeGrowthRate,OperIncomeGrowthRate,FinancialStatementsTime,TFXRatio,MonthlyNetSalesYoY,RevenueMonth" advise="1">
        <values cols="10">
          <value t="str">
            <val>1309</val>
          </value>
          <value t="str">
            <val>台達化</val>
          </value>
          <value t="str">
            <val>88.7</val>
          </value>
          <value t="str">
            <val>39.76</val>
          </value>
          <value t="str">
            <val>-67.52</val>
          </value>
          <value t="str">
            <val>-84.03</val>
          </value>
          <value t="str">
            <val>2022/09</val>
          </value>
          <value t="str">
            <val>-8.96</val>
          </value>
          <value t="str">
            <val>-37.71</val>
          </value>
          <value t="str">
            <val>2022/11</val>
          </value>
        </values>
      </ddeItem>
      <ddeItem name="1309.TW-OperatingProfitRatio,Price,PriceChangeRatio,InOutRatioNumber,Value,YearReturn,MonthReturn,WeekReturn,FinanceBalanceDif,ChipsField2" advise="1">
        <values cols="10">
          <value t="str">
            <val>1.94</val>
          </value>
          <value>
            <val>22.3</val>
          </value>
          <value>
            <val>5.19</val>
          </value>
          <value t="str">
            <val>67.81%</val>
          </value>
          <value t="str">
            <val>4955萬</val>
          </value>
          <value t="str">
            <val>-25.05</val>
          </value>
          <value t="str">
            <val>+11.50</val>
          </value>
          <value t="str">
            <val>+0.90</val>
          </value>
          <value>
            <val>80</val>
          </value>
          <value>
            <val>0</val>
          </value>
        </values>
      </ddeItem>
      <ddeItem name="1310.TW-ChipsField3,ChipsField1,ChipsField25,CashAndStockDividend,CashDividendYieldRate,ProfitFourSeason,ProfitSingle,CName,ExchangeIndustry,CompanyPos" advise="1">
        <values cols="10">
          <value>
            <val>-32</val>
          </value>
          <value>
            <val>10</val>
          </value>
          <value t="str">
            <val>2022/09/14</val>
          </value>
          <value t="str">
            <val>0.15</val>
          </value>
          <value>
            <val>1.1200000000000001</val>
          </value>
          <value t="str">
            <val>-0.88</val>
          </value>
          <value t="str">
            <val>-0.33</val>
          </value>
          <value t="str">
            <val>台苯</val>
          </value>
          <value t="str">
            <val>上市塑膠</val>
          </value>
          <value t="str">
            <val>台灣第三大SM廠</val>
          </value>
        </values>
      </ddeItem>
      <ddeItem name="1310.TW-CName,InvestorConferenceDate,DateofMeetingofShareHolders,TradingDate" advise="1">
        <values cols="4">
          <value t="str">
            <val>台苯</val>
          </value>
          <value t="str">
            <val>2022/09/22</val>
          </value>
          <value t="str">
            <val>2022/06/22</val>
          </value>
          <value t="str">
            <val>2022/12/22</val>
          </value>
        </values>
      </ddeItem>
      <ddeItem name="1310.TW-ID,Name,MarketValue,Capital,NetIncomeGrowthRate,OperIncomeGrowthRate,FinancialStatementsTime,TFXRatio,MonthlyNetSalesYoY,RevenueMonth" advise="1">
        <values cols="10">
          <value t="str">
            <val>1310</val>
          </value>
          <value t="str">
            <val>台苯</val>
          </value>
          <value t="str">
            <val>70.7</val>
          </value>
          <value t="str">
            <val>52.79</val>
          </value>
          <value t="str">
            <val>-155.66</val>
          </value>
          <value t="str">
            <val>-283.57</val>
          </value>
          <value t="str">
            <val>2022/09</val>
          </value>
          <value t="str">
            <val>-5.12</val>
          </value>
          <value t="str">
            <val>-32.11</val>
          </value>
          <value t="str">
            <val>2022/11</val>
          </value>
        </values>
      </ddeItem>
      <ddeItem name="1310.TW-OperatingProfitRatio,Price,PriceChangeRatio,InOutRatioNumber,Value,YearReturn,MonthReturn,WeekReturn,FinanceBalanceDif,ChipsField2" advise="1">
        <values cols="10">
          <value t="str">
            <val>-3.36</val>
          </value>
          <value>
            <val>13.4</val>
          </value>
          <value>
            <val>1.52</val>
          </value>
          <value t="str">
            <val>41.62%</val>
          </value>
          <value t="str">
            <val>562萬</val>
          </value>
          <value t="str">
            <val>-21.28</val>
          </value>
          <value t="str">
            <val>+3.08</val>
          </value>
          <value t="str">
            <val>-2.19</val>
          </value>
          <value>
            <val>59</val>
          </value>
          <value>
            <val>0</val>
          </value>
        </values>
      </ddeItem>
      <ddeItem name="1312.TW-ChipsField3,ChipsField1,ChipsField25,CashAndStockDividend,CashDividendYieldRate,ProfitFourSeason,ProfitSingle,CName,ExchangeIndustry,CompanyPos" advise="1">
        <values cols="10">
          <value>
            <val>-3406</val>
          </value>
          <value>
            <val>-482</val>
          </value>
          <value t="str">
            <val>2022/07/14</val>
          </value>
          <value t="str">
            <val>2.00</val>
          </value>
          <value>
            <val>10.67</val>
          </value>
          <value t="str">
            <val>0.69</val>
          </value>
          <value t="str">
            <val>-0.69</val>
          </value>
          <value t="str">
            <val>國喬</val>
          </value>
          <value t="str">
            <val>上市塑膠</val>
          </value>
          <value t="str">
            <val>台灣第二大SM及ABS廠</val>
          </value>
        </values>
      </ddeItem>
      <ddeItem name="1312.TW-CName,InvestorConferenceDate,DateofMeetingofShareHolders,TradingDate" advise="1">
        <values cols="4">
          <value t="str">
            <val>國喬</val>
          </value>
          <value t="str">
            <val>2022/11/24</val>
          </value>
          <value t="str">
            <val>2022/05/20</val>
          </value>
          <value t="str">
            <val>2022/12/22</val>
          </value>
        </values>
      </ddeItem>
      <ddeItem name="1312.TW-ID,Name,MarketValue,Capital,NetIncomeGrowthRate,OperIncomeGrowthRate,FinancialStatementsTime,TFXRatio,MonthlyNetSalesYoY,RevenueMonth" advise="1">
        <values cols="10">
          <value t="str">
            <val>1312</val>
          </value>
          <value t="str">
            <val>國喬</val>
          </value>
          <value t="str">
            <val>170.0</val>
          </value>
          <value t="str">
            <val>90.66</val>
          </value>
          <value t="str">
            <val>-102.25</val>
          </value>
          <value t="str">
            <val>-115.04</val>
          </value>
          <value t="str">
            <val>2022/09</val>
          </value>
          <value t="str">
            <val>-6.68</val>
          </value>
          <value t="str">
            <val>-34.14</val>
          </value>
          <value t="str">
            <val>2022/11</val>
          </value>
        </values>
      </ddeItem>
      <ddeItem name="1312.TW-OperatingProfitRatio,Price,PriceChangeRatio,InOutRatioNumber,Value,YearReturn,MonthReturn,WeekReturn,FinanceBalanceDif,ChipsField2" advise="1">
        <values cols="10">
          <value t="str">
            <val>-2.73</val>
          </value>
          <value>
            <val>18.75</val>
          </value>
          <value>
            <val>3.31</val>
          </value>
          <value t="str">
            <val>59.69%</val>
          </value>
          <value t="str">
            <val>9853萬</val>
          </value>
          <value t="str">
            <val>-26.36</val>
          </value>
          <value t="str">
            <val>+8.07</val>
          </value>
          <value t="str">
            <val>-0.27</val>
          </value>
          <value>
            <val>109</val>
          </value>
          <value>
            <val>0</val>
          </value>
        </values>
      </ddeItem>
      <ddeItem name="1313.TW-ChipsField3,ChipsField1,ChipsField25,CashAndStockDividend,CashDividendYieldRate,ProfitFourSeason,ProfitSingle,CName,ExchangeIndustry,CompanyPos" advise="1">
        <values cols="10">
          <value>
            <val>-76</val>
          </value>
          <value>
            <val>326</val>
          </value>
          <value t="str">
            <val>2022/03/24</val>
          </value>
          <value t="str">
            <val>1.00</val>
          </value>
          <value>
            <val>7.12</val>
          </value>
          <value t="str">
            <val>-1.30</val>
          </value>
          <value t="str">
            <val>-0.65</val>
          </value>
          <value t="str">
            <val>聯成</val>
          </value>
          <value t="str">
            <val>上市塑膠</val>
          </value>
          <value t="str">
            <val>全球最大可塑劑及苯酐供應商</val>
          </value>
        </values>
      </ddeItem>
      <ddeItem name="1313.TW-CName,InvestorConferenceDate,DateofMeetingofShareHolders,TradingDate" advise="1">
        <values cols="4">
          <value t="str">
            <val>聯成</val>
          </value>
          <value t="str">
            <val>2022/11/22</val>
          </value>
          <value t="str">
            <val>2022/05/26</val>
          </value>
          <value t="str">
            <val>2022/12/22</val>
          </value>
        </values>
      </ddeItem>
      <ddeItem name="1313.TW-ID,Name,MarketValue,Capital,NetIncomeGrowthRate,OperIncomeGrowthRate,FinancialStatementsTime,TFXRatio,MonthlyNetSalesYoY,RevenueMonth" advise="1">
        <values cols="10">
          <value t="str">
            <val>1313</val>
          </value>
          <value t="str">
            <val>聯成</val>
          </value>
          <value t="str">
            <val>190.3</val>
          </value>
          <value t="str">
            <val>135.49</val>
          </value>
          <value t="str">
            <val>-127.22</val>
          </value>
          <value t="str">
            <val>-153.96</val>
          </value>
          <value t="str">
            <val>2022/09</val>
          </value>
          <value t="str">
            <val>15.25</val>
          </value>
          <value t="str">
            <val>-20.43</val>
          </value>
          <value t="str">
            <val>2022/11</val>
          </value>
        </values>
      </ddeItem>
      <ddeItem name="1313.TW-OperatingProfitRatio,Price,PriceChangeRatio,InOutRatioNumber,Value,YearReturn,MonthReturn,WeekReturn,FinanceBalanceDif,ChipsField2" advise="1">
        <values cols="10">
          <value t="str">
            <val>-3.36</val>
          </value>
          <value>
            <val>14.05</val>
          </value>
          <value>
            <val>4.07</val>
          </value>
          <value t="str">
            <val>66.49%</val>
          </value>
          <value t="str">
            <val>3517萬</val>
          </value>
          <value t="str">
            <val>-29.91</val>
          </value>
          <value t="str">
            <val>+11.51</val>
          </value>
          <value t="str">
            <val>+1.08</val>
          </value>
          <value>
            <val>-41</val>
          </value>
          <value>
            <val>0</val>
          </value>
        </values>
      </ddeItem>
      <ddeItem name="1314.TW-ChipsField3,ChipsField1,ChipsField25,CashAndStockDividend,CashDividendYieldRate,ProfitFourSeason,ProfitSingle,CName,ExchangeIndustry,CompanyPos" advise="1">
        <values cols="10">
          <value>
            <val>-494</val>
          </value>
          <value>
            <val>-1113</val>
          </value>
          <value t="str">
            <val>2022/06/27</val>
          </value>
          <value t="str">
            <val>0.40</val>
          </value>
          <value>
            <val>4.0199999999999996</val>
          </value>
          <value t="str">
            <val>0.32</val>
          </value>
          <value t="str">
            <val>0.43</val>
          </value>
          <value t="str">
            <val>中石化</val>
          </value>
          <value t="str">
            <val>上市塑膠</val>
          </value>
          <value t="str">
            <val>台灣第一大CPL廠</val>
          </value>
        </values>
      </ddeItem>
      <ddeItem name="1314.TW-CName,InvestorConferenceDate,DateofMeetingofShareHolders,TradingDate" advise="1">
        <values cols="4">
          <value t="str">
            <val>中石化</val>
          </value>
          <value t="str">
            <val>2022/10/14</val>
          </value>
          <value t="str">
            <val>2022/05/27</val>
          </value>
          <value t="str">
            <val>2022/12/22</val>
          </value>
        </values>
      </ddeItem>
      <ddeItem name="1314.TW-ID,Name,MarketValue,Capital,NetIncomeGrowthRate,OperIncomeGrowthRate,FinancialStatementsTime,TFXRatio,MonthlyNetSalesYoY,RevenueMonth" advise="1">
        <values cols="10">
          <value t="str">
            <val>1314</val>
          </value>
          <value t="str">
            <val>中石化</val>
          </value>
          <value t="str">
            <val>377.0</val>
          </value>
          <value t="str">
            <val>378.49</val>
          </value>
          <value t="str">
            <val>-74.93</val>
          </value>
          <value t="str">
            <val>-206.65</val>
          </value>
          <value t="str">
            <val>2022/09</val>
          </value>
          <value t="str">
            <val>-18.96</val>
          </value>
          <value t="str">
            <val>-60.49</val>
          </value>
          <value t="str">
            <val>2022/11</val>
          </value>
        </values>
      </ddeItem>
      <ddeItem name="1314.TW-OperatingProfitRatio,Price,PriceChangeRatio,InOutRatioNumber,Value,YearReturn,MonthReturn,WeekReturn,FinanceBalanceDif,ChipsField2" advise="1">
        <values cols="10">
          <value t="str">
            <val>-10.89</val>
          </value>
          <value>
            <val>9.9600000000000009</val>
          </value>
          <value>
            <val>2.4700000000000002</val>
          </value>
          <value t="str">
            <val>64.00%</val>
          </value>
          <value t="str">
            <val>6189萬</val>
          </value>
          <value t="str">
            <val>-17.02</val>
          </value>
          <value t="str">
            <val>+2.15</val>
          </value>
          <value t="str">
            <val>-0.90</val>
          </value>
          <value>
            <val>-157</val>
          </value>
          <value>
            <val>0</val>
          </value>
        </values>
      </ddeItem>
      <ddeItem name="131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2022/09/05</val>
          </value>
          <value t="str">
            <val>2.50</val>
          </value>
          <value>
            <val>6.39</val>
          </value>
          <value t="str">
            <val>6.87</val>
          </value>
          <value t="str">
            <val>5.29</val>
          </value>
          <value t="str">
            <val>達新</val>
          </value>
          <value t="str">
            <val>上市塑膠</val>
          </value>
          <value t="str">
            <val>台灣知名雨衣及成衣製造商</val>
          </value>
        </values>
      </ddeItem>
      <ddeItem name="1315.TW-CName,InvestorConferenceDate,DateofMeetingofShareHolders,TradingDate" advise="1">
        <values cols="4">
          <value t="str">
            <val>達新</val>
          </value>
          <value t="str">
            <val>2022/12/22</val>
          </value>
          <value t="str">
            <val>2022/06/17</val>
          </value>
          <value t="str">
            <val>2022/12/22</val>
          </value>
        </values>
      </ddeItem>
      <ddeItem name="1315.TW-ID,Name,MarketValue,Capital,NetIncomeGrowthRate,OperIncomeGrowthRate,FinancialStatementsTime,TFXRatio,MonthlyNetSalesYoY,RevenueMonth" advise="1">
        <values cols="10">
          <value t="str">
            <val>1315</val>
          </value>
          <value t="str">
            <val>達新</val>
          </value>
          <value t="str">
            <val>69.8</val>
          </value>
          <value t="str">
            <val>9.91</val>
          </value>
          <value t="str">
            <val>28753.75</val>
          </value>
          <value t="str">
            <val>868.42</val>
          </value>
          <value t="str">
            <val>2022/09</val>
          </value>
          <value t="str">
            <val>4.69</val>
          </value>
          <value t="str">
            <val>-6.95</val>
          </value>
          <value t="str">
            <val>2022/11</val>
          </value>
        </values>
      </ddeItem>
      <ddeItem name="1315.TW-OperatingProfitRatio,Price,PriceChangeRatio,InOutRatioNumber,Value,YearReturn,MonthReturn,WeekReturn,FinanceBalanceDif,ChipsField2" advise="1">
        <values cols="10">
          <value t="str">
            <val>5.83</val>
          </value>
          <value>
            <val>70.400000000000006</val>
          </value>
          <value>
            <val>1.1499999999999999</val>
          </value>
          <value t="str">
            <val>75.00%</val>
          </value>
          <value t="str">
            <val>28.1萬</val>
          </value>
          <value t="str">
            <val>-12.95</val>
          </value>
          <value t="str">
            <val>+2.47</val>
          </value>
          <value t="str">
            <val>-1.68</val>
          </value>
          <value>
            <val>1</val>
          </value>
          <value>
            <val>0</val>
          </value>
        </values>
      </ddeItem>
      <ddeItem name="1316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-184</val>
          </value>
          <value t="str">
            <val>--</val>
          </value>
          <value t="str">
            <val>0.00</val>
          </value>
          <value>
            <val>0</val>
          </value>
          <value t="str">
            <val>0.65</val>
          </value>
          <value t="str">
            <val>0.50</val>
          </value>
          <value t="str">
            <val>上曜</val>
          </value>
          <value t="str">
            <val>上市建材營造</val>
          </value>
          <value t="str">
            <val>主要經營PU合成皮樹脂及營建業務</val>
          </value>
        </values>
      </ddeItem>
      <ddeItem name="1316.TW-CName,InvestorConferenceDate,DateofMeetingofShareHolders,TradingDate" advise="1">
        <values cols="4">
          <value t="str">
            <val>上曜</val>
          </value>
          <value t="str">
            <val>2022/09/30</val>
          </value>
          <value t="str">
            <val>2022/05/27</val>
          </value>
          <value t="str">
            <val>2022/12/22</val>
          </value>
        </values>
      </ddeItem>
      <ddeItem name="1316.TW-ID,Name,MarketValue,Capital,NetIncomeGrowthRate,OperIncomeGrowthRate,FinancialStatementsTime,TFXRatio,MonthlyNetSalesYoY,RevenueMonth" advise="1">
        <values cols="10">
          <value t="str">
            <val>1316</val>
          </value>
          <value t="str">
            <val>上曜</val>
          </value>
          <value t="str">
            <val>26.6</val>
          </value>
          <value t="str">
            <val>21.90</val>
          </value>
          <value t="str">
            <val>62.97</val>
          </value>
          <value t="str">
            <val>606.88</val>
          </value>
          <value t="str">
            <val>2022/09</val>
          </value>
          <value t="str">
            <val>-56.64</val>
          </value>
          <value t="str">
            <val>4.64</val>
          </value>
          <value t="str">
            <val>2022/11</val>
          </value>
        </values>
      </ddeItem>
      <ddeItem name="1316.TW-OperatingProfitRatio,Price,PriceChangeRatio,InOutRatioNumber,Value,YearReturn,MonthReturn,WeekReturn,FinanceBalanceDif,ChipsField2" advise="1">
        <values cols="10">
          <value t="str">
            <val>9.22</val>
          </value>
          <value>
            <val>12</val>
          </value>
          <value>
            <val>0</val>
          </value>
          <value t="str">
            <val>42.56%</val>
          </value>
          <value t="str">
            <val>599萬</val>
          </value>
          <value t="str">
            <val>-45.50</val>
          </value>
          <value t="str">
            <val>-2.04</val>
          </value>
          <value t="str">
            <val>-6.98</val>
          </value>
          <value>
            <val>-60</val>
          </value>
          <value>
            <val>0</val>
          </value>
        </values>
      </ddeItem>
      <ddeItem name="1319.TW-ChipsField3,ChipsField1,ChipsField25,CashAndStockDividend,CashDividendYieldRate,ProfitFourSeason,ProfitSingle,CName,ExchangeIndustry,CompanyPos" advise="1">
        <values cols="10">
          <value>
            <val>-158</val>
          </value>
          <value>
            <val>-1250</val>
          </value>
          <value t="str">
            <val>2022/06/23</val>
          </value>
          <value t="str">
            <val>0.85</val>
          </value>
          <value>
            <val>2.08</val>
          </value>
          <value t="str">
            <val>3.37</val>
          </value>
          <value t="str">
            <val>1.18</val>
          </value>
          <value t="str">
            <val>東陽</val>
          </value>
          <value t="str">
            <val>上市汽車</val>
          </value>
          <value t="str">
            <val>全球第一大汽車AM塑膠件製造商</val>
          </value>
        </values>
      </ddeItem>
      <ddeItem name="1319.TW-CName,InvestorConferenceDate,DateofMeetingofShareHolders,TradingDate" advise="1">
        <values cols="4">
          <value t="str">
            <val>東陽</val>
          </value>
          <value t="str">
            <val>2021/07/09</val>
          </value>
          <value t="str">
            <val>2022/06/17</val>
          </value>
          <value t="str">
            <val>2022/12/22</val>
          </value>
        </values>
      </ddeItem>
      <ddeItem name="1319.TW-ID,Name,MarketValue,Capital,NetIncomeGrowthRate,OperIncomeGrowthRate,FinancialStatementsTime,TFXRatio,MonthlyNetSalesYoY,RevenueMonth" advise="1">
        <values cols="10">
          <value t="str">
            <val>1319</val>
          </value>
          <value t="str">
            <val>東陽</val>
          </value>
          <value t="str">
            <val>241.9</val>
          </value>
          <value t="str">
            <val>59.15</val>
          </value>
          <value t="str">
            <val>267.68</val>
          </value>
          <value t="str">
            <val>194.85</val>
          </value>
          <value t="str">
            <val>2022/09</val>
          </value>
          <value t="str">
            <val>-0.10</val>
          </value>
          <value t="str">
            <val>7.36</val>
          </value>
          <value t="str">
            <val>2022/11</val>
          </value>
        </values>
      </ddeItem>
      <ddeItem name="1319.TW-OperatingProfitRatio,Price,PriceChangeRatio,InOutRatioNumber,Value,YearReturn,MonthReturn,WeekReturn,FinanceBalanceDif,ChipsField2" advise="1">
        <values cols="10">
          <value t="str">
            <val>8.14</val>
          </value>
          <value>
            <val>40.9</val>
          </value>
          <value>
            <val>-0.49</val>
          </value>
          <value t="str">
            <val>50.77%</val>
          </value>
          <value t="str">
            <val>1.88億</val>
          </value>
          <value t="str">
            <val>+27.51</val>
          </value>
          <value t="str">
            <val>-10.99</val>
          </value>
          <value t="str">
            <val>-16.53</val>
          </value>
          <value>
            <val>97</val>
          </value>
          <value>
            <val>-500</val>
          </value>
        </values>
      </ddeItem>
      <ddeItem name="132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-5</val>
          </value>
          <value t="str">
            <val>2022/08/25</val>
          </value>
          <value t="str">
            <val>0.70</val>
          </value>
          <value>
            <val>2.09</val>
          </value>
          <value t="str">
            <val>0.27</val>
          </value>
          <value t="str">
            <val>0.39</val>
          </value>
          <value t="str">
            <val>大洋</val>
          </value>
          <value t="str">
            <val>上市塑膠</val>
          </value>
          <value t="str">
            <val>台灣第三大PVC廠，並有資產開發題材</val>
          </value>
        </values>
      </ddeItem>
      <ddeItem name="1321.TW-CName,InvestorConferenceDate,DateofMeetingofShareHolders,TradingDate" advise="1">
        <values cols="4">
          <value t="str">
            <val>大洋</val>
          </value>
          <value t="str">
            <val>2022/08/29</val>
          </value>
          <value t="str">
            <val>2022/06/21</val>
          </value>
          <value t="str">
            <val>2022/12/22</val>
          </value>
        </values>
      </ddeItem>
      <ddeItem name="1321.TW-ID,Name,MarketValue,Capital,NetIncomeGrowthRate,OperIncomeGrowthRate,FinancialStatementsTime,TFXRatio,MonthlyNetSalesYoY,RevenueMonth" advise="1">
        <values cols="10">
          <value t="str">
            <val>1321</val>
          </value>
          <value t="str">
            <val>大洋</val>
          </value>
          <value t="str">
            <val>76.1</val>
          </value>
          <value t="str">
            <val>22.72</val>
          </value>
          <value t="str">
            <val>-77.71</val>
          </value>
          <value t="str">
            <val>-150.45</val>
          </value>
          <value t="str">
            <val>2022/09</val>
          </value>
          <value t="str">
            <val>-0.56</val>
          </value>
          <value t="str">
            <val>-9.43</val>
          </value>
          <value t="str">
            <val>2022/11</val>
          </value>
        </values>
      </ddeItem>
      <ddeItem name="1321.TW-OperatingProfitRatio,Price,PriceChangeRatio,InOutRatioNumber,Value,YearReturn,MonthReturn,WeekReturn,FinanceBalanceDif,ChipsField2" advise="1">
        <values cols="10">
          <value t="str">
            <val>-2.40</val>
          </value>
          <value>
            <val>33.5</val>
          </value>
          <value>
            <val>0.3</val>
          </value>
          <value t="str">
            <val>12.57%</val>
          </value>
          <value t="str">
            <val>639萬</val>
          </value>
          <value t="str">
            <val>-1.76</val>
          </value>
          <value t="str">
            <val>+2.13</val>
          </value>
          <value t="str">
            <val>-1.47</val>
          </value>
          <value>
            <val>-19</val>
          </value>
          <value>
            <val>0</val>
          </value>
        </values>
      </ddeItem>
      <ddeItem name="132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8</val>
          </value>
          <value t="str">
            <val>2022/06/23</val>
          </value>
          <value t="str">
            <val>1.60</val>
          </value>
          <value>
            <val>4.91</val>
          </value>
          <value t="str">
            <val>2.17</val>
          </value>
          <value t="str">
            <val>0.55</val>
          </value>
          <value t="str">
            <val>永裕</val>
          </value>
          <value t="str">
            <val>上市塑膠</val>
          </value>
          <value t="str">
            <val>台灣知名的塑膠瓶及軟管製造商</val>
          </value>
        </values>
      </ddeItem>
      <ddeItem name="1323.TW-CName,InvestorConferenceDate,DateofMeetingofShareHolders,TradingDate" advise="1">
        <values cols="4">
          <value t="str">
            <val>永裕</val>
          </value>
          <value t="str">
            <val>2022/11/14</val>
          </value>
          <value t="str">
            <val>2022/06/22</val>
          </value>
          <value t="str">
            <val>2022/12/22</val>
          </value>
        </values>
      </ddeItem>
      <ddeItem name="1323.TW-ID,Name,MarketValue,Capital,NetIncomeGrowthRate,OperIncomeGrowthRate,FinancialStatementsTime,TFXRatio,MonthlyNetSalesYoY,RevenueMonth" advise="1">
        <values cols="10">
          <value t="str">
            <val>1323</val>
          </value>
          <value t="str">
            <val>永裕</val>
          </value>
          <value t="str">
            <val>29.8</val>
          </value>
          <value t="str">
            <val>9.13</val>
          </value>
          <value t="str">
            <val>-17.33</val>
          </value>
          <value t="str">
            <val>-23.79</val>
          </value>
          <value t="str">
            <val>2022/09</val>
          </value>
          <value t="str">
            <val>-8.27</val>
          </value>
          <value t="str">
            <val>-10.68</val>
          </value>
          <value t="str">
            <val>2022/11</val>
          </value>
        </values>
      </ddeItem>
      <ddeItem name="1323.TW-OperatingProfitRatio,Price,PriceChangeRatio,InOutRatioNumber,Value,YearReturn,MonthReturn,WeekReturn,FinanceBalanceDif,ChipsField2" advise="1">
        <values cols="10">
          <value t="str">
            <val>9.02</val>
          </value>
          <value>
            <val>32.6</val>
          </value>
          <value>
            <val>-0.15</val>
          </value>
          <value t="str">
            <val>47.06%</val>
          </value>
          <value t="str">
            <val>111萬</val>
          </value>
          <value t="str">
            <val>-2.14</val>
          </value>
          <value t="str">
            <val>-0.15</val>
          </value>
          <value t="str">
            <val>-0.91</val>
          </value>
          <value>
            <val>9</val>
          </value>
          <value>
            <val>0</val>
          </value>
        </values>
      </ddeItem>
      <ddeItem name="132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2022/08/19</val>
          </value>
          <value t="str">
            <val>0.20</val>
          </value>
          <value>
            <val>1.86</val>
          </value>
          <value t="str">
            <val>0.04</val>
          </value>
          <value t="str">
            <val>-0.01</val>
          </value>
          <value t="str">
            <val>地球</val>
          </value>
          <value t="str">
            <val>上市塑膠</val>
          </value>
          <value t="str">
            <val>台灣主要PVC膠帶供應商</val>
          </value>
        </values>
      </ddeItem>
      <ddeItem name="1324.TW-CName,InvestorConferenceDate,DateofMeetingofShareHolders,TradingDate" advise="1">
        <values cols="4">
          <value t="str">
            <val>地球</val>
          </value>
          <value t="str">
            <val>2022/03/11</val>
          </value>
          <value t="str">
            <val>2022/06/09</val>
          </value>
          <value t="str">
            <val>2022/12/22</val>
          </value>
        </values>
      </ddeItem>
      <ddeItem name="1324.TW-ID,Name,MarketValue,Capital,NetIncomeGrowthRate,OperIncomeGrowthRate,FinancialStatementsTime,TFXRatio,MonthlyNetSalesYoY,RevenueMonth" advise="1">
        <values cols="10">
          <value t="str">
            <val>1324</val>
          </value>
          <value t="str">
            <val>地球</val>
          </value>
          <value t="str">
            <val>8.1</val>
          </value>
          <value t="str">
            <val>7.51</val>
          </value>
          <value t="str">
            <val>30.20</val>
          </value>
          <value t="str">
            <val>-1996.54</val>
          </value>
          <value t="str">
            <val>2022/09</val>
          </value>
          <value t="str">
            <val>22.88</val>
          </value>
          <value t="str">
            <val>-6.76</val>
          </value>
          <value t="str">
            <val>2022/11</val>
          </value>
        </values>
      </ddeItem>
      <ddeItem name="1324.TW-OperatingProfitRatio,Price,PriceChangeRatio,InOutRatioNumber,Value,YearReturn,MonthReturn,WeekReturn,FinanceBalanceDif,ChipsField2" advise="1">
        <values cols="10">
          <value t="str">
            <val>-1.15</val>
          </value>
          <value>
            <val>10.75</val>
          </value>
          <value>
            <val>0.47</val>
          </value>
          <value t="str">
            <val>20.00%</val>
          </value>
          <value t="str">
            <val>5.33萬</val>
          </value>
          <value t="str">
            <val>-6.48</val>
          </value>
          <value t="str">
            <val>+3.37</val>
          </value>
          <value t="str">
            <val>+2.38</val>
          </value>
          <value>
            <val>-14</val>
          </value>
          <value>
            <val>0</val>
          </value>
        </values>
      </ddeItem>
      <ddeItem name="1325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-174</val>
          </value>
          <value t="str">
            <val>2022/07/18</val>
          </value>
          <value t="str">
            <val>2.00</val>
          </value>
          <value>
            <val>7.6</val>
          </value>
          <value t="str">
            <val>0.43</val>
          </value>
          <value t="str">
            <val>0.28</val>
          </value>
          <value t="str">
            <val>恆大</val>
          </value>
          <value t="str">
            <val>上市塑膠</val>
          </value>
          <value t="str">
            <val>台灣最大的紡結不織布生產廠</val>
          </value>
        </values>
      </ddeItem>
      <ddeItem name="1325.TW-CName,InvestorConferenceDate,DateofMeetingofShareHolders,TradingDate" advise="1">
        <values cols="4">
          <value t="str">
            <val>恆大</val>
          </value>
          <value t="str">
            <val>2022/12/23</val>
          </value>
          <value t="str">
            <val>2022/06/29</val>
          </value>
          <value t="str">
            <val>2022/12/22</val>
          </value>
        </values>
      </ddeItem>
      <ddeItem name="1325.TW-ID,Name,MarketValue,Capital,NetIncomeGrowthRate,OperIncomeGrowthRate,FinancialStatementsTime,TFXRatio,MonthlyNetSalesYoY,RevenueMonth" advise="1">
        <values cols="10">
          <value t="str">
            <val>1325</val>
          </value>
          <value t="str">
            <val>恆大</val>
          </value>
          <value t="str">
            <val>22.4</val>
          </value>
          <value t="str">
            <val>8.53</val>
          </value>
          <value t="str">
            <val>-89.66</val>
          </value>
          <value t="str">
            <val>-103.28</val>
          </value>
          <value t="str">
            <val>2022/09</val>
          </value>
          <value t="str">
            <val>27.81</val>
          </value>
          <value t="str">
            <val>-9.60</val>
          </value>
          <value t="str">
            <val>2022/11</val>
          </value>
        </values>
      </ddeItem>
      <ddeItem name="1325.TW-OperatingProfitRatio,Price,PriceChangeRatio,InOutRatioNumber,Value,YearReturn,MonthReturn,WeekReturn,FinanceBalanceDif,ChipsField2" advise="1">
        <values cols="10">
          <value t="str">
            <val>-2.77</val>
          </value>
          <value>
            <val>26.3</val>
          </value>
          <value>
            <val>-3.13</val>
          </value>
          <value t="str">
            <val>30.45%</val>
          </value>
          <value t="str">
            <val>3072萬</val>
          </value>
          <value t="str">
            <val>-37.48</val>
          </value>
          <value t="str">
            <val>+16.37</val>
          </value>
          <value t="str">
            <val>+8.68</val>
          </value>
          <value>
            <val>54</val>
          </value>
          <value>
            <val>0</val>
          </value>
        </values>
      </ddeItem>
      <ddeItem name="1326.TW-ChipsField3,ChipsField1,ChipsField25,CashAndStockDividend,CashDividendYieldRate,ProfitFourSeason,ProfitSingle,CName,ExchangeIndustry,CompanyPos" advise="1">
        <values cols="10">
          <value>
            <val>-297</val>
          </value>
          <value>
            <val>-161</val>
          </value>
          <value t="str">
            <val>2022/06/28</val>
          </value>
          <value t="str">
            <val>4.80</val>
          </value>
          <value>
            <val>6.87</val>
          </value>
          <value t="str">
            <val>3.15</val>
          </value>
          <value t="str">
            <val>0.43</val>
          </value>
          <value t="str">
            <val>台化</val>
          </value>
          <value t="str">
            <val>上市塑膠</val>
          </value>
          <value t="str">
            <val>台灣最大的PTA廠</val>
          </value>
        </values>
      </ddeItem>
      <ddeItem name="1326.TW-CName,InvestorConferenceDate,DateofMeetingofShareHolders,TradingDate" advise="1">
        <values cols="4">
          <value t="str">
            <val>台化</val>
          </value>
          <value t="str">
            <val>2022/08/24</val>
          </value>
          <value t="str">
            <val>2022/06/08</val>
          </value>
          <value t="str">
            <val>2022/12/22</val>
          </value>
        </values>
      </ddeItem>
      <ddeItem name="1326.TW-ID,Name,MarketValue,Capital,NetIncomeGrowthRate,OperIncomeGrowthRate,FinancialStatementsTime,TFXRatio,MonthlyNetSalesYoY,RevenueMonth" advise="1">
        <values cols="10">
          <value t="str">
            <val>1326</val>
          </value>
          <value t="str">
            <val>台化</val>
          </value>
          <value t="str">
            <val>4097.0</val>
          </value>
          <value t="str">
            <val>586.12</val>
          </value>
          <value t="str">
            <val>-55.30</val>
          </value>
          <value t="str">
            <val>-100.05</val>
          </value>
          <value t="str">
            <val>2022/09</val>
          </value>
          <value t="str">
            <val>-12.33</val>
          </value>
          <value t="str">
            <val>-15.62</val>
          </value>
          <value t="str">
            <val>2022/11</val>
          </value>
        </values>
      </ddeItem>
      <ddeItem name="1326.TW-OperatingProfitRatio,Price,PriceChangeRatio,InOutRatioNumber,Value,YearReturn,MonthReturn,WeekReturn,FinanceBalanceDif,ChipsField2" advise="1">
        <values cols="10">
          <value t="str">
            <val>0.00</val>
          </value>
          <value>
            <val>69.900000000000006</val>
          </value>
          <value>
            <val>0.72</val>
          </value>
          <value t="str">
            <val>69.24%</val>
          </value>
          <value t="str">
            <val>8590萬</val>
          </value>
          <value t="str">
            <val>-7.04</val>
          </value>
          <value t="str">
            <val>-3.98</val>
          </value>
          <value t="str">
            <val>-2.24</val>
          </value>
          <value>
            <val>-19</val>
          </value>
          <value>
            <val>8</val>
          </value>
        </values>
      </ddeItem>
      <ddeItem name="133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-13</val>
          </value>
          <value t="str">
            <val>--</val>
          </value>
          <value t="str">
            <val>0.00</val>
          </value>
          <value>
            <val>0</val>
          </value>
          <value t="str">
            <val>-1.73</val>
          </value>
          <value t="str">
            <val>-0.53</val>
          </value>
          <value t="str">
            <val>再生-KY</val>
          </value>
          <value t="str">
            <val>上市塑膠</val>
          </value>
          <value t="str">
            <val>大陸第一大EVA發泡材商</val>
          </value>
        </values>
      </ddeItem>
      <ddeItem name="1337.TW-CName,InvestorConferenceDate,DateofMeetingofShareHolders,TradingDate" advise="1">
        <values cols="4">
          <value t="str">
            <val>再生-KY</val>
          </value>
          <value t="str">
            <val>2022/12/07</val>
          </value>
          <value t="str">
            <val>2022/06/15</val>
          </value>
          <value t="str">
            <val>2022/12/22</val>
          </value>
        </values>
      </ddeItem>
      <ddeItem name="1337.TW-ID,Name,MarketValue,Capital,NetIncomeGrowthRate,OperIncomeGrowthRate,FinancialStatementsTime,TFXRatio,MonthlyNetSalesYoY,RevenueMonth" advise="1">
        <values cols="10">
          <value t="str">
            <val>1337</val>
          </value>
          <value t="str">
            <val>再生-KY</val>
          </value>
          <value t="str">
            <val>18.6</val>
          </value>
          <value t="str">
            <val>26.90</val>
          </value>
          <value t="str">
            <val>-1.17</val>
          </value>
          <value t="str">
            <val>4.97</val>
          </value>
          <value t="str">
            <val>2022/09</val>
          </value>
          <value t="str">
            <val>10.90</val>
          </value>
          <value t="str">
            <val>-47.39</val>
          </value>
          <value t="str">
            <val>2022/11</val>
          </value>
        </values>
      </ddeItem>
      <ddeItem name="1337.TW-OperatingProfitRatio,Price,PriceChangeRatio,InOutRatioNumber,Value,YearReturn,MonthReturn,WeekReturn,FinanceBalanceDif,ChipsField2" advise="1">
        <values cols="10">
          <value t="str">
            <val>-75.55</val>
          </value>
          <value>
            <val>6.9</val>
          </value>
          <value>
            <val>0.73</val>
          </value>
          <value t="str">
            <val>38.97%</val>
          </value>
          <value t="str">
            <val>241萬</val>
          </value>
          <value t="str">
            <val>-3.23</val>
          </value>
          <value t="str">
            <val>-0.14</val>
          </value>
          <value t="str">
            <val>-3.36</val>
          </value>
          <value>
            <val>8</val>
          </value>
          <value>
            <val>0</val>
          </value>
        </values>
      </ddeItem>
      <ddeItem name="133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-28</val>
          </value>
          <value t="str">
            <val>2022/07/14</val>
          </value>
          <value t="str">
            <val>2.50</val>
          </value>
          <value>
            <val>5.72</val>
          </value>
          <value t="str">
            <val>3.32</val>
          </value>
          <value t="str">
            <val>0.63</val>
          </value>
          <value t="str">
            <val>廣華-KY</val>
          </value>
          <value t="str">
            <val>上市汽車</val>
          </value>
          <value t="str">
            <val>汽車OEM塑膠內飾件大廠，供應以大陸市場為主</val>
          </value>
        </values>
      </ddeItem>
      <ddeItem name="1338.TW-CName,InvestorConferenceDate,DateofMeetingofShareHolders,TradingDate" advise="1">
        <values cols="4">
          <value t="str">
            <val>廣華-KY</val>
          </value>
          <value t="str">
            <val>2022/11/25</val>
          </value>
          <value t="str">
            <val>2022/05/30</val>
          </value>
          <value t="str">
            <val>2022/12/22</val>
          </value>
        </values>
      </ddeItem>
      <ddeItem name="1338.TW-ID,Name,MarketValue,Capital,NetIncomeGrowthRate,OperIncomeGrowthRate,FinancialStatementsTime,TFXRatio,MonthlyNetSalesYoY,RevenueMonth" advise="1">
        <values cols="10">
          <value t="str">
            <val>1338</val>
          </value>
          <value t="str">
            <val>廣華-KY</val>
          </value>
          <value t="str">
            <val>36.6</val>
          </value>
          <value t="str">
            <val>8.38</val>
          </value>
          <value t="str">
            <val>-28.18</val>
          </value>
          <value t="str">
            <val>39.80</val>
          </value>
          <value t="str">
            <val>2022/09</val>
          </value>
          <value t="str">
            <val>0.32</val>
          </value>
          <value t="str">
            <val>-18.25</val>
          </value>
          <value t="str">
            <val>2022/11</val>
          </value>
        </values>
      </ddeItem>
      <ddeItem name="1338.TW-OperatingProfitRatio,Price,PriceChangeRatio,InOutRatioNumber,Value,YearReturn,MonthReturn,WeekReturn,FinanceBalanceDif,ChipsField2" advise="1">
        <values cols="10">
          <value t="str">
            <val>3.69</val>
          </value>
          <value>
            <val>43.7</val>
          </value>
          <value>
            <val>0.46</val>
          </value>
          <value t="str">
            <val>16.67%</val>
          </value>
          <value t="str">
            <val>210萬</val>
          </value>
          <value t="str">
            <val>-15.71</val>
          </value>
          <value t="str">
            <val>-4.59</val>
          </value>
          <value t="str">
            <val>-4.59</val>
          </value>
          <value>
            <val>2</val>
          </value>
          <value>
            <val>0</val>
          </value>
        </values>
      </ddeItem>
      <ddeItem name="1339.TW-ChipsField3,ChipsField1,ChipsField25,CashAndStockDividend,CashDividendYieldRate,ProfitFourSeason,ProfitSingle,CName,ExchangeIndustry,CompanyPos" advise="1">
        <values cols="10">
          <value>
            <val>-6</val>
          </value>
          <value>
            <val>6</val>
          </value>
          <value t="str">
            <val>2022/08/18</val>
          </value>
          <value t="str">
            <val>2.00</val>
          </value>
          <value>
            <val>4.8600000000000003</val>
          </value>
          <value t="str">
            <val>6.50</val>
          </value>
          <value t="str">
            <val>2.28</val>
          </value>
          <value t="str">
            <val>昭輝</val>
          </value>
          <value t="str">
            <val>上市汽車</val>
          </value>
          <value t="str">
            <val>台灣第二大汽車AM塑膠件製造商</val>
          </value>
        </values>
      </ddeItem>
      <ddeItem name="1339.TW-CName,InvestorConferenceDate,DateofMeetingofShareHolders,TradingDate" advise="1">
        <values cols="4">
          <value t="str">
            <val>昭輝</val>
          </value>
          <value t="str">
            <val>2022/08/09</val>
          </value>
          <value t="str">
            <val>2022/05/27</val>
          </value>
          <value t="str">
            <val>2022/12/22</val>
          </value>
        </values>
      </ddeItem>
      <ddeItem name="1339.TW-ID,Name,MarketValue,Capital,NetIncomeGrowthRate,OperIncomeGrowthRate,FinancialStatementsTime,TFXRatio,MonthlyNetSalesYoY,RevenueMonth" advise="1">
        <values cols="10">
          <value t="str">
            <val>1339</val>
          </value>
          <value t="str">
            <val>昭輝</val>
          </value>
          <value t="str">
            <val>30.5</val>
          </value>
          <value t="str">
            <val>7.41</val>
          </value>
          <value t="str">
            <val>477.96</val>
          </value>
          <value t="str">
            <val>-21.54</val>
          </value>
          <value t="str">
            <val>2022/09</val>
          </value>
          <value t="str">
            <val>4.30</val>
          </value>
          <value t="str">
            <val>6.60</val>
          </value>
          <value t="str">
            <val>2022/11</val>
          </value>
        </values>
      </ddeItem>
      <ddeItem name="1339.TW-OperatingProfitRatio,Price,PriceChangeRatio,InOutRatioNumber,Value,YearReturn,MonthReturn,WeekReturn,FinanceBalanceDif,ChipsField2" advise="1">
        <values cols="10">
          <value t="str">
            <val>6.87</val>
          </value>
          <value>
            <val>41.15</val>
          </value>
          <value>
            <val>0.86</val>
          </value>
          <value t="str">
            <val>42.86%</val>
          </value>
          <value t="str">
            <val>210萬</val>
          </value>
          <value t="str">
            <val>+23.46</val>
          </value>
          <value t="str">
            <val>+0.61</val>
          </value>
          <value t="str">
            <val>-4.19</val>
          </value>
          <value>
            <val>20</val>
          </value>
          <value>
            <val>0</val>
          </value>
        </values>
      </ddeItem>
      <ddeItem name="134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</val>
          </value>
          <value t="str">
            <val>--</val>
          </value>
          <value t="str">
            <val>0.00</val>
          </value>
          <value>
            <val>0</val>
          </value>
          <value t="str">
            <val>-3.34</val>
          </value>
          <value t="str">
            <val>-0.77</val>
          </value>
          <value t="str">
            <val>勝悅-KY</val>
          </value>
          <value t="str">
            <val>上市塑膠</val>
          </value>
          <value t="str">
            <val>為鞋底及EVO鞋材生產商</val>
          </value>
        </values>
      </ddeItem>
      <ddeItem name="1340.TW-CName,InvestorConferenceDate,DateofMeetingofShareHolders,TradingDate" advise="1">
        <values cols="4">
          <value t="str">
            <val>勝悅-KY</val>
          </value>
          <value t="str">
            <val>2022/12/01</val>
          </value>
          <value t="str">
            <val>2022/06/30</val>
          </value>
          <value t="str">
            <val>2022/12/22</val>
          </value>
        </values>
      </ddeItem>
      <ddeItem name="1340.TW-ID,Name,MarketValue,Capital,NetIncomeGrowthRate,OperIncomeGrowthRate,FinancialStatementsTime,TFXRatio,MonthlyNetSalesYoY,RevenueMonth" advise="1">
        <values cols="10">
          <value t="str">
            <val>1340</val>
          </value>
          <value t="str">
            <val>勝悅-KY</val>
          </value>
          <value t="str">
            <val>15.2</val>
          </value>
          <value t="str">
            <val>15.29</val>
          </value>
          <value t="str">
            <val>0.56</val>
          </value>
          <value t="str">
            <val>8.18</val>
          </value>
          <value t="str">
            <val>2022/09</val>
          </value>
          <value t="str">
            <val>8.06</val>
          </value>
          <value t="str">
            <val>-26.06</val>
          </value>
          <value t="str">
            <val>2022/11</val>
          </value>
        </values>
      </ddeItem>
      <ddeItem name="1340.TW-OperatingProfitRatio,Price,PriceChangeRatio,InOutRatioNumber,Value,YearReturn,MonthReturn,WeekReturn,FinanceBalanceDif,ChipsField2" advise="1">
        <values cols="10">
          <value t="str">
            <val>-90.25</val>
          </value>
          <value>
            <val>9.9499999999999993</val>
          </value>
          <value>
            <val>-0.4</val>
          </value>
          <value t="str">
            <val>13.64%</val>
          </value>
          <value t="str">
            <val>21.9萬</val>
          </value>
          <value t="str">
            <val>-10.76</val>
          </value>
          <value t="str">
            <val>-1.49</val>
          </value>
          <value t="str">
            <val>-1.00</val>
          </value>
          <value>
            <val>2</val>
          </value>
          <value>
            <val>0</val>
          </value>
        </values>
      </ddeItem>
      <ddeItem name="1341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-1</val>
          </value>
          <value t="str">
            <val>2022/12/02</val>
          </value>
          <value t="str">
            <val>3.13</val>
          </value>
          <value>
            <val>8.9700000000000006</val>
          </value>
          <value t="str">
            <val>6.05</val>
          </value>
          <value t="str">
            <val>1.40</val>
          </value>
          <value t="str">
            <val>富林-KY</val>
          </value>
          <value t="str">
            <val>上市塑膠</val>
          </value>
          <value t="str">
            <val>越南第一大PVC人造皮革生產商</val>
          </value>
        </values>
      </ddeItem>
      <ddeItem name="1341.TW-CName,InvestorConferenceDate,DateofMeetingofShareHolders,TradingDate" advise="1">
        <values cols="4">
          <value t="str">
            <val>富林-KY</val>
          </value>
          <value t="str">
            <val>2022/05/25</val>
          </value>
          <value t="str">
            <val>2022/06/09</val>
          </value>
          <value t="str">
            <val>2022/12/22</val>
          </value>
        </values>
      </ddeItem>
      <ddeItem name="1341.TW-ID,Name,MarketValue,Capital,NetIncomeGrowthRate,OperIncomeGrowthRate,FinancialStatementsTime,TFXRatio,MonthlyNetSalesYoY,RevenueMonth" advise="1">
        <values cols="10">
          <value t="str">
            <val>1341</val>
          </value>
          <value t="str">
            <val>富林-KY</val>
          </value>
          <value t="str">
            <val>33.8</val>
          </value>
          <value t="str">
            <val>5.06</val>
          </value>
          <value t="str">
            <val>2.91</val>
          </value>
          <value t="str">
            <val>-5.43</val>
          </value>
          <value t="str">
            <val>2022/09</val>
          </value>
          <value t="str">
            <val>12.84</val>
          </value>
          <value t="str">
            <val>11.93</val>
          </value>
          <value t="str">
            <val>2022/11</val>
          </value>
        </values>
      </ddeItem>
      <ddeItem name="1341.TW-OperatingProfitRatio,Price,PriceChangeRatio,InOutRatioNumber,Value,YearReturn,MonthReturn,WeekReturn,FinanceBalanceDif,ChipsField2" advise="1">
        <values cols="10">
          <value t="str">
            <val>10.76</val>
          </value>
          <value>
            <val>66.900000000000006</val>
          </value>
          <value>
            <val>0.3</val>
          </value>
          <value t="str">
            <val>62.50%</val>
          </value>
          <value t="str">
            <val>53.5萬</val>
          </value>
          <value t="str">
            <val>+10.83</val>
          </value>
          <value t="str">
            <val>+0.95</val>
          </value>
          <value t="str">
            <val>-2.62</val>
          </value>
          <value>
            <val>0</val>
          </value>
          <value>
            <val>0</val>
          </value>
        </values>
      </ddeItem>
      <ddeItem name="1342.TW-ChipsField3,ChipsField1,ChipsField25,CashAndStockDividend,CashDividendYieldRate,ProfitFourSeason,ProfitSingle,CName,ExchangeIndustry,CompanyPos" advise="1">
        <values cols="10">
          <value>
            <val>-4</val>
          </value>
          <value>
            <val>69</val>
          </value>
          <value t="str">
            <val>2022/06/06</val>
          </value>
          <value t="str">
            <val>3.00</val>
          </value>
          <value>
            <val>2.2599999999999998</val>
          </value>
          <value t="str">
            <val>6.50</val>
          </value>
          <value t="str">
            <val>1.91</val>
          </value>
          <value t="str">
            <val>八貫</val>
          </value>
          <value t="str">
            <val>上市其他</val>
          </value>
          <value t="str">
            <val>台灣機能性皮布料及薄膜製造商</val>
          </value>
        </values>
      </ddeItem>
      <ddeItem name="1342.TW-CName,InvestorConferenceDate,DateofMeetingofShareHolders,TradingDate" advise="1">
        <values cols="4">
          <value t="str">
            <val>八貫</val>
          </value>
          <value t="str">
            <val>2022/03/15</val>
          </value>
          <value t="str">
            <val>2022/07/07</val>
          </value>
          <value t="str">
            <val>2022/12/22</val>
          </value>
        </values>
      </ddeItem>
      <ddeItem name="1342.TW-ID,Name,MarketValue,Capital,NetIncomeGrowthRate,OperIncomeGrowthRate,FinancialStatementsTime,TFXRatio,MonthlyNetSalesYoY,RevenueMonth" advise="1">
        <values cols="10">
          <value t="str">
            <val>1342</val>
          </value>
          <value t="str">
            <val>八貫</val>
          </value>
          <value t="str">
            <val>91.4</val>
          </value>
          <value t="str">
            <val>6.90</val>
          </value>
          <value t="str">
            <val>95.07</val>
          </value>
          <value t="str">
            <val>71.74</val>
          </value>
          <value t="str">
            <val>2022/09</val>
          </value>
          <value t="str">
            <val>29.16</val>
          </value>
          <value t="str">
            <val>35.76</val>
          </value>
          <value t="str">
            <val>2022/11</val>
          </value>
        </values>
      </ddeItem>
      <ddeItem name="1342.TW-OperatingProfitRatio,Price,PriceChangeRatio,InOutRatioNumber,Value,YearReturn,MonthReturn,WeekReturn,FinanceBalanceDif,ChipsField2" advise="1">
        <values cols="10">
          <value t="str">
            <val>19.71</val>
          </value>
          <value>
            <val>132.5</val>
          </value>
          <value>
            <val>-1.49</val>
          </value>
          <value t="str">
            <val>38.75%</val>
          </value>
          <value t="str">
            <val>5018萬</val>
          </value>
          <value t="str">
            <val>+124.22</val>
          </value>
          <value t="str">
            <val>+40.21</val>
          </value>
          <value t="str">
            <val>-0.75</val>
          </value>
          <value>
            <val>6</val>
          </value>
          <value>
            <val>0</val>
          </value>
        </values>
      </ddeItem>
      <ddeItem name="1402.TW-ChipsField3,ChipsField1,ChipsField25,CashAndStockDividend,CashDividendYieldRate,ProfitFourSeason,ProfitSingle,CName,ExchangeIndustry,CompanyPos" advise="1">
        <values cols="10">
          <value>
            <val>-59</val>
          </value>
          <value>
            <val>-22190</val>
          </value>
          <value t="str">
            <val>2022/07/28</val>
          </value>
          <value t="str">
            <val>1.50</val>
          </value>
          <value>
            <val>4.55</val>
          </value>
          <value t="str">
            <val>1.87</val>
          </value>
          <value t="str">
            <val>0.46</val>
          </value>
          <value t="str">
            <val>遠東新</val>
          </value>
          <value t="str">
            <val>上市紡織纖維</val>
          </value>
          <value t="str">
            <val>全球前五大聚酯製造商，集團轉投資橫跨領域廣</val>
          </value>
        </values>
      </ddeItem>
      <ddeItem name="1402.TW-CName,InvestorConferenceDate,DateofMeetingofShareHolders,TradingDate" advise="1">
        <values cols="4">
          <value t="str">
            <val>遠東新</val>
          </value>
          <value t="str">
            <val>2022/04/08</val>
          </value>
          <value t="str">
            <val>2022/06/30</val>
          </value>
          <value t="str">
            <val>2022/12/22</val>
          </value>
        </values>
      </ddeItem>
      <ddeItem name="1402.TW-ID,Name,MarketValue,Capital,NetIncomeGrowthRate,OperIncomeGrowthRate,FinancialStatementsTime,TFXRatio,MonthlyNetSalesYoY,RevenueMonth" advise="1">
        <values cols="10">
          <value t="str">
            <val>1402</val>
          </value>
          <value t="str">
            <val>遠東新</val>
          </value>
          <value t="str">
            <val>1766.4</val>
          </value>
          <value t="str">
            <val>535.29</val>
          </value>
          <value t="str">
            <val>-3.27</val>
          </value>
          <value t="str">
            <val>26.68</val>
          </value>
          <value t="str">
            <val>2022/09</val>
          </value>
          <value t="str">
            <val>-5.35</val>
          </value>
          <value t="str">
            <val>-5.73</val>
          </value>
          <value t="str">
            <val>2022/11</val>
          </value>
        </values>
      </ddeItem>
      <ddeItem name="1402.TW-OperatingProfitRatio,Price,PriceChangeRatio,InOutRatioNumber,Value,YearReturn,MonthReturn,WeekReturn,FinanceBalanceDif,ChipsField2" advise="1">
        <values cols="10">
          <value t="str">
            <val>6.15</val>
          </value>
          <value>
            <val>33</val>
          </value>
          <value>
            <val>5.43</val>
          </value>
          <value t="str">
            <val>72.84%</val>
          </value>
          <value t="str">
            <val>13.0億</val>
          </value>
          <value t="str">
            <val>+21.32</val>
          </value>
          <value t="str">
            <val>+7.84</val>
          </value>
          <value t="str">
            <val>0.00</val>
          </value>
          <value>
            <val>9</val>
          </value>
          <value>
            <val>19969</val>
          </value>
        </values>
      </ddeItem>
      <ddeItem name="1409.TW-ChipsField3,ChipsField1,ChipsField25,CashAndStockDividend,CashDividendYieldRate,ProfitFourSeason,ProfitSingle,CName,ExchangeIndustry,CompanyPos" advise="1">
        <values cols="10">
          <value>
            <val>83</val>
          </value>
          <value>
            <val>-1128</val>
          </value>
          <value t="str">
            <val>2022/08/30</val>
          </value>
          <value t="str">
            <val>1.40</val>
          </value>
          <value>
            <val>7.84</val>
          </value>
          <value t="str">
            <val>2.28</val>
          </value>
          <value t="str">
            <val>0.69</val>
          </value>
          <value t="str">
            <val>新纖</val>
          </value>
          <value t="str">
            <val>上市紡織纖維</val>
          </value>
          <value t="str">
            <val>台灣知名化纖廠，為新光集團成員</val>
          </value>
        </values>
      </ddeItem>
      <ddeItem name="1409.TW-CName,InvestorConferenceDate,DateofMeetingofShareHolders,TradingDate" advise="1">
        <values cols="4">
          <value t="str">
            <val>新纖</val>
          </value>
          <value t="str">
            <val>2022/08/30</val>
          </value>
          <value t="str">
            <val>2022/05/30</val>
          </value>
          <value t="str">
            <val>2022/12/22</val>
          </value>
        </values>
      </ddeItem>
      <ddeItem name="1409.TW-ID,Name,MarketValue,Capital,NetIncomeGrowthRate,OperIncomeGrowthRate,FinancialStatementsTime,TFXRatio,MonthlyNetSalesYoY,RevenueMonth" advise="1">
        <values cols="10">
          <value t="str">
            <val>1409</val>
          </value>
          <value t="str">
            <val>新纖</val>
          </value>
          <value t="str">
            <val>288.9</val>
          </value>
          <value t="str">
            <val>161.84</val>
          </value>
          <value t="str">
            <val>-3.80</val>
          </value>
          <value t="str">
            <val>-26.03</val>
          </value>
          <value t="str">
            <val>2022/09</val>
          </value>
          <value t="str">
            <val>-21.58</val>
          </value>
          <value t="str">
            <val>-30.52</val>
          </value>
          <value t="str">
            <val>2022/11</val>
          </value>
        </values>
      </ddeItem>
      <ddeItem name="1409.TW-OperatingProfitRatio,Price,PriceChangeRatio,InOutRatioNumber,Value,YearReturn,MonthReturn,WeekReturn,FinanceBalanceDif,ChipsField2" advise="1">
        <values cols="10">
          <value t="str">
            <val>9.94</val>
          </value>
          <value>
            <val>17.850000000000001</val>
          </value>
          <value>
            <val>-0.28000000000000003</val>
          </value>
          <value t="str">
            <val>37.68%</val>
          </value>
          <value t="str">
            <val>4258萬</val>
          </value>
          <value t="str">
            <val>-4.01</val>
          </value>
          <value t="str">
            <val>+1.71</val>
          </value>
          <value t="str">
            <val>+3.78</val>
          </value>
          <value>
            <val>167</val>
          </value>
          <value>
            <val>110</val>
          </value>
        </values>
      </ddeItem>
      <ddeItem name="141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-4</val>
          </value>
          <value t="str">
            <val>2022/07/18</val>
          </value>
          <value t="str">
            <val>1.30</val>
          </value>
          <value>
            <val>3.21</val>
          </value>
          <value t="str">
            <val>0.95</val>
          </value>
          <value t="str">
            <val>0.25</val>
          </value>
          <value t="str">
            <val>南染</val>
          </value>
          <value t="str">
            <val>上市紡織纖維</val>
          </value>
          <value t="str">
            <val>台灣專業的染整廠</val>
          </value>
        </values>
      </ddeItem>
      <ddeItem name="1410.TW-CName,InvestorConferenceDate,DateofMeetingofShareHolders,TradingDate" advise="1">
        <values cols="4">
          <value t="str">
            <val>南染</val>
          </value>
          <value t="str">
            <val>2022/10/25</val>
          </value>
          <value t="str">
            <val>2022/06/09</val>
          </value>
          <value t="str">
            <val>2022/12/22</val>
          </value>
        </values>
      </ddeItem>
      <ddeItem name="1410.TW-ID,Name,MarketValue,Capital,NetIncomeGrowthRate,OperIncomeGrowthRate,FinancialStatementsTime,TFXRatio,MonthlyNetSalesYoY,RevenueMonth" advise="1">
        <values cols="10">
          <value t="str">
            <val>1410</val>
          </value>
          <value t="str">
            <val>南染</val>
          </value>
          <value t="str">
            <val>25.5</val>
          </value>
          <value t="str">
            <val>6.30</val>
          </value>
          <value t="str">
            <val>-39.55</val>
          </value>
          <value t="str">
            <val>-75.90</val>
          </value>
          <value t="str">
            <val>2022/09</val>
          </value>
          <value t="str">
            <val>-0.09</val>
          </value>
          <value t="str">
            <val>-29.93</val>
          </value>
          <value t="str">
            <val>2022/11</val>
          </value>
        </values>
      </ddeItem>
      <ddeItem name="1410.TW-OperatingProfitRatio,Price,PriceChangeRatio,InOutRatioNumber,Value,YearReturn,MonthReturn,WeekReturn,FinanceBalanceDif,ChipsField2" advise="1">
        <values cols="10">
          <value t="str">
            <val>6.81</val>
          </value>
          <value>
            <val>40.450000000000003</val>
          </value>
          <value>
            <val>1</val>
          </value>
          <value t="str">
            <val>49.57%</val>
          </value>
          <value t="str">
            <val>479萬</val>
          </value>
          <value t="str">
            <val>+12.13</val>
          </value>
          <value t="str">
            <val>-3.46</val>
          </value>
          <value t="str">
            <val>-6.47</val>
          </value>
          <value>
            <val>-2</val>
          </value>
          <value>
            <val>0</val>
          </value>
        </values>
      </ddeItem>
      <ddeItem name="141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1.14</val>
          </value>
          <value t="str">
            <val>-0.05</val>
          </value>
          <value t="str">
            <val>宏洲</val>
          </value>
          <value t="str">
            <val>上市紡織纖維</val>
          </value>
          <value t="str">
            <val>聚酯粒、聚酯絲與加工絲一貫廠</val>
          </value>
        </values>
      </ddeItem>
      <ddeItem name="1413.TW-CName,InvestorConferenceDate,DateofMeetingofShareHolders,TradingDate" advise="1">
        <values cols="4">
          <value t="str">
            <val>宏洲</val>
          </value>
          <value t="str">
            <val>2022/12/13</val>
          </value>
          <value t="str">
            <val>2022/06/29</val>
          </value>
          <value t="str">
            <val>2022/12/22</val>
          </value>
        </values>
      </ddeItem>
      <ddeItem name="1413.TW-ID,Name,MarketValue,Capital,NetIncomeGrowthRate,OperIncomeGrowthRate,FinancialStatementsTime,TFXRatio,MonthlyNetSalesYoY,RevenueMonth" advise="1">
        <values cols="10">
          <value t="str">
            <val>1413</val>
          </value>
          <value t="str">
            <val>宏洲</val>
          </value>
          <value t="str">
            <val>9.7</val>
          </value>
          <value t="str">
            <val>13.21</val>
          </value>
          <value t="str">
            <val>71.68</val>
          </value>
          <value t="str">
            <val>58.04</val>
          </value>
          <value t="str">
            <val>2022/09</val>
          </value>
          <value t="str">
            <val>-23.72</val>
          </value>
          <value t="str">
            <val>-32.46</val>
          </value>
          <value t="str">
            <val>2022/11</val>
          </value>
        </values>
      </ddeItem>
      <ddeItem name="1413.TW-OperatingProfitRatio,Price,PriceChangeRatio,InOutRatioNumber,Value,YearReturn,MonthReturn,WeekReturn,FinanceBalanceDif,ChipsField2" advise="1">
        <values cols="10">
          <value t="str">
            <val>3.64</val>
          </value>
          <value>
            <val>9.4700000000000006</val>
          </value>
          <value>
            <val>-0.11</val>
          </value>
          <value t="str">
            <val>14.29%</val>
          </value>
          <value t="str">
            <val>6.64萬</val>
          </value>
          <value t="str">
            <val>-10.24</val>
          </value>
          <value t="str">
            <val>-0.32</val>
          </value>
          <value t="str">
            <val>-2.27</val>
          </value>
          <value>
            <val>0</val>
          </value>
          <value>
            <val>0</val>
          </value>
        </values>
      </ddeItem>
      <ddeItem name="1414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22</val>
          </value>
          <value t="str">
            <val>2022/07/12</val>
          </value>
          <value t="str">
            <val>0.54</val>
          </value>
          <value>
            <val>2.99</val>
          </value>
          <value t="str">
            <val>0.66</val>
          </value>
          <value t="str">
            <val>0.19</val>
          </value>
          <value t="str">
            <val>東和</val>
          </value>
          <value t="str">
            <val>上市紡織纖維</val>
          </value>
          <value t="str">
            <val>棉混紡紗大廠</val>
          </value>
        </values>
      </ddeItem>
      <ddeItem name="1414.TW-CName,InvestorConferenceDate,DateofMeetingofShareHolders,TradingDate" advise="1">
        <values cols="4">
          <value t="str">
            <val>東和</val>
          </value>
          <value t="str">
            <val>2022/12/16</val>
          </value>
          <value t="str">
            <val>2022/06/17</val>
          </value>
          <value t="str">
            <val>2022/12/22</val>
          </value>
        </values>
      </ddeItem>
      <ddeItem name="1414.TW-ID,Name,MarketValue,Capital,NetIncomeGrowthRate,OperIncomeGrowthRate,FinancialStatementsTime,TFXRatio,MonthlyNetSalesYoY,RevenueMonth" advise="1">
        <values cols="10">
          <value t="str">
            <val>1414</val>
          </value>
          <value t="str">
            <val>東和</val>
          </value>
          <value t="str">
            <val>39.7</val>
          </value>
          <value t="str">
            <val>22.00</val>
          </value>
          <value t="str">
            <val>2.65</val>
          </value>
          <value t="str">
            <val>38.65</val>
          </value>
          <value t="str">
            <val>2022/09</val>
          </value>
          <value t="str">
            <val>-2.94</val>
          </value>
          <value t="str">
            <val>-33.97</val>
          </value>
          <value t="str">
            <val>2022/11</val>
          </value>
        </values>
      </ddeItem>
      <ddeItem name="1414.TW-OperatingProfitRatio,Price,PriceChangeRatio,InOutRatioNumber,Value,YearReturn,MonthReturn,WeekReturn,FinanceBalanceDif,ChipsField2" advise="1">
        <values cols="10">
          <value t="str">
            <val>17.05</val>
          </value>
          <value>
            <val>18.05</val>
          </value>
          <value>
            <val>0.28000000000000003</val>
          </value>
          <value t="str">
            <val>43.70%</val>
          </value>
          <value t="str">
            <val>434萬</val>
          </value>
          <value t="str">
            <val>-6.99</val>
          </value>
          <value t="str">
            <val>+4.03</val>
          </value>
          <value t="str">
            <val>0.00</val>
          </value>
          <value>
            <val>-12</val>
          </value>
          <value>
            <val>0</val>
          </value>
        </values>
      </ddeItem>
      <ddeItem name="141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-5</val>
          </value>
          <value t="str">
            <val>2022/06/17</val>
          </value>
          <value t="str">
            <val>0.50</val>
          </value>
          <value>
            <val>4.8499999999999996</val>
          </value>
          <value t="str">
            <val>0.51</val>
          </value>
          <value t="str">
            <val>0.39</val>
          </value>
          <value t="str">
            <val>廣豐</val>
          </value>
          <value t="str">
            <val>上市其他</val>
          </value>
          <value t="str">
            <val>橫跨建設及大宗物資業務，主要開發案位於桃園八德</val>
          </value>
        </values>
      </ddeItem>
      <ddeItem name="1416.TW-CName,InvestorConferenceDate,DateofMeetingofShareHolders,TradingDate" advise="1">
        <values cols="4">
          <value t="str">
            <val>廣豐</val>
          </value>
          <value t="str">
            <val>2022/12/12</val>
          </value>
          <value t="str">
            <val>2022/05/31</val>
          </value>
          <value t="str">
            <val>2022/12/22</val>
          </value>
        </values>
      </ddeItem>
      <ddeItem name="1416.TW-ID,Name,MarketValue,Capital,NetIncomeGrowthRate,OperIncomeGrowthRate,FinancialStatementsTime,TFXRatio,MonthlyNetSalesYoY,RevenueMonth" advise="1">
        <values cols="10">
          <value t="str">
            <val>1416</val>
          </value>
          <value t="str">
            <val>廣豐</val>
          </value>
          <value t="str">
            <val>19.1</val>
          </value>
          <value t="str">
            <val>18.53</val>
          </value>
          <value t="str">
            <val>21.92</val>
          </value>
          <value t="str">
            <val>44.03</val>
          </value>
          <value t="str">
            <val>2022/09</val>
          </value>
          <value t="str">
            <val>3.28</val>
          </value>
          <value t="str">
            <val>-32.99</val>
          </value>
          <value t="str">
            <val>2022/11</val>
          </value>
        </values>
      </ddeItem>
      <ddeItem name="1416.TW-OperatingProfitRatio,Price,PriceChangeRatio,InOutRatioNumber,Value,YearReturn,MonthReturn,WeekReturn,FinanceBalanceDif,ChipsField2" advise="1">
        <values cols="10">
          <value t="str">
            <val>-16.06</val>
          </value>
          <value>
            <val>10.3</val>
          </value>
          <value>
            <val>-0.48</val>
          </value>
          <value t="str">
            <val>54.78%</val>
          </value>
          <value t="str">
            <val>162萬</val>
          </value>
          <value t="str">
            <val>-3.64</val>
          </value>
          <value t="str">
            <val>0.00</val>
          </value>
          <value t="str">
            <val>-1.44</val>
          </value>
          <value>
            <val>0</val>
          </value>
          <value>
            <val>0</val>
          </value>
        </values>
      </ddeItem>
      <ddeItem name="141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-264</val>
          </value>
          <value t="str">
            <val>2022/07/21</val>
          </value>
          <value t="str">
            <val>0.35</val>
          </value>
          <value>
            <val>2.4300000000000002</val>
          </value>
          <value t="str">
            <val>0.00</val>
          </value>
          <value t="str">
            <val>0.26</val>
          </value>
          <value t="str">
            <val>嘉裕</val>
          </value>
          <value t="str">
            <val>上市紡織纖維</val>
          </value>
          <value t="str">
            <val>裕隆集團旗下台灣知名的男性西服供應商</val>
          </value>
        </values>
      </ddeItem>
      <ddeItem name="1417.TW-CName,InvestorConferenceDate,DateofMeetingofShareHolders,TradingDate" advise="1">
        <values cols="4">
          <value t="str">
            <val>嘉裕</val>
          </value>
          <value t="str">
            <val>2022/11/17</val>
          </value>
          <value t="str">
            <val>2022/06/29</val>
          </value>
          <value t="str">
            <val>2022/12/22</val>
          </value>
        </values>
      </ddeItem>
      <ddeItem name="1417.TW-ID,Name,MarketValue,Capital,NetIncomeGrowthRate,OperIncomeGrowthRate,FinancialStatementsTime,TFXRatio,MonthlyNetSalesYoY,RevenueMonth" advise="1">
        <values cols="10">
          <value t="str">
            <val>1417</val>
          </value>
          <value t="str">
            <val>嘉裕</val>
          </value>
          <value t="str">
            <val>27.4</val>
          </value>
          <value t="str">
            <val>18.99</val>
          </value>
          <value t="str">
            <val>-61.82</val>
          </value>
          <value t="str">
            <val>-212.49</val>
          </value>
          <value t="str">
            <val>2022/09</val>
          </value>
          <value t="str">
            <val>-2.59</val>
          </value>
          <value t="str">
            <val>-20.26</val>
          </value>
          <value t="str">
            <val>2022/11</val>
          </value>
        </values>
      </ddeItem>
      <ddeItem name="1417.TW-OperatingProfitRatio,Price,PriceChangeRatio,InOutRatioNumber,Value,YearReturn,MonthReturn,WeekReturn,FinanceBalanceDif,ChipsField2" advise="1">
        <values cols="10">
          <value t="str">
            <val>-3.88</val>
          </value>
          <value>
            <val>14.4</val>
          </value>
          <value>
            <val>2.4900000000000002</val>
          </value>
          <value t="str">
            <val>51.52%</val>
          </value>
          <value t="str">
            <val>5256萬</val>
          </value>
          <value t="str">
            <val>+2.78</val>
          </value>
          <value t="str">
            <val>+20.00</val>
          </value>
          <value t="str">
            <val>+2.86</val>
          </value>
          <value>
            <val>181</val>
          </value>
          <value>
            <val>0</val>
          </value>
        </values>
      </ddeItem>
      <ddeItem name="141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0.00</val>
          </value>
          <value>
            <val>0</val>
          </value>
          <value t="str">
            <val>-0.42</val>
          </value>
          <value t="str">
            <val>-0.48</val>
          </value>
          <value t="str">
            <val>東華</val>
          </value>
          <value t="str">
            <val>上市紡織纖維</val>
          </value>
          <value t="str">
            <val>台灣老牌的亞克力棉製造商</val>
          </value>
        </values>
      </ddeItem>
      <ddeItem name="1418.TW-CName,InvestorConferenceDate,DateofMeetingofShareHolders,TradingDate" advise="1">
        <values cols="4">
          <value t="str">
            <val>東華</val>
          </value>
          <value t="str">
            <val>2022/12/16</val>
          </value>
          <value t="str">
            <val>2022/06/27</val>
          </value>
          <value t="str">
            <val>2022/12/22</val>
          </value>
        </values>
      </ddeItem>
      <ddeItem name="1418.TW-ID,Name,MarketValue,Capital,NetIncomeGrowthRate,OperIncomeGrowthRate,FinancialStatementsTime,TFXRatio,MonthlyNetSalesYoY,RevenueMonth" advise="1">
        <values cols="10">
          <value t="str">
            <val>1418</val>
          </value>
          <value t="str">
            <val>東華</val>
          </value>
          <value t="str">
            <val>6.6</val>
          </value>
          <value t="str">
            <val>5.68</val>
          </value>
          <value t="str">
            <val>64.23</val>
          </value>
          <value t="str">
            <val>65.56</val>
          </value>
          <value t="str">
            <val>2022/09</val>
          </value>
          <value t="str">
            <val>-49.86</val>
          </value>
          <value t="str">
            <val>504.79</val>
          </value>
          <value t="str">
            <val>2022/11</val>
          </value>
        </values>
      </ddeItem>
      <ddeItem name="1418.TW-OperatingProfitRatio,Price,PriceChangeRatio,InOutRatioNumber,Value,YearReturn,MonthReturn,WeekReturn,FinanceBalanceDif,ChipsField2" advise="1">
        <values cols="10">
          <value t="str">
            <val>-528.61</val>
          </value>
          <value>
            <val>14.15</val>
          </value>
          <value>
            <val>0.71</val>
          </value>
          <value t="str">
            <val>12.00%</val>
          </value>
          <value t="str">
            <val>35.2萬</val>
          </value>
          <value t="str">
            <val>+23.58</val>
          </value>
          <value t="str">
            <val>+1.43</val>
          </value>
          <value t="str">
            <val>0.00</val>
          </value>
          <value>
            <val>0</val>
          </value>
          <value>
            <val>0</val>
          </value>
        </values>
      </ddeItem>
      <ddeItem name="141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</val>
          </value>
          <value t="str">
            <val>2022/08/11</val>
          </value>
          <value t="str">
            <val>1.00</val>
          </value>
          <value>
            <val>2.4900000000000002</val>
          </value>
          <value t="str">
            <val>6.76</val>
          </value>
          <value t="str">
            <val>0.88</val>
          </value>
          <value t="str">
            <val>新紡</val>
          </value>
          <value t="str">
            <val>上市紡織纖維</val>
          </value>
          <value t="str">
            <val>平織布生產商，為新光集團成員，士林三寶之一</val>
          </value>
        </values>
      </ddeItem>
      <ddeItem name="1419.TW-CName,InvestorConferenceDate,DateofMeetingofShareHolders,TradingDate" advise="1">
        <values cols="4">
          <value t="str">
            <val>新紡</val>
          </value>
          <value t="str">
            <val>2022/09/20</val>
          </value>
          <value t="str">
            <val>2022/06/10</val>
          </value>
          <value t="str">
            <val>2022/12/22</val>
          </value>
        </values>
      </ddeItem>
      <ddeItem name="1419.TW-ID,Name,MarketValue,Capital,NetIncomeGrowthRate,OperIncomeGrowthRate,FinancialStatementsTime,TFXRatio,MonthlyNetSalesYoY,RevenueMonth" advise="1">
        <values cols="10">
          <value t="str">
            <val>1419</val>
          </value>
          <value t="str">
            <val>新紡</val>
          </value>
          <value t="str">
            <val>120.6</val>
          </value>
          <value t="str">
            <val>30.00</val>
          </value>
          <value t="str">
            <val>393.42</val>
          </value>
          <value t="str">
            <val>37.05</val>
          </value>
          <value t="str">
            <val>2022/09</val>
          </value>
          <value t="str">
            <val>-9.28</val>
          </value>
          <value t="str">
            <val>14.77</val>
          </value>
          <value t="str">
            <val>2022/11</val>
          </value>
        </values>
      </ddeItem>
      <ddeItem name="1419.TW-OperatingProfitRatio,Price,PriceChangeRatio,InOutRatioNumber,Value,YearReturn,MonthReturn,WeekReturn,FinanceBalanceDif,ChipsField2" advise="1">
        <values cols="10">
          <value t="str">
            <val>7.81</val>
          </value>
          <value>
            <val>40.200000000000003</val>
          </value>
          <value>
            <val>0.75</val>
          </value>
          <value t="str">
            <val>25.00%</val>
          </value>
          <value t="str">
            <val>80.0萬</val>
          </value>
          <value t="str">
            <val>-5.26</val>
          </value>
          <value t="str">
            <val>+4.96</val>
          </value>
          <value t="str">
            <val>-2.66</val>
          </value>
          <value>
            <val>0</val>
          </value>
          <value>
            <val>0</val>
          </value>
        </values>
      </ddeItem>
      <ddeItem name="1423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2</val>
          </value>
          <value t="str">
            <val>2022/07/12</val>
          </value>
          <value t="str">
            <val>0.75</val>
          </value>
          <value>
            <val>3.78</val>
          </value>
          <value t="str">
            <val>0.55</val>
          </value>
          <value t="str">
            <val>0.14</val>
          </value>
          <value t="str">
            <val>利華</val>
          </value>
          <value t="str">
            <val>上市紡織纖維</val>
          </value>
          <value t="str">
            <val>台灣第一大的專業毛條生產商</val>
          </value>
        </values>
      </ddeItem>
      <ddeItem name="1423.TW-CName,InvestorConferenceDate,DateofMeetingofShareHolders,TradingDate" advise="1">
        <values cols="4">
          <value t="str">
            <val>利華</val>
          </value>
          <value t="str">
            <val>2022/05/04</val>
          </value>
          <value t="str">
            <val>2022/06/21</val>
          </value>
          <value t="str">
            <val>2022/12/22</val>
          </value>
        </values>
      </ddeItem>
      <ddeItem name="1423.TW-ID,Name,MarketValue,Capital,NetIncomeGrowthRate,OperIncomeGrowthRate,FinancialStatementsTime,TFXRatio,MonthlyNetSalesYoY,RevenueMonth" advise="1">
        <values cols="10">
          <value t="str">
            <val>1423</val>
          </value>
          <value t="str">
            <val>利華</val>
          </value>
          <value t="str">
            <val>27.5</val>
          </value>
          <value t="str">
            <val>13.84</val>
          </value>
          <value t="str">
            <val>-56.39</val>
          </value>
          <value t="str">
            <val>9.56</val>
          </value>
          <value t="str">
            <val>2022/09</val>
          </value>
          <value t="str">
            <val>80.97</val>
          </value>
          <value t="str">
            <val>17.60</val>
          </value>
          <value t="str">
            <val>2022/11</val>
          </value>
        </values>
      </ddeItem>
      <ddeItem name="1423.TW-OperatingProfitRatio,Price,PriceChangeRatio,InOutRatioNumber,Value,YearReturn,MonthReturn,WeekReturn,FinanceBalanceDif,ChipsField2" advise="1">
        <values cols="10">
          <value t="str">
            <val>-32.47</val>
          </value>
          <value>
            <val>19.850000000000001</val>
          </value>
          <value>
            <val>0.25</val>
          </value>
          <value t="str">
            <val>3.39%</val>
          </value>
          <value t="str">
            <val>117萬</val>
          </value>
          <value t="str">
            <val>+3.75</val>
          </value>
          <value t="str">
            <val>-0.50</val>
          </value>
          <value t="str">
            <val>-1.00</val>
          </value>
          <value>
            <val>-14</val>
          </value>
          <value>
            <val>0</val>
          </value>
        </values>
      </ddeItem>
      <ddeItem name="143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</val>
          </value>
          <value t="str">
            <val>--</val>
          </value>
          <value t="str">
            <val>0.00</val>
          </value>
          <value>
            <val>0</val>
          </value>
          <value t="str">
            <val>-0.56</val>
          </value>
          <value t="str">
            <val>0.45</val>
          </value>
          <value t="str">
            <val>大魯閣</val>
          </value>
          <value t="str">
            <val>上市貿易百貨</val>
          </value>
          <value t="str">
            <val>經營型娛樂購物中心事業</val>
          </value>
        </values>
      </ddeItem>
      <ddeItem name="1432.TW-CName,InvestorConferenceDate,DateofMeetingofShareHolders,TradingDate" advise="1">
        <values cols="4">
          <value t="str">
            <val>大魯閣</val>
          </value>
          <value t="str">
            <val>2022/12/15</val>
          </value>
          <value t="str">
            <val>2022/06/01</val>
          </value>
          <value t="str">
            <val>2022/12/22</val>
          </value>
        </values>
      </ddeItem>
      <ddeItem name="1432.TW-ID,Name,MarketValue,Capital,NetIncomeGrowthRate,OperIncomeGrowthRate,FinancialStatementsTime,TFXRatio,MonthlyNetSalesYoY,RevenueMonth" advise="1">
        <values cols="10">
          <value t="str">
            <val>1432</val>
          </value>
          <value t="str">
            <val>大魯閣</val>
          </value>
          <value t="str">
            <val>10.8</val>
          </value>
          <value t="str">
            <val>9.00</val>
          </value>
          <value t="str">
            <val>76.64</val>
          </value>
          <value t="str">
            <val>103.42</val>
          </value>
          <value t="str">
            <val>2022/09</val>
          </value>
          <value t="str">
            <val>-12.58</val>
          </value>
          <value t="str">
            <val>8.99</val>
          </value>
          <value t="str">
            <val>2022/11</val>
          </value>
        </values>
      </ddeItem>
      <ddeItem name="1432.TW-OperatingProfitRatio,Price,PriceChangeRatio,InOutRatioNumber,Value,YearReturn,MonthReturn,WeekReturn,FinanceBalanceDif,ChipsField2" advise="1">
        <values cols="10">
          <value t="str">
            <val>0.57</val>
          </value>
          <value>
            <val>11.95</val>
          </value>
          <value>
            <val>0.84</val>
          </value>
          <value t="str">
            <val>81.29%</val>
          </value>
          <value t="str">
            <val>185萬</val>
          </value>
          <value t="str">
            <val>-6.64</val>
          </value>
          <value t="str">
            <val>-0.42</val>
          </value>
          <value t="str">
            <val>0.00</val>
          </value>
          <value>
            <val>0</val>
          </value>
          <value>
            <val>0</val>
          </value>
        </values>
      </ddeItem>
      <ddeItem name="1434.TW-ChipsField3,ChipsField1,ChipsField25,CashAndStockDividend,CashDividendYieldRate,ProfitFourSeason,ProfitSingle,CName,ExchangeIndustry,CompanyPos" advise="1">
        <values cols="10">
          <value>
            <val>-48</val>
          </value>
          <value>
            <val>-296</val>
          </value>
          <value t="str">
            <val>2022/07/26</val>
          </value>
          <value t="str">
            <val>1.00</val>
          </value>
          <value>
            <val>3.8</val>
          </value>
          <value t="str">
            <val>2.10</val>
          </value>
          <value t="str">
            <val>0.35</val>
          </value>
          <value t="str">
            <val>福懋</val>
          </value>
          <value t="str">
            <val>上市紡織纖維</val>
          </value>
          <value t="str">
            <val>台灣最大的輪胎簾布製造商，為台塑集團成員</val>
          </value>
        </values>
      </ddeItem>
      <ddeItem name="1434.TW-CName,InvestorConferenceDate,DateofMeetingofShareHolders,TradingDate" advise="1">
        <values cols="4">
          <value t="str">
            <val>福懋</val>
          </value>
          <value t="str">
            <val>2022/11/28</val>
          </value>
          <value t="str">
            <val>2022/06/24</val>
          </value>
          <value t="str">
            <val>2022/12/22</val>
          </value>
        </values>
      </ddeItem>
      <ddeItem name="1434.TW-ID,Name,MarketValue,Capital,NetIncomeGrowthRate,OperIncomeGrowthRate,FinancialStatementsTime,TFXRatio,MonthlyNetSalesYoY,RevenueMonth" advise="1">
        <values cols="10">
          <value t="str">
            <val>1434</val>
          </value>
          <value t="str">
            <val>福懋</val>
          </value>
          <value t="str">
            <val>443.9</val>
          </value>
          <value t="str">
            <val>168.47</val>
          </value>
          <value t="str">
            <val>77.93</val>
          </value>
          <value t="str">
            <val>-24.38</val>
          </value>
          <value t="str">
            <val>2022/09</val>
          </value>
          <value t="str">
            <val>-4.36</val>
          </value>
          <value t="str">
            <val>-9.21</val>
          </value>
          <value t="str">
            <val>2022/11</val>
          </value>
        </values>
      </ddeItem>
      <ddeItem name="1434.TW-OperatingProfitRatio,Price,PriceChangeRatio,InOutRatioNumber,Value,YearReturn,MonthReturn,WeekReturn,FinanceBalanceDif,ChipsField2" advise="1">
        <values cols="10">
          <value t="str">
            <val>3.49</val>
          </value>
          <value>
            <val>26.35</val>
          </value>
          <value>
            <val>0.56999999999999995</val>
          </value>
          <value t="str">
            <val>41.53%</val>
          </value>
          <value t="str">
            <val>877萬</val>
          </value>
          <value t="str">
            <val>-2.38</val>
          </value>
          <value t="str">
            <val>+0.76</val>
          </value>
          <value t="str">
            <val>-0.38</val>
          </value>
          <value>
            <val>10</val>
          </value>
          <value>
            <val>-195</val>
          </value>
        </values>
      </ddeItem>
      <ddeItem name="143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2022/07/26</val>
          </value>
          <value t="str">
            <val>4.15</val>
          </value>
          <value>
            <val>7.4</val>
          </value>
          <value t="str">
            <val>5.29</val>
          </value>
          <value t="str">
            <val>5.06</val>
          </value>
          <value t="str">
            <val>華友聯</val>
          </value>
          <value t="str">
            <val>上市建材營造</val>
          </value>
          <value t="str">
            <val>轉型為以市地重劃為主的建商</val>
          </value>
        </values>
      </ddeItem>
      <ddeItem name="1436.TW-CName,InvestorConferenceDate,DateofMeetingofShareHolders,TradingDate" advise="1">
        <values cols="4">
          <value t="str">
            <val>華友聯</val>
          </value>
          <value t="str">
            <val>2022/11/10</val>
          </value>
          <value t="str">
            <val>2022/06/23</val>
          </value>
          <value t="str">
            <val>2022/12/22</val>
          </value>
        </values>
      </ddeItem>
      <ddeItem name="1436.TW-ID,Name,MarketValue,Capital,NetIncomeGrowthRate,OperIncomeGrowthRate,FinancialStatementsTime,TFXRatio,MonthlyNetSalesYoY,RevenueMonth" advise="1">
        <values cols="10">
          <value t="str">
            <val>1436</val>
          </value>
          <value t="str">
            <val>華友聯</val>
          </value>
          <value t="str">
            <val>54.0</val>
          </value>
          <value t="str">
            <val>9.67</val>
          </value>
          <value t="str">
            <val>4.26</val>
          </value>
          <value t="str">
            <val>28.09</val>
          </value>
          <value t="str">
            <val>2022/09</val>
          </value>
          <value t="str">
            <val>-59.44</val>
          </value>
          <value t="str">
            <val>373.51</val>
          </value>
          <value t="str">
            <val>2022/11</val>
          </value>
        </values>
      </ddeItem>
      <ddeItem name="1436.TW-OperatingProfitRatio,Price,PriceChangeRatio,InOutRatioNumber,Value,YearReturn,MonthReturn,WeekReturn,FinanceBalanceDif,ChipsField2" advise="1">
        <values cols="10">
          <value t="str">
            <val>22.67</val>
          </value>
          <value>
            <val>56.1</val>
          </value>
          <value>
            <val>0.18</val>
          </value>
          <value t="str">
            <val>66.67%</val>
          </value>
          <value t="str">
            <val>33.7萬</val>
          </value>
          <value t="str">
            <val>+11.36</val>
          </value>
          <value t="str">
            <val>-0.18</val>
          </value>
          <value t="str">
            <val>-1.58</val>
          </value>
          <value>
            <val>0</val>
          </value>
          <value>
            <val>0</val>
          </value>
        </values>
      </ddeItem>
      <ddeItem name="1437.TW-ChipsField3,ChipsField1,ChipsField25,CashAndStockDividend,CashDividendYieldRate,ProfitFourSeason,ProfitSingle,CName,ExchangeIndustry,CompanyPos" advise="1">
        <values cols="10">
          <value>
            <val>-2</val>
          </value>
          <value>
            <val>-8</val>
          </value>
          <value t="str">
            <val>2022/06/27</val>
          </value>
          <value t="str">
            <val>0.90</val>
          </value>
          <value>
            <val>3.54</val>
          </value>
          <value t="str">
            <val>2.03</val>
          </value>
          <value t="str">
            <val>0.57</val>
          </value>
          <value t="str">
            <val>勤益控</val>
          </value>
          <value t="str">
            <val>上市其他</val>
          </value>
          <value t="str">
            <val>轉型為投資控股公司</val>
          </value>
        </values>
      </ddeItem>
      <ddeItem name="1437.TW-CName,InvestorConferenceDate,DateofMeetingofShareHolders,TradingDate" advise="1">
        <values cols="4">
          <value t="str">
            <val>勤益控</val>
          </value>
          <value t="str">
            <val>2022/12/16</val>
          </value>
          <value t="str">
            <val>2022/06/09</val>
          </value>
          <value t="str">
            <val>2022/12/22</val>
          </value>
        </values>
      </ddeItem>
      <ddeItem name="1437.TW-ID,Name,MarketValue,Capital,NetIncomeGrowthRate,OperIncomeGrowthRate,FinancialStatementsTime,TFXRatio,MonthlyNetSalesYoY,RevenueMonth" advise="1">
        <values cols="10">
          <value t="str">
            <val>1437</val>
          </value>
          <value t="str">
            <val>勤益控</val>
          </value>
          <value t="str">
            <val>51.7</val>
          </value>
          <value t="str">
            <val>20.34</val>
          </value>
          <value t="str">
            <val>-13.50</val>
          </value>
          <value t="str">
            <val>8.15</val>
          </value>
          <value t="str">
            <val>2022/09</val>
          </value>
          <value t="str">
            <val>51.91</val>
          </value>
          <value t="str">
            <val>24.20</val>
          </value>
          <value t="str">
            <val>2022/11</val>
          </value>
        </values>
      </ddeItem>
      <ddeItem name="1437.TW-OperatingProfitRatio,Price,PriceChangeRatio,InOutRatioNumber,Value,YearReturn,MonthReturn,WeekReturn,FinanceBalanceDif,ChipsField2" advise="1">
        <values cols="10">
          <value t="str">
            <val>52.67</val>
          </value>
          <value>
            <val>25.4</val>
          </value>
          <value>
            <val>0.2</val>
          </value>
          <value t="str">
            <val>14.71%</val>
          </value>
          <value t="str">
            <val>264萬</val>
          </value>
          <value t="str">
            <val>+3.34</val>
          </value>
          <value t="str">
            <val>+2.01</val>
          </value>
          <value t="str">
            <val>-1.55</val>
          </value>
          <value>
            <val>12</val>
          </value>
          <value>
            <val>0</val>
          </value>
        </values>
      </ddeItem>
      <ddeItem name="143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5.99</val>
          </value>
          <value t="str">
            <val>-0.31</val>
          </value>
          <value t="str">
            <val>三地開發</val>
          </value>
          <value t="str">
            <val>上市建材營造</val>
          </value>
          <value t="str">
            <val>轉型營建業，開發桃園地區房產為主</val>
          </value>
        </values>
      </ddeItem>
      <ddeItem name="1438.TW-CName,InvestorConferenceDate,DateofMeetingofShareHolders,TradingDate" advise="1">
        <values cols="4">
          <value t="str">
            <val>三地開發</val>
          </value>
          <value t="str">
            <val>2022/12/16</val>
          </value>
          <value t="str">
            <val>2022/06/21</val>
          </value>
          <value t="str">
            <val>2022/12/22</val>
          </value>
        </values>
      </ddeItem>
      <ddeItem name="1438.TW-ID,Name,MarketValue,Capital,NetIncomeGrowthRate,OperIncomeGrowthRate,FinancialStatementsTime,TFXRatio,MonthlyNetSalesYoY,RevenueMonth" advise="1">
        <values cols="10">
          <value t="str">
            <val>1438</val>
          </value>
          <value t="str">
            <val>三地開發</val>
          </value>
          <value t="str">
            <val>22.6</val>
          </value>
          <value t="str">
            <val>9.12</val>
          </value>
          <value t="str">
            <val>4121.95</val>
          </value>
          <value t="str">
            <val>3918.07</val>
          </value>
          <value t="str">
            <val>2022/09</val>
          </value>
          <value t="str">
            <val>7451.53</val>
          </value>
          <value t="str">
            <val>25.71</val>
          </value>
          <value t="str">
            <val>2022/11</val>
          </value>
        </values>
      </ddeItem>
      <ddeItem name="1438.TW-OperatingProfitRatio,Price,PriceChangeRatio,InOutRatioNumber,Value,YearReturn,MonthReturn,WeekReturn,FinanceBalanceDif,ChipsField2" advise="1">
        <values cols="10">
          <value t="str">
            <val>89.25</val>
          </value>
          <value>
            <val>31.75</val>
          </value>
          <value>
            <val>0.47</val>
          </value>
          <value t="str">
            <val>63.64%</val>
          </value>
          <value t="str">
            <val>38.0萬</val>
          </value>
          <value t="str">
            <val>+4.61</val>
          </value>
          <value t="str">
            <val>+8.55</val>
          </value>
          <value t="str">
            <val>-1.70</val>
          </value>
          <value>
            <val>16</val>
          </value>
          <value>
            <val>0</val>
          </value>
        </values>
      </ddeItem>
      <ddeItem name="1439.TW-ChipsField3,ChipsField1,ChipsField25,CashAndStockDividend,CashDividendYieldRate,ProfitFourSeason,ProfitSingle,CName,ExchangeIndustry,CompanyPos" advise="1">
        <values cols="10">
          <value>
            <val>-2</val>
          </value>
          <value>
            <val>-12</val>
          </value>
          <value t="str">
            <val>2022/06/23</val>
          </value>
          <value t="str">
            <val>0.20</val>
          </value>
          <value>
            <val>0.94</val>
          </value>
          <value t="str">
            <val>1.75</val>
          </value>
          <value t="str">
            <val>0.61</val>
          </value>
          <value t="str">
            <val>雋揚</val>
          </value>
          <value t="str">
            <val>上市紡織纖維</val>
          </value>
          <value t="str">
            <val>台灣知名的毛條供應商</val>
          </value>
        </values>
      </ddeItem>
      <ddeItem name="1439.TW-CName,InvestorConferenceDate,DateofMeetingofShareHolders,TradingDate" advise="1">
        <values cols="4">
          <value t="str">
            <val>雋揚</val>
          </value>
          <value t="str">
            <val>2022/12/16</val>
          </value>
          <value t="str">
            <val>2022/06/23</val>
          </value>
          <value t="str">
            <val>2022/12/22</val>
          </value>
        </values>
      </ddeItem>
      <ddeItem name="1439.TW-ID,Name,MarketValue,Capital,NetIncomeGrowthRate,OperIncomeGrowthRate,FinancialStatementsTime,TFXRatio,MonthlyNetSalesYoY,RevenueMonth" advise="1">
        <values cols="10">
          <value t="str">
            <val>1439</val>
          </value>
          <value t="str">
            <val>雋揚</val>
          </value>
          <value t="str">
            <val>19.6</val>
          </value>
          <value t="str">
            <val>9.20</val>
          </value>
          <value t="str">
            <val>48.99</val>
          </value>
          <value t="str">
            <val>37.49</val>
          </value>
          <value t="str">
            <val>2022/09</val>
          </value>
          <value t="str">
            <val>400.19</val>
          </value>
          <value t="str">
            <val>763.76</val>
          </value>
          <value t="str">
            <val>2022/11</val>
          </value>
        </values>
      </ddeItem>
      <ddeItem name="1439.TW-OperatingProfitRatio,Price,PriceChangeRatio,InOutRatioNumber,Value,YearReturn,MonthReturn,WeekReturn,FinanceBalanceDif,ChipsField2" advise="1">
        <values cols="10">
          <value t="str">
            <val>7.34</val>
          </value>
          <value>
            <val>21.3</val>
          </value>
          <value>
            <val>2.16</val>
          </value>
          <value t="str">
            <val>59.26%</val>
          </value>
          <value t="str">
            <val>56.8萬</val>
          </value>
          <value t="str">
            <val>-8.82</val>
          </value>
          <value t="str">
            <val>-1.39</val>
          </value>
          <value t="str">
            <val>-2.29</val>
          </value>
          <value>
            <val>1</val>
          </value>
          <value>
            <val>0</val>
          </value>
        </values>
      </ddeItem>
      <ddeItem name="1440.TW-ChipsField3,ChipsField1,ChipsField25,CashAndStockDividend,CashDividendYieldRate,ProfitFourSeason,ProfitSingle,CName,ExchangeIndustry,CompanyPos" advise="1">
        <values cols="10">
          <value>
            <val>-49</val>
          </value>
          <value>
            <val>178</val>
          </value>
          <value t="str">
            <val>2022/07/14</val>
          </value>
          <value t="str">
            <val>0.80</val>
          </value>
          <value>
            <val>4.5599999999999996</val>
          </value>
          <value t="str">
            <val>1.10</val>
          </value>
          <value t="str">
            <val>0.18</val>
          </value>
          <value t="str">
            <val>南紡</val>
          </value>
          <value t="str">
            <val>上市紡織纖維</val>
          </value>
          <value t="str">
            <val>台灣最大的聚酯棉與紡紗廠，並經營夢時代購物中心</val>
          </value>
        </values>
      </ddeItem>
      <ddeItem name="1440.TW-CName,InvestorConferenceDate,DateofMeetingofShareHolders,TradingDate" advise="1">
        <values cols="4">
          <value t="str">
            <val>南紡</val>
          </value>
          <value t="str">
            <val>2021/04/14</val>
          </value>
          <value t="str">
            <val>2022/05/27</val>
          </value>
          <value t="str">
            <val>2022/12/22</val>
          </value>
        </values>
      </ddeItem>
      <ddeItem name="1440.TW-ID,Name,MarketValue,Capital,NetIncomeGrowthRate,OperIncomeGrowthRate,FinancialStatementsTime,TFXRatio,MonthlyNetSalesYoY,RevenueMonth" advise="1">
        <values cols="10">
          <value t="str">
            <val>1440</val>
          </value>
          <value t="str">
            <val>南紡</val>
          </value>
          <value t="str">
            <val>290.8</val>
          </value>
          <value t="str">
            <val>165.68</val>
          </value>
          <value t="str">
            <val>-42.59</val>
          </value>
          <value t="str">
            <val>-14.80</val>
          </value>
          <value t="str">
            <val>2022/09</val>
          </value>
          <value t="str">
            <val>-4.51</val>
          </value>
          <value t="str">
            <val>2.53</val>
          </value>
          <value t="str">
            <val>2022/11</val>
          </value>
        </values>
      </ddeItem>
      <ddeItem name="1440.TW-OperatingProfitRatio,Price,PriceChangeRatio,InOutRatioNumber,Value,YearReturn,MonthReturn,WeekReturn,FinanceBalanceDif,ChipsField2" advise="1">
        <values cols="10">
          <value t="str">
            <val>4.99</val>
          </value>
          <value>
            <val>17.55</val>
          </value>
          <value>
            <val>3.54</val>
          </value>
          <value t="str">
            <val>65.02%</val>
          </value>
          <value t="str">
            <val>4347萬</val>
          </value>
          <value t="str">
            <val>-31.95</val>
          </value>
          <value t="str">
            <val>+5.09</val>
          </value>
          <value t="str">
            <val>+1.45</val>
          </value>
          <value>
            <val>86</val>
          </value>
          <value>
            <val>0</val>
          </value>
        </values>
      </ddeItem>
      <ddeItem name="144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--</val>
          </value>
          <value t="str">
            <val>0.00</val>
          </value>
          <value>
            <val>0</val>
          </value>
          <value t="str">
            <val>-1.71</val>
          </value>
          <value t="str">
            <val>-0.93</val>
          </value>
          <value t="str">
            <val>大東</val>
          </value>
          <value t="str">
            <val>上市紡織纖維</val>
          </value>
          <value t="str">
            <val>台灣主要棉紡生產企業</val>
          </value>
        </values>
      </ddeItem>
      <ddeItem name="1441.TW-CName,InvestorConferenceDate,DateofMeetingofShareHolders,TradingDate" advise="1">
        <values cols="4">
          <value t="str">
            <val>大東</val>
          </value>
          <value t="str">
            <val>2022/12/16</val>
          </value>
          <value t="str">
            <val>2022/06/14</val>
          </value>
          <value t="str">
            <val>2022/12/22</val>
          </value>
        </values>
      </ddeItem>
      <ddeItem name="1441.TW-ID,Name,MarketValue,Capital,NetIncomeGrowthRate,OperIncomeGrowthRate,FinancialStatementsTime,TFXRatio,MonthlyNetSalesYoY,RevenueMonth" advise="1">
        <values cols="10">
          <value t="str">
            <val>1441</val>
          </value>
          <value t="str">
            <val>大東</val>
          </value>
          <value t="str">
            <val>8.0</val>
          </value>
          <value t="str">
            <val>11.39</val>
          </value>
          <value t="str">
            <val>-158.12</val>
          </value>
          <value t="str">
            <val>-98.28</val>
          </value>
          <value t="str">
            <val>2022/09</val>
          </value>
          <value t="str">
            <val>-9.95</val>
          </value>
          <value t="str">
            <val>-20.15</val>
          </value>
          <value t="str">
            <val>2022/11</val>
          </value>
        </values>
      </ddeItem>
      <ddeItem name="1441.TW-OperatingProfitRatio,Price,PriceChangeRatio,InOutRatioNumber,Value,YearReturn,MonthReturn,WeekReturn,FinanceBalanceDif,ChipsField2" advise="1">
        <values cols="10">
          <value t="str">
            <val>-13.92</val>
          </value>
          <value>
            <val>7.92</val>
          </value>
          <value>
            <val>-0.5</val>
          </value>
          <value t="str">
            <val>66.67%</val>
          </value>
          <value t="str">
            <val>9.50萬</val>
          </value>
          <value t="str">
            <val>-15.57</val>
          </value>
          <value t="str">
            <val>-0.25</val>
          </value>
          <value t="str">
            <val>-0.75</val>
          </value>
          <value>
            <val>0</val>
          </value>
          <value>
            <val>0</val>
          </value>
        </values>
      </ddeItem>
      <ddeItem name="1442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72</val>
          </value>
          <value t="str">
            <val>2022/08/02</val>
          </value>
          <value t="str">
            <val>1.20</val>
          </value>
          <value>
            <val>3.27</val>
          </value>
          <value t="str">
            <val>0.42</val>
          </value>
          <value t="str">
            <val>0.13</val>
          </value>
          <value t="str">
            <val>名軒</val>
          </value>
          <value t="str">
            <val>上市建材營造</val>
          </value>
          <value t="str">
            <val>麗寶建設集團旗下成員</val>
          </value>
        </values>
      </ddeItem>
      <ddeItem name="1442.TW-CName,InvestorConferenceDate,DateofMeetingofShareHolders,TradingDate" advise="1">
        <values cols="4">
          <value t="str">
            <val>名軒</val>
          </value>
          <value t="str">
            <val>2022/11/25</val>
          </value>
          <value t="str">
            <val>2022/06/15</val>
          </value>
          <value t="str">
            <val>2022/12/22</val>
          </value>
        </values>
      </ddeItem>
      <ddeItem name="1442.TW-ID,Name,MarketValue,Capital,NetIncomeGrowthRate,OperIncomeGrowthRate,FinancialStatementsTime,TFXRatio,MonthlyNetSalesYoY,RevenueMonth" advise="1">
        <values cols="10">
          <value t="str">
            <val>1442</val>
          </value>
          <value t="str">
            <val>名軒</val>
          </value>
          <value t="str">
            <val>134.2</val>
          </value>
          <value t="str">
            <val>36.62</val>
          </value>
          <value t="str">
            <val>-69.22</val>
          </value>
          <value t="str">
            <val>-102.02</val>
          </value>
          <value t="str">
            <val>2022/09</val>
          </value>
          <value t="str">
            <val>-96.91</val>
          </value>
          <value t="str">
            <val>-97.09</val>
          </value>
          <value t="str">
            <val>2022/11</val>
          </value>
        </values>
      </ddeItem>
      <ddeItem name="1442.TW-OperatingProfitRatio,Price,PriceChangeRatio,InOutRatioNumber,Value,YearReturn,MonthReturn,WeekReturn,FinanceBalanceDif,ChipsField2" advise="1">
        <values cols="10">
          <value t="str">
            <val>-1.74</val>
          </value>
          <value>
            <val>36.65</val>
          </value>
          <value>
            <val>1.52</val>
          </value>
          <value t="str">
            <val>38.93%</val>
          </value>
          <value t="str">
            <val>1780萬</val>
          </value>
          <value t="str">
            <val>+68.92</val>
          </value>
          <value t="str">
            <val>+5.77</val>
          </value>
          <value t="str">
            <val>+0.55</val>
          </value>
          <value>
            <val>26</val>
          </value>
          <value>
            <val>0</val>
          </value>
        </values>
      </ddeItem>
      <ddeItem name="144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</val>
          </value>
          <value t="str">
            <val>--</val>
          </value>
          <value t="str">
            <val>0.00</val>
          </value>
          <value>
            <val>0</val>
          </value>
          <value t="str">
            <val>2.86</val>
          </value>
          <value t="str">
            <val>0.67</val>
          </value>
          <value t="str">
            <val>立益物流</val>
          </value>
          <value t="str">
            <val>上市其他</val>
          </value>
          <value t="str">
            <val>轉型為物流業及經營房地產</val>
          </value>
        </values>
      </ddeItem>
      <ddeItem name="1443.TW-CName,InvestorConferenceDate,DateofMeetingofShareHolders,TradingDate" advise="1">
        <values cols="4">
          <value t="str">
            <val>立益物流</val>
          </value>
          <value t="str">
            <val>2022/12/05</val>
          </value>
          <value t="str">
            <val>2022/06/15</val>
          </value>
          <value t="str">
            <val>2022/12/22</val>
          </value>
        </values>
      </ddeItem>
      <ddeItem name="1443.TW-ID,Name,MarketValue,Capital,NetIncomeGrowthRate,OperIncomeGrowthRate,FinancialStatementsTime,TFXRatio,MonthlyNetSalesYoY,RevenueMonth" advise="1">
        <values cols="10">
          <value t="str">
            <val>1443</val>
          </value>
          <value t="str">
            <val>立益物流</val>
          </value>
          <value t="str">
            <val>28.5</val>
          </value>
          <value t="str">
            <val>13.53</val>
          </value>
          <value t="str">
            <val>398.00</val>
          </value>
          <value t="str">
            <val>45.45</val>
          </value>
          <value t="str">
            <val>2022/09</val>
          </value>
          <value t="str">
            <val>1.60</val>
          </value>
          <value t="str">
            <val>-43.25</val>
          </value>
          <value t="str">
            <val>2022/11</val>
          </value>
        </values>
      </ddeItem>
      <ddeItem name="1443.TW-OperatingProfitRatio,Price,PriceChangeRatio,InOutRatioNumber,Value,YearReturn,MonthReturn,WeekReturn,FinanceBalanceDif,ChipsField2" advise="1">
        <values cols="10">
          <value t="str">
            <val>29.21</val>
          </value>
          <value>
            <val>21.05</val>
          </value>
          <value>
            <val>0.48</val>
          </value>
          <value t="str">
            <val>34.37%</val>
          </value>
          <value t="str">
            <val>69.7萬</val>
          </value>
          <value t="str">
            <val>+24.93</val>
          </value>
          <value t="str">
            <val>-2.32</val>
          </value>
          <value t="str">
            <val>-0.94</val>
          </value>
          <value>
            <val>-1</val>
          </value>
          <value>
            <val>0</val>
          </value>
        </values>
      </ddeItem>
      <ddeItem name="1444.TW-ChipsField3,ChipsField1,ChipsField25,CashAndStockDividend,CashDividendYieldRate,ProfitFourSeason,ProfitSingle,CName,ExchangeIndustry,CompanyPos" advise="1">
        <values cols="10">
          <value>
            <val>-44</val>
          </value>
          <value>
            <val>-89</val>
          </value>
          <value t="str">
            <val>2022/08/11</val>
          </value>
          <value t="str">
            <val>0.30</val>
          </value>
          <value>
            <val>2.91</val>
          </value>
          <value t="str">
            <val>1.30</val>
          </value>
          <value t="str">
            <val>0.22</val>
          </value>
          <value t="str">
            <val>力麗</val>
          </value>
          <value t="str">
            <val>上市紡織纖維</val>
          </value>
          <value t="str">
            <val>台灣聚酯加工絲龍頭廠</val>
          </value>
        </values>
      </ddeItem>
      <ddeItem name="1444.TW-CName,InvestorConferenceDate,DateofMeetingofShareHolders,TradingDate" advise="1">
        <values cols="4">
          <value t="str">
            <val>力麗</val>
          </value>
          <value t="str">
            <val>2022/10/31</val>
          </value>
          <value t="str">
            <val>2022/06/24</val>
          </value>
          <value t="str">
            <val>2022/12/22</val>
          </value>
        </values>
      </ddeItem>
      <ddeItem name="1444.TW-ID,Name,MarketValue,Capital,NetIncomeGrowthRate,OperIncomeGrowthRate,FinancialStatementsTime,TFXRatio,MonthlyNetSalesYoY,RevenueMonth" advise="1">
        <values cols="10">
          <value t="str">
            <val>1444</val>
          </value>
          <value t="str">
            <val>力麗</val>
          </value>
          <value t="str">
            <val>98.6</val>
          </value>
          <value t="str">
            <val>95.73</val>
          </value>
          <value t="str">
            <val>299.11</val>
          </value>
          <value t="str">
            <val>56.54</val>
          </value>
          <value t="str">
            <val>2022/09</val>
          </value>
          <value t="str">
            <val>-3.95</val>
          </value>
          <value t="str">
            <val>-6.22</val>
          </value>
          <value t="str">
            <val>2022/11</val>
          </value>
        </values>
      </ddeItem>
      <ddeItem name="1444.TW-OperatingProfitRatio,Price,PriceChangeRatio,InOutRatioNumber,Value,YearReturn,MonthReturn,WeekReturn,FinanceBalanceDif,ChipsField2" advise="1">
        <values cols="10">
          <value t="str">
            <val>2.10</val>
          </value>
          <value>
            <val>10.3</val>
          </value>
          <value>
            <val>1.48</val>
          </value>
          <value t="str">
            <val>55.45%</val>
          </value>
          <value t="str">
            <val>1896萬</val>
          </value>
          <value t="str">
            <val>-4.01</val>
          </value>
          <value t="str">
            <val>-2.37</val>
          </value>
          <value t="str">
            <val>-2.37</val>
          </value>
          <value>
            <val>104</val>
          </value>
          <value>
            <val>0</val>
          </value>
        </values>
      </ddeItem>
      <ddeItem name="144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--</val>
          </value>
          <value t="str">
            <val>0.00</val>
          </value>
          <value>
            <val>0</val>
          </value>
          <value t="str">
            <val>-0.05</val>
          </value>
          <value t="str">
            <val>0.15</val>
          </value>
          <value t="str">
            <val>大宇</val>
          </value>
          <value t="str">
            <val>上市紡織纖維</val>
          </value>
          <value t="str">
            <val>台灣專業的織布廠</val>
          </value>
        </values>
      </ddeItem>
      <ddeItem name="1445.TW-CName,InvestorConferenceDate,DateofMeetingofShareHolders,TradingDate" advise="1">
        <values cols="4">
          <value t="str">
            <val>大宇</val>
          </value>
          <value t="str">
            <val>2022/11/28</val>
          </value>
          <value t="str">
            <val>2022/06/15</val>
          </value>
          <value t="str">
            <val>2022/12/22</val>
          </value>
        </values>
      </ddeItem>
      <ddeItem name="1445.TW-ID,Name,MarketValue,Capital,NetIncomeGrowthRate,OperIncomeGrowthRate,FinancialStatementsTime,TFXRatio,MonthlyNetSalesYoY,RevenueMonth" advise="1">
        <values cols="10">
          <value t="str">
            <val>1445</val>
          </value>
          <value t="str">
            <val>大宇</val>
          </value>
          <value t="str">
            <val>21.0</val>
          </value>
          <value t="str">
            <val>13.07</val>
          </value>
          <value t="str">
            <val>79.37</val>
          </value>
          <value t="str">
            <val>-35.72</val>
          </value>
          <value t="str">
            <val>2022/09</val>
          </value>
          <value t="str">
            <val>5.03</val>
          </value>
          <value t="str">
            <val>15.31</val>
          </value>
          <value t="str">
            <val>2022/11</val>
          </value>
        </values>
      </ddeItem>
      <ddeItem name="1445.TW-OperatingProfitRatio,Price,PriceChangeRatio,InOutRatioNumber,Value,YearReturn,MonthReturn,WeekReturn,FinanceBalanceDif,ChipsField2" advise="1">
        <values cols="10">
          <value t="str">
            <val>-5.27</val>
          </value>
          <value>
            <val>16.05</val>
          </value>
          <value>
            <val>-0.62</val>
          </value>
          <value t="str">
            <val>2.00%</val>
          </value>
          <value t="str">
            <val>80.5萬</val>
          </value>
          <value t="str">
            <val>+4.56</val>
          </value>
          <value t="str">
            <val>-0.93</val>
          </value>
          <value t="str">
            <val>+0.31</val>
          </value>
          <value>
            <val>-2</val>
          </value>
          <value>
            <val>0</val>
          </value>
        </values>
      </ddeItem>
      <ddeItem name="144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</val>
          </value>
          <value t="str">
            <val>2022/07/15</val>
          </value>
          <value t="str">
            <val>0.30</val>
          </value>
          <value>
            <val>1</val>
          </value>
          <value t="str">
            <val>-0.12</val>
          </value>
          <value t="str">
            <val>-0.05</val>
          </value>
          <value t="str">
            <val>宏和</val>
          </value>
          <value t="str">
            <val>上市紡織纖維</val>
          </value>
          <value t="str">
            <val>台灣知名的長短纖布廠</val>
          </value>
        </values>
      </ddeItem>
      <ddeItem name="1446.TW-CName,InvestorConferenceDate,DateofMeetingofShareHolders,TradingDate" advise="1">
        <values cols="4">
          <value t="str">
            <val>宏和</val>
          </value>
          <value t="str">
            <val>2022/12/13</val>
          </value>
          <value t="str">
            <val>2022/06/14</val>
          </value>
          <value t="str">
            <val>2022/12/22</val>
          </value>
        </values>
      </ddeItem>
      <ddeItem name="1446.TW-ID,Name,MarketValue,Capital,NetIncomeGrowthRate,OperIncomeGrowthRate,FinancialStatementsTime,TFXRatio,MonthlyNetSalesYoY,RevenueMonth" advise="1">
        <values cols="10">
          <value t="str">
            <val>1446</val>
          </value>
          <value t="str">
            <val>宏和</val>
          </value>
          <value t="str">
            <val>41.3</val>
          </value>
          <value t="str">
            <val>13.77</val>
          </value>
          <value t="str">
            <val>2.58</val>
          </value>
          <value t="str">
            <val>-942.64</val>
          </value>
          <value t="str">
            <val>2022/09</val>
          </value>
          <value t="str">
            <val>-13.36</val>
          </value>
          <value t="str">
            <val>15.72</val>
          </value>
          <value t="str">
            <val>2022/11</val>
          </value>
        </values>
      </ddeItem>
      <ddeItem name="1446.TW-OperatingProfitRatio,Price,PriceChangeRatio,InOutRatioNumber,Value,YearReturn,MonthReturn,WeekReturn,FinanceBalanceDif,ChipsField2" advise="1">
        <values cols="10">
          <value t="str">
            <val>-28.15</val>
          </value>
          <value>
            <val>30</val>
          </value>
          <value>
            <val>1.01</val>
          </value>
          <value t="str">
            <val>70.00%</val>
          </value>
          <value t="str">
            <val>51.1萬</val>
          </value>
          <value t="str">
            <val>-10.81</val>
          </value>
          <value t="str">
            <val>-4.76</val>
          </value>
          <value t="str">
            <val>-1.96</val>
          </value>
          <value>
            <val>-3</val>
          </value>
          <value>
            <val>0</val>
          </value>
        </values>
      </ddeItem>
      <ddeItem name="1447.TW-ChipsField3,ChipsField1,ChipsField25,CashAndStockDividend,CashDividendYieldRate,ProfitFourSeason,ProfitSingle,CName,ExchangeIndustry,CompanyPos" advise="1">
        <values cols="10">
          <value>
            <val>-8</val>
          </value>
          <value>
            <val>34</val>
          </value>
          <value t="str">
            <val>--</val>
          </value>
          <value t="str">
            <val>0.00</val>
          </value>
          <value>
            <val>0</val>
          </value>
          <value t="str">
            <val>0.28</val>
          </value>
          <value t="str">
            <val>-0.06</val>
          </value>
          <value t="str">
            <val>力鵬</val>
          </value>
          <value t="str">
            <val>上市紡織纖維</val>
          </value>
          <value t="str">
            <val>台灣第一大尼龍粒廠，為力麗集團成員</val>
          </value>
        </values>
      </ddeItem>
      <ddeItem name="1447.TW-CName,InvestorConferenceDate,DateofMeetingofShareHolders,TradingDate" advise="1">
        <values cols="4">
          <value t="str">
            <val>力鵬</val>
          </value>
          <value t="str">
            <val>2022/10/31</val>
          </value>
          <value t="str">
            <val>2022/06/24</val>
          </value>
          <value t="str">
            <val>2022/12/22</val>
          </value>
        </values>
      </ddeItem>
      <ddeItem name="1447.TW-ID,Name,MarketValue,Capital,NetIncomeGrowthRate,OperIncomeGrowthRate,FinancialStatementsTime,TFXRatio,MonthlyNetSalesYoY,RevenueMonth" advise="1">
        <values cols="10">
          <value t="str">
            <val>1447</val>
          </value>
          <value t="str">
            <val>力鵬</val>
          </value>
          <value t="str">
            <val>71.0</val>
          </value>
          <value t="str">
            <val>91.45</val>
          </value>
          <value t="str">
            <val>-1.33</val>
          </value>
          <value t="str">
            <val>-134.53</val>
          </value>
          <value t="str">
            <val>2022/09</val>
          </value>
          <value t="str">
            <val>-19.75</val>
          </value>
          <value t="str">
            <val>-8.09</val>
          </value>
          <value t="str">
            <val>2022/11</val>
          </value>
        </values>
      </ddeItem>
      <ddeItem name="1447.TW-OperatingProfitRatio,Price,PriceChangeRatio,InOutRatioNumber,Value,YearReturn,MonthReturn,WeekReturn,FinanceBalanceDif,ChipsField2" advise="1">
        <values cols="10">
          <value t="str">
            <val>-0.62</val>
          </value>
          <value>
            <val>7.76</val>
          </value>
          <value>
            <val>1.57</val>
          </value>
          <value t="str">
            <val>51.28%</val>
          </value>
          <value t="str">
            <val>364萬</val>
          </value>
          <value t="str">
            <val>-23.55</val>
          </value>
          <value t="str">
            <val>-1.02</val>
          </value>
          <value t="str">
            <val>-1.02</val>
          </value>
          <value>
            <val>-29</val>
          </value>
          <value>
            <val>0</val>
          </value>
        </values>
      </ddeItem>
      <ddeItem name="144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106</val>
          </value>
          <value t="str">
            <val>--</val>
          </value>
          <value t="str">
            <val>0.00</val>
          </value>
          <value>
            <val>0</val>
          </value>
          <value t="str">
            <val>1.27</val>
          </value>
          <value t="str">
            <val>0.18</val>
          </value>
          <value t="str">
            <val>佳和</val>
          </value>
          <value t="str">
            <val>上市紡織纖維</val>
          </value>
          <value t="str">
            <val>佳和集團旗下子公司，以生產織布為主</val>
          </value>
        </values>
      </ddeItem>
      <ddeItem name="1449.TW-CName,InvestorConferenceDate,DateofMeetingofShareHolders,TradingDate" advise="1">
        <values cols="4">
          <value t="str">
            <val>佳和</val>
          </value>
          <value t="str">
            <val>2022/12/14</val>
          </value>
          <value t="str">
            <val>2022/06/24</val>
          </value>
          <value t="str">
            <val>2022/12/22</val>
          </value>
        </values>
      </ddeItem>
      <ddeItem name="1449.TW-ID,Name,MarketValue,Capital,NetIncomeGrowthRate,OperIncomeGrowthRate,FinancialStatementsTime,TFXRatio,MonthlyNetSalesYoY,RevenueMonth" advise="1">
        <values cols="10">
          <value t="str">
            <val>1449</val>
          </value>
          <value t="str">
            <val>佳和</val>
          </value>
          <value t="str">
            <val>12.3</val>
          </value>
          <value t="str">
            <val>8.07</val>
          </value>
          <value t="str">
            <val>111.70</val>
          </value>
          <value t="str">
            <val>-9.08</val>
          </value>
          <value t="str">
            <val>2022/09</val>
          </value>
          <value t="str">
            <val>-31.41</val>
          </value>
          <value t="str">
            <val>-32.59</val>
          </value>
          <value t="str">
            <val>2022/11</val>
          </value>
        </values>
      </ddeItem>
      <ddeItem name="1449.TW-OperatingProfitRatio,Price,PriceChangeRatio,InOutRatioNumber,Value,YearReturn,MonthReturn,WeekReturn,FinanceBalanceDif,ChipsField2" advise="1">
        <values cols="10">
          <value t="str">
            <val>-2.40</val>
          </value>
          <value>
            <val>15.25</val>
          </value>
          <value>
            <val>-1.93</val>
          </value>
          <value t="str">
            <val>40.90%</val>
          </value>
          <value t="str">
            <val>925萬</val>
          </value>
          <value t="str">
            <val>-30.18</val>
          </value>
          <value t="str">
            <val>-16.61</val>
          </value>
          <value t="str">
            <val>-3.79</val>
          </value>
          <value>
            <val>30</val>
          </value>
          <value>
            <val>0</val>
          </value>
        </values>
      </ddeItem>
      <ddeItem name="1451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75</val>
          </value>
          <value t="str">
            <val>2022/07/11</val>
          </value>
          <value t="str">
            <val>1.00</val>
          </value>
          <value>
            <val>4.7699999999999996</val>
          </value>
          <value t="str">
            <val>2.74</val>
          </value>
          <value t="str">
            <val>0.57</val>
          </value>
          <value t="str">
            <val>年興</val>
          </value>
          <value t="str">
            <val>上市紡織纖維</val>
          </value>
          <value t="str">
            <val>全球最大的牛仔成衣廠</val>
          </value>
        </values>
      </ddeItem>
      <ddeItem name="1451.TW-CName,InvestorConferenceDate,DateofMeetingofShareHolders,TradingDate" advise="1">
        <values cols="4">
          <value t="str">
            <val>年興</val>
          </value>
          <value t="str">
            <val>2022/12/08</val>
          </value>
          <value t="str">
            <val>2022/06/23</val>
          </value>
          <value t="str">
            <val>2022/12/22</val>
          </value>
        </values>
      </ddeItem>
      <ddeItem name="1451.TW-ID,Name,MarketValue,Capital,NetIncomeGrowthRate,OperIncomeGrowthRate,FinancialStatementsTime,TFXRatio,MonthlyNetSalesYoY,RevenueMonth" advise="1">
        <values cols="10">
          <value t="str">
            <val>1451</val>
          </value>
          <value t="str">
            <val>年興</val>
          </value>
          <value t="str">
            <val>43.4</val>
          </value>
          <value t="str">
            <val>20.67</val>
          </value>
          <value t="str">
            <val>179.99</val>
          </value>
          <value t="str">
            <val>106.51</val>
          </value>
          <value t="str">
            <val>2022/09</val>
          </value>
          <value t="str">
            <val>20.07</val>
          </value>
          <value t="str">
            <val>1.95</val>
          </value>
          <value t="str">
            <val>2022/11</val>
          </value>
        </values>
      </ddeItem>
      <ddeItem name="1451.TW-OperatingProfitRatio,Price,PriceChangeRatio,InOutRatioNumber,Value,YearReturn,MonthReturn,WeekReturn,FinanceBalanceDif,ChipsField2" advise="1">
        <values cols="10">
          <value t="str">
            <val>4.34</val>
          </value>
          <value>
            <val>20.95</val>
          </value>
          <value>
            <val>0.48</val>
          </value>
          <value t="str">
            <val>46.21%</val>
          </value>
          <value t="str">
            <val>309萬</val>
          </value>
          <value t="str">
            <val>+4.55</val>
          </value>
          <value t="str">
            <val>-3.68</val>
          </value>
          <value t="str">
            <val>-2.33</val>
          </value>
          <value>
            <val>0</val>
          </value>
          <value>
            <val>0</val>
          </value>
        </values>
      </ddeItem>
      <ddeItem name="145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2022/07/04</val>
          </value>
          <value t="str">
            <val>2.00</val>
          </value>
          <value>
            <val>11.36</val>
          </value>
          <value t="str">
            <val>1.49</val>
          </value>
          <value t="str">
            <val>0.33</val>
          </value>
          <value t="str">
            <val>宏益</val>
          </value>
          <value t="str">
            <val>上市紡織纖維</val>
          </value>
          <value t="str">
            <val>台灣專業的加工絲一貫廠</val>
          </value>
        </values>
      </ddeItem>
      <ddeItem name="1452.TW-CName,InvestorConferenceDate,DateofMeetingofShareHolders,TradingDate" advise="1">
        <values cols="4">
          <value t="str">
            <val>宏益</val>
          </value>
          <value t="str">
            <val>2022/11/15</val>
          </value>
          <value t="str">
            <val>2022/06/15</val>
          </value>
          <value t="str">
            <val>2022/12/22</val>
          </value>
        </values>
      </ddeItem>
      <ddeItem name="1452.TW-ID,Name,MarketValue,Capital,NetIncomeGrowthRate,OperIncomeGrowthRate,FinancialStatementsTime,TFXRatio,MonthlyNetSalesYoY,RevenueMonth" advise="1">
        <values cols="10">
          <value t="str">
            <val>1452</val>
          </value>
          <value t="str">
            <val>宏益</val>
          </value>
          <value t="str">
            <val>23.3</val>
          </value>
          <value t="str">
            <val>13.26</val>
          </value>
          <value t="str">
            <val>-52.77</val>
          </value>
          <value t="str">
            <val>-35.67</val>
          </value>
          <value t="str">
            <val>2022/09</val>
          </value>
          <value t="str">
            <val>10.79</val>
          </value>
          <value t="str">
            <val>-36.28</val>
          </value>
          <value t="str">
            <val>2022/11</val>
          </value>
        </values>
      </ddeItem>
      <ddeItem name="1452.TW-OperatingProfitRatio,Price,PriceChangeRatio,InOutRatioNumber,Value,YearReturn,MonthReturn,WeekReturn,FinanceBalanceDif,ChipsField2" advise="1">
        <values cols="10">
          <value t="str">
            <val>7.70</val>
          </value>
          <value>
            <val>17.600000000000001</val>
          </value>
          <value>
            <val>0.86</val>
          </value>
          <value t="str">
            <val>76.67%</val>
          </value>
          <value t="str">
            <val>106萬</val>
          </value>
          <value t="str">
            <val>-18.69</val>
          </value>
          <value t="str">
            <val>+0.57</val>
          </value>
          <value t="str">
            <val>+1.15</val>
          </value>
          <value>
            <val>47</val>
          </value>
          <value>
            <val>0</val>
          </value>
        </values>
      </ddeItem>
      <ddeItem name="145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19</val>
          </value>
          <value t="str">
            <val>--</val>
          </value>
          <value t="str">
            <val>0.30</val>
          </value>
          <value>
            <val>1.98</val>
          </value>
          <value t="str">
            <val>0.91</val>
          </value>
          <value t="str">
            <val>0.00</val>
          </value>
          <value t="str">
            <val>大將</val>
          </value>
          <value t="str">
            <val>上市建材營造</val>
          </value>
          <value t="str">
            <val>主要經營營建開發及紡織買賣</val>
          </value>
        </values>
      </ddeItem>
      <ddeItem name="1453.TW-CName,InvestorConferenceDate,DateofMeetingofShareHolders,TradingDate" advise="1">
        <values cols="4">
          <value t="str">
            <val>大將</val>
          </value>
          <value t="str">
            <val>2022/12/02</val>
          </value>
          <value t="str">
            <val>2022/06/16</val>
          </value>
          <value t="str">
            <val>2022/12/22</val>
          </value>
        </values>
      </ddeItem>
      <ddeItem name="1453.TW-ID,Name,MarketValue,Capital,NetIncomeGrowthRate,OperIncomeGrowthRate,FinancialStatementsTime,TFXRatio,MonthlyNetSalesYoY,RevenueMonth" advise="1">
        <values cols="10">
          <value t="str">
            <val>1453</val>
          </value>
          <value t="str">
            <val>大將</val>
          </value>
          <value t="str">
            <val>15.7</val>
          </value>
          <value t="str">
            <val>10.36</val>
          </value>
          <value t="str">
            <val>-631.78</val>
          </value>
          <value t="str">
            <val>-72.48</val>
          </value>
          <value t="str">
            <val>2022/09</val>
          </value>
          <value t="str">
            <val>0.00</val>
          </value>
          <value t="str">
            <val>50.00</val>
          </value>
          <value t="str">
            <val>2022/11</val>
          </value>
        </values>
      </ddeItem>
      <ddeItem name="1453.TW-OperatingProfitRatio,Price,PriceChangeRatio,InOutRatioNumber,Value,YearReturn,MonthReturn,WeekReturn,FinanceBalanceDif,ChipsField2" advise="1">
        <values cols="10">
          <value t="str">
            <val>-10.26</val>
          </value>
          <value>
            <val>15.15</val>
          </value>
          <value>
            <val>-0.33</val>
          </value>
          <value t="str">
            <val>39.20%</val>
          </value>
          <value t="str">
            <val>192萬</val>
          </value>
          <value t="str">
            <val>+67.61</val>
          </value>
          <value t="str">
            <val>-0.98</val>
          </value>
          <value t="str">
            <val>-8.46</val>
          </value>
          <value>
            <val>-6</val>
          </value>
          <value>
            <val>0</val>
          </value>
        </values>
      </ddeItem>
      <ddeItem name="1454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0</val>
          </value>
          <value t="str">
            <val>2022/07/14</val>
          </value>
          <value t="str">
            <val>0.50</val>
          </value>
          <value>
            <val>3.88</val>
          </value>
          <value t="str">
            <val>0.35</val>
          </value>
          <value t="str">
            <val>0.18</val>
          </value>
          <value t="str">
            <val>台富</val>
          </value>
          <value t="str">
            <val>上市紡織纖維</val>
          </value>
          <value t="str">
            <val>台灣加工絲、織布一貫廠</val>
          </value>
        </values>
      </ddeItem>
      <ddeItem name="1454.TW-CName,InvestorConferenceDate,DateofMeetingofShareHolders,TradingDate" advise="1">
        <values cols="4">
          <value t="str">
            <val>台富</val>
          </value>
          <value t="str">
            <val>2022/12/01</val>
          </value>
          <value t="str">
            <val>2022/06/20</val>
          </value>
          <value t="str">
            <val>2022/12/22</val>
          </value>
        </values>
      </ddeItem>
      <ddeItem name="1454.TW-ID,Name,MarketValue,Capital,NetIncomeGrowthRate,OperIncomeGrowthRate,FinancialStatementsTime,TFXRatio,MonthlyNetSalesYoY,RevenueMonth" advise="1">
        <values cols="10">
          <value t="str">
            <val>1454</val>
          </value>
          <value t="str">
            <val>台富</val>
          </value>
          <value t="str">
            <val>16.7</val>
          </value>
          <value t="str">
            <val>12.98</val>
          </value>
          <value t="str">
            <val>518.44</val>
          </value>
          <value t="str">
            <val>414.29</val>
          </value>
          <value t="str">
            <val>2022/09</val>
          </value>
          <value t="str">
            <val>11.17</val>
          </value>
          <value t="str">
            <val>-1.11</val>
          </value>
          <value t="str">
            <val>2022/11</val>
          </value>
        </values>
      </ddeItem>
      <ddeItem name="1454.TW-OperatingProfitRatio,Price,PriceChangeRatio,InOutRatioNumber,Value,YearReturn,MonthReturn,WeekReturn,FinanceBalanceDif,ChipsField2" advise="1">
        <values cols="10">
          <value t="str">
            <val>2.90</val>
          </value>
          <value>
            <val>12.9</val>
          </value>
          <value>
            <val>0.78</val>
          </value>
          <value t="str">
            <val>89.29%</val>
          </value>
          <value t="str">
            <val>37.4萬</val>
          </value>
          <value t="str">
            <val>-9.71</val>
          </value>
          <value t="str">
            <val>-3.37</val>
          </value>
          <value t="str">
            <val>-0.77</val>
          </value>
          <value>
            <val>0</val>
          </value>
          <value>
            <val>0</val>
          </value>
        </values>
      </ddeItem>
      <ddeItem name="1455.TW-ChipsField3,ChipsField1,ChipsField25,CashAndStockDividend,CashDividendYieldRate,ProfitFourSeason,ProfitSingle,CName,ExchangeIndustry,CompanyPos" advise="1">
        <values cols="10">
          <value>
            <val>-40</val>
          </value>
          <value>
            <val>147</val>
          </value>
          <value t="str">
            <val>2022/08/09</val>
          </value>
          <value t="str">
            <val>0.80</val>
          </value>
          <value>
            <val>7.66</val>
          </value>
          <value t="str">
            <val>-0.19</val>
          </value>
          <value t="str">
            <val>-0.42</val>
          </value>
          <value t="str">
            <val>集盛</val>
          </value>
          <value t="str">
            <val>上市紡織纖維</val>
          </value>
          <value t="str">
            <val>台灣第三大尼龍粒廠商及第四大聚酯加工絲廠商</val>
          </value>
        </values>
      </ddeItem>
      <ddeItem name="1455.TW-CName,InvestorConferenceDate,DateofMeetingofShareHolders,TradingDate" advise="1">
        <values cols="4">
          <value t="str">
            <val>集盛</val>
          </value>
          <value t="str">
            <val>2022/12/15</val>
          </value>
          <value t="str">
            <val>2022/06/08</val>
          </value>
          <value t="str">
            <val>2022/12/22</val>
          </value>
        </values>
      </ddeItem>
      <ddeItem name="1455.TW-ID,Name,MarketValue,Capital,NetIncomeGrowthRate,OperIncomeGrowthRate,FinancialStatementsTime,TFXRatio,MonthlyNetSalesYoY,RevenueMonth" advise="1">
        <values cols="10">
          <value t="str">
            <val>1455</val>
          </value>
          <value t="str">
            <val>集盛</val>
          </value>
          <value t="str">
            <val>55.6</val>
          </value>
          <value t="str">
            <val>53.17</val>
          </value>
          <value t="str">
            <val>-121.12</val>
          </value>
          <value t="str">
            <val>-103.78</val>
          </value>
          <value t="str">
            <val>2022/09</val>
          </value>
          <value t="str">
            <val>-1.39</val>
          </value>
          <value t="str">
            <val>-39.72</val>
          </value>
          <value t="str">
            <val>2022/11</val>
          </value>
        </values>
      </ddeItem>
      <ddeItem name="1455.TW-OperatingProfitRatio,Price,PriceChangeRatio,InOutRatioNumber,Value,YearReturn,MonthReturn,WeekReturn,FinanceBalanceDif,ChipsField2" advise="1">
        <values cols="10">
          <value t="str">
            <val>-0.31</val>
          </value>
          <value>
            <val>10.45</val>
          </value>
          <value>
            <val>1.95</val>
          </value>
          <value t="str">
            <val>53.33%</val>
          </value>
          <value t="str">
            <val>425萬</val>
          </value>
          <value t="str">
            <val>-33.06</val>
          </value>
          <value t="str">
            <val>+0.48</val>
          </value>
          <value t="str">
            <val>+0.48</val>
          </value>
          <value>
            <val>-67</val>
          </value>
          <value>
            <val>0</val>
          </value>
        </values>
      </ddeItem>
      <ddeItem name="145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2022/06/16</val>
          </value>
          <value t="str">
            <val>1.50</val>
          </value>
          <value>
            <val>9.84</val>
          </value>
          <value t="str">
            <val>0.21</val>
          </value>
          <value t="str">
            <val>-0.30</val>
          </value>
          <value t="str">
            <val>怡華</val>
          </value>
          <value t="str">
            <val>上市建材營造</val>
          </value>
          <value t="str">
            <val>元邦集團旗下，為綜合性紡織廠及營建商</val>
          </value>
        </values>
      </ddeItem>
      <ddeItem name="1456.TW-CName,InvestorConferenceDate,DateofMeetingofShareHolders,TradingDate" advise="1">
        <values cols="4">
          <value t="str">
            <val>怡華</val>
          </value>
          <value t="str">
            <val>2022/09/23</val>
          </value>
          <value t="str">
            <val>2022/05/30</val>
          </value>
          <value t="str">
            <val>2022/12/22</val>
          </value>
        </values>
      </ddeItem>
      <ddeItem name="1456.TW-ID,Name,MarketValue,Capital,NetIncomeGrowthRate,OperIncomeGrowthRate,FinancialStatementsTime,TFXRatio,MonthlyNetSalesYoY,RevenueMonth" advise="1">
        <values cols="10">
          <value t="str">
            <val>1456</val>
          </value>
          <value t="str">
            <val>怡華</val>
          </value>
          <value t="str">
            <val>14.3</val>
          </value>
          <value t="str">
            <val>9.37</val>
          </value>
          <value t="str">
            <val>-130.54</val>
          </value>
          <value t="str">
            <val>-87.41</val>
          </value>
          <value t="str">
            <val>2022/09</val>
          </value>
          <value t="str">
            <val>36.83</val>
          </value>
          <value t="str">
            <val>-53.82</val>
          </value>
          <value t="str">
            <val>2022/11</val>
          </value>
        </values>
      </ddeItem>
      <ddeItem name="1456.TW-OperatingProfitRatio,Price,PriceChangeRatio,InOutRatioNumber,Value,YearReturn,MonthReturn,WeekReturn,FinanceBalanceDif,ChipsField2" advise="1">
        <values cols="10">
          <value t="str">
            <val>11.20</val>
          </value>
          <value>
            <val>15.25</val>
          </value>
          <value>
            <val>0</val>
          </value>
          <value t="str">
            <val>38.10%</val>
          </value>
          <value t="str">
            <val>36.7萬</val>
          </value>
          <value t="str">
            <val>-24.83</val>
          </value>
          <value t="str">
            <val>-6.44</val>
          </value>
          <value t="str">
            <val>-4.98</val>
          </value>
          <value>
            <val>-7</val>
          </value>
          <value>
            <val>0</val>
          </value>
        </values>
      </ddeItem>
      <ddeItem name="1457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-23</val>
          </value>
          <value t="str">
            <val>2022/07/11</val>
          </value>
          <value t="str">
            <val>1.00</val>
          </value>
          <value>
            <val>5.32</val>
          </value>
          <value t="str">
            <val>4.44</val>
          </value>
          <value t="str">
            <val>0.16</val>
          </value>
          <value t="str">
            <val>宜進</val>
          </value>
          <value t="str">
            <val>上市紡織纖維</val>
          </value>
          <value t="str">
            <val>台灣前五大加工絲廠之一</val>
          </value>
        </values>
      </ddeItem>
      <ddeItem name="1457.TW-CName,InvestorConferenceDate,DateofMeetingofShareHolders,TradingDate" advise="1">
        <values cols="4">
          <value t="str">
            <val>宜進</val>
          </value>
          <value t="str">
            <val>2022/12/13</val>
          </value>
          <value t="str">
            <val>2022/06/24</val>
          </value>
          <value t="str">
            <val>2022/12/22</val>
          </value>
        </values>
      </ddeItem>
      <ddeItem name="1457.TW-ID,Name,MarketValue,Capital,NetIncomeGrowthRate,OperIncomeGrowthRate,FinancialStatementsTime,TFXRatio,MonthlyNetSalesYoY,RevenueMonth" advise="1">
        <values cols="10">
          <value t="str">
            <val>1457</val>
          </value>
          <value t="str">
            <val>宜進</val>
          </value>
          <value t="str">
            <val>56.7</val>
          </value>
          <value t="str">
            <val>30.16</val>
          </value>
          <value t="str">
            <val>468.95</val>
          </value>
          <value t="str">
            <val>0.56</val>
          </value>
          <value t="str">
            <val>2022/09</val>
          </value>
          <value t="str">
            <val>-21.86</val>
          </value>
          <value t="str">
            <val>-21.46</val>
          </value>
          <value t="str">
            <val>2022/11</val>
          </value>
        </values>
      </ddeItem>
      <ddeItem name="1457.TW-OperatingProfitRatio,Price,PriceChangeRatio,InOutRatioNumber,Value,YearReturn,MonthReturn,WeekReturn,FinanceBalanceDif,ChipsField2" advise="1">
        <values cols="10">
          <value t="str">
            <val>7.45</val>
          </value>
          <value>
            <val>18.8</val>
          </value>
          <value>
            <val>0.8</val>
          </value>
          <value t="str">
            <val>68.60%</val>
          </value>
          <value t="str">
            <val>163萬</val>
          </value>
          <value t="str">
            <val>+8.87</val>
          </value>
          <value t="str">
            <val>+1.62</val>
          </value>
          <value t="str">
            <val>-0.27</val>
          </value>
          <value>
            <val>76</val>
          </value>
          <value>
            <val>0</val>
          </value>
        </values>
      </ddeItem>
      <ddeItem name="1459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-23</val>
          </value>
          <value t="str">
            <val>2022/07/22</val>
          </value>
          <value t="str">
            <val>0.20</val>
          </value>
          <value>
            <val>2.35</val>
          </value>
          <value t="str">
            <val>-1.29</val>
          </value>
          <value t="str">
            <val>-0.70</val>
          </value>
          <value t="str">
            <val>聯發</val>
          </value>
          <value t="str">
            <val>上市紡織纖維</val>
          </value>
          <value t="str">
            <val>台灣十大聚酯加工絲廠之一</val>
          </value>
        </values>
      </ddeItem>
      <ddeItem name="1459.TW-CName,InvestorConferenceDate,DateofMeetingofShareHolders,TradingDate" advise="1">
        <values cols="4">
          <value t="str">
            <val>聯發</val>
          </value>
          <value t="str">
            <val>--</val>
          </value>
          <value t="str">
            <val>2022/06/24</val>
          </value>
          <value t="str">
            <val>2022/12/22</val>
          </value>
        </values>
      </ddeItem>
      <ddeItem name="1459.TW-ID,Name,MarketValue,Capital,NetIncomeGrowthRate,OperIncomeGrowthRate,FinancialStatementsTime,TFXRatio,MonthlyNetSalesYoY,RevenueMonth" advise="1">
        <values cols="10">
          <value t="str">
            <val>1459</val>
          </value>
          <value t="str">
            <val>聯發</val>
          </value>
          <value t="str">
            <val>30.5</val>
          </value>
          <value t="str">
            <val>35.86</val>
          </value>
          <value t="str">
            <val>-165.21</val>
          </value>
          <value t="str">
            <val>-151.43</val>
          </value>
          <value t="str">
            <val>2022/09</val>
          </value>
          <value t="str">
            <val>31.86</val>
          </value>
          <value t="str">
            <val>-35.98</val>
          </value>
          <value t="str">
            <val>2022/11</val>
          </value>
        </values>
      </ddeItem>
      <ddeItem name="1459.TW-OperatingProfitRatio,Price,PriceChangeRatio,InOutRatioNumber,Value,YearReturn,MonthReturn,WeekReturn,FinanceBalanceDif,ChipsField2" advise="1">
        <values cols="10">
          <value t="str">
            <val>-4.01</val>
          </value>
          <value>
            <val>8.5</val>
          </value>
          <value>
            <val>-1.73</val>
          </value>
          <value t="str">
            <val>37.63%</val>
          </value>
          <value t="str">
            <val>80.6萬</val>
          </value>
          <value t="str">
            <val>-33.70</val>
          </value>
          <value t="str">
            <val>+3.66</val>
          </value>
          <value t="str">
            <val>-0.70</val>
          </value>
          <value>
            <val>-37</val>
          </value>
          <value>
            <val>0</val>
          </value>
        </values>
      </ddeItem>
      <ddeItem name="146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-9</val>
          </value>
          <value t="str">
            <val>--</val>
          </value>
          <value t="str">
            <val>0.00</val>
          </value>
          <value>
            <val>0</val>
          </value>
          <value t="str">
            <val>-0.47</val>
          </value>
          <value t="str">
            <val>-0.05</val>
          </value>
          <value t="str">
            <val>宏遠</val>
          </value>
          <value t="str">
            <val>上市紡織纖維</val>
          </value>
          <value t="str">
            <val>遠東集團旗下，是一家長短織一貫布廠</val>
          </value>
        </values>
      </ddeItem>
      <ddeItem name="1460.TW-CName,InvestorConferenceDate,DateofMeetingofShareHolders,TradingDate" advise="1">
        <values cols="4">
          <value t="str">
            <val>宏遠</val>
          </value>
          <value t="str">
            <val>2022/07/08</val>
          </value>
          <value t="str">
            <val>2022/06/16</val>
          </value>
          <value t="str">
            <val>2022/12/22</val>
          </value>
        </values>
      </ddeItem>
      <ddeItem name="1460.TW-ID,Name,MarketValue,Capital,NetIncomeGrowthRate,OperIncomeGrowthRate,FinancialStatementsTime,TFXRatio,MonthlyNetSalesYoY,RevenueMonth" advise="1">
        <values cols="10">
          <value t="str">
            <val>1460</val>
          </value>
          <value t="str">
            <val>宏遠</val>
          </value>
          <value t="str">
            <val>49.9</val>
          </value>
          <value t="str">
            <val>69.46</val>
          </value>
          <value t="str">
            <val>-446.17</val>
          </value>
          <value t="str">
            <val>-74.29</val>
          </value>
          <value t="str">
            <val>2022/09</val>
          </value>
          <value t="str">
            <val>16.26</val>
          </value>
          <value t="str">
            <val>-23.56</val>
          </value>
          <value t="str">
            <val>2022/11</val>
          </value>
        </values>
      </ddeItem>
      <ddeItem name="1460.TW-OperatingProfitRatio,Price,PriceChangeRatio,InOutRatioNumber,Value,YearReturn,MonthReturn,WeekReturn,FinanceBalanceDif,ChipsField2" advise="1">
        <values cols="10">
          <value t="str">
            <val>0.79</val>
          </value>
          <value>
            <val>7.19</val>
          </value>
          <value>
            <val>1.27</val>
          </value>
          <value t="str">
            <val>69.80%</val>
          </value>
          <value t="str">
            <val>251萬</val>
          </value>
          <value t="str">
            <val>-23.75</val>
          </value>
          <value t="str">
            <val>+2.13</val>
          </value>
          <value t="str">
            <val>-0.83</val>
          </value>
          <value>
            <val>0</val>
          </value>
          <value>
            <val>0</val>
          </value>
        </values>
      </ddeItem>
      <ddeItem name="146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2022/08/01</val>
          </value>
          <value t="str">
            <val>0.40</val>
          </value>
          <value>
            <val>2.78</val>
          </value>
          <value t="str">
            <val>0.38</val>
          </value>
          <value t="str">
            <val>0.28</val>
          </value>
          <value t="str">
            <val>強盛</val>
          </value>
          <value t="str">
            <val>上市紡織纖維</val>
          </value>
          <value t="str">
            <val>台灣專業的染整廠之一</val>
          </value>
        </values>
      </ddeItem>
      <ddeItem name="1463.TW-CName,InvestorConferenceDate,DateofMeetingofShareHolders,TradingDate" advise="1">
        <values cols="4">
          <value t="str">
            <val>強盛</val>
          </value>
          <value t="str">
            <val>2022/12/14</val>
          </value>
          <value t="str">
            <val>2022/06/27</val>
          </value>
          <value t="str">
            <val>2022/12/22</val>
          </value>
        </values>
      </ddeItem>
      <ddeItem name="1463.TW-ID,Name,MarketValue,Capital,NetIncomeGrowthRate,OperIncomeGrowthRate,FinancialStatementsTime,TFXRatio,MonthlyNetSalesYoY,RevenueMonth" advise="1">
        <values cols="10">
          <value t="str">
            <val>1463</val>
          </value>
          <value t="str">
            <val>強盛</val>
          </value>
          <value t="str">
            <val>25.0</val>
          </value>
          <value t="str">
            <val>17.33</val>
          </value>
          <value t="str">
            <val>-56.70</val>
          </value>
          <value t="str">
            <val>286.13</val>
          </value>
          <value t="str">
            <val>2022/09</val>
          </value>
          <value t="str">
            <val>-27.88</val>
          </value>
          <value t="str">
            <val>-27.35</val>
          </value>
          <value t="str">
            <val>2022/11</val>
          </value>
        </values>
      </ddeItem>
      <ddeItem name="1463.TW-OperatingProfitRatio,Price,PriceChangeRatio,InOutRatioNumber,Value,YearReturn,MonthReturn,WeekReturn,FinanceBalanceDif,ChipsField2" advise="1">
        <values cols="10">
          <value t="str">
            <val>2.13</val>
          </value>
          <value>
            <val>14.4</val>
          </value>
          <value>
            <val>0.35</val>
          </value>
          <value t="str">
            <val>97.06%</val>
          </value>
          <value t="str">
            <val>49.0萬</val>
          </value>
          <value t="str">
            <val>+1.88</val>
          </value>
          <value t="str">
            <val>+2.49</val>
          </value>
          <value t="str">
            <val>+0.35</val>
          </value>
          <value>
            <val>-3</val>
          </value>
          <value>
            <val>0</val>
          </value>
        </values>
      </ddeItem>
      <ddeItem name="1464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9</val>
          </value>
          <value t="str">
            <val>2022/07/05</val>
          </value>
          <value t="str">
            <val>0.25</val>
          </value>
          <value>
            <val>1.77</val>
          </value>
          <value t="str">
            <val>1.09</val>
          </value>
          <value t="str">
            <val>0.45</val>
          </value>
          <value t="str">
            <val>得力</val>
          </value>
          <value t="str">
            <val>上市紡織纖維</val>
          </value>
          <value t="str">
            <val>台灣老牌織染一貫化布廠</val>
          </value>
        </values>
      </ddeItem>
      <ddeItem name="1464.TW-CName,InvestorConferenceDate,DateofMeetingofShareHolders,TradingDate" advise="1">
        <values cols="4">
          <value t="str">
            <val>得力</val>
          </value>
          <value t="str">
            <val>2022/08/25</val>
          </value>
          <value t="str">
            <val>2022/06/17</val>
          </value>
          <value t="str">
            <val>2022/12/22</val>
          </value>
        </values>
      </ddeItem>
      <ddeItem name="1464.TW-ID,Name,MarketValue,Capital,NetIncomeGrowthRate,OperIncomeGrowthRate,FinancialStatementsTime,TFXRatio,MonthlyNetSalesYoY,RevenueMonth" advise="1">
        <values cols="10">
          <value t="str">
            <val>1464</val>
          </value>
          <value t="str">
            <val>得力</val>
          </value>
          <value t="str">
            <val>54.4</val>
          </value>
          <value t="str">
            <val>38.46</val>
          </value>
          <value t="str">
            <val>166.39</val>
          </value>
          <value t="str">
            <val>-122.14</val>
          </value>
          <value t="str">
            <val>2022/09</val>
          </value>
          <value t="str">
            <val>-2.63</val>
          </value>
          <value t="str">
            <val>5.09</val>
          </value>
          <value t="str">
            <val>2022/11</val>
          </value>
        </values>
      </ddeItem>
      <ddeItem name="1464.TW-OperatingProfitRatio,Price,PriceChangeRatio,InOutRatioNumber,Value,YearReturn,MonthReturn,WeekReturn,FinanceBalanceDif,ChipsField2" advise="1">
        <values cols="10">
          <value t="str">
            <val>-0.79</val>
          </value>
          <value>
            <val>14.15</val>
          </value>
          <value>
            <val>1.43</val>
          </value>
          <value t="str">
            <val>56.73%</val>
          </value>
          <value t="str">
            <val>149萬</val>
          </value>
          <value t="str">
            <val>-6.94</val>
          </value>
          <value t="str">
            <val>-2.75</val>
          </value>
          <value t="str">
            <val>-1.39</val>
          </value>
          <value>
            <val>7</val>
          </value>
          <value>
            <val>0</val>
          </value>
        </values>
      </ddeItem>
      <ddeItem name="146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2022/07/19</val>
          </value>
          <value t="str">
            <val>0.30</val>
          </value>
          <value>
            <val>2.16</val>
          </value>
          <value t="str">
            <val>0.99</val>
          </value>
          <value t="str">
            <val>0.60</val>
          </value>
          <value t="str">
            <val>偉全</val>
          </value>
          <value t="str">
            <val>上市紡織纖維</val>
          </value>
          <value t="str">
            <val>台灣專業的長纖布廠</val>
          </value>
        </values>
      </ddeItem>
      <ddeItem name="1465.TW-CName,InvestorConferenceDate,DateofMeetingofShareHolders,TradingDate" advise="1">
        <values cols="4">
          <value t="str">
            <val>偉全</val>
          </value>
          <value t="str">
            <val>2022/09/15</val>
          </value>
          <value t="str">
            <val>2022/06/09</val>
          </value>
          <value t="str">
            <val>2022/12/22</val>
          </value>
        </values>
      </ddeItem>
      <ddeItem name="1465.TW-ID,Name,MarketValue,Capital,NetIncomeGrowthRate,OperIncomeGrowthRate,FinancialStatementsTime,TFXRatio,MonthlyNetSalesYoY,RevenueMonth" advise="1">
        <values cols="10">
          <value t="str">
            <val>1465</val>
          </value>
          <value t="str">
            <val>偉全</val>
          </value>
          <value t="str">
            <val>14.4</val>
          </value>
          <value t="str">
            <val>10.36</val>
          </value>
          <value t="str">
            <val>225.83</val>
          </value>
          <value t="str">
            <val>78.59</val>
          </value>
          <value t="str">
            <val>2022/09</val>
          </value>
          <value t="str">
            <val>-14.31</val>
          </value>
          <value t="str">
            <val>11.23</val>
          </value>
          <value t="str">
            <val>2022/11</val>
          </value>
        </values>
      </ddeItem>
      <ddeItem name="1465.TW-OperatingProfitRatio,Price,PriceChangeRatio,InOutRatioNumber,Value,YearReturn,MonthReturn,WeekReturn,FinanceBalanceDif,ChipsField2" advise="1">
        <values cols="10">
          <value t="str">
            <val>-1.50</val>
          </value>
          <value>
            <val>13.9</val>
          </value>
          <value>
            <val>0</val>
          </value>
          <value t="str">
            <val>66.67%</val>
          </value>
          <value t="str">
            <val>16.7萬</val>
          </value>
          <value t="str">
            <val>+13.93</val>
          </value>
          <value t="str">
            <val>+0.36</val>
          </value>
          <value t="str">
            <val>-0.36</val>
          </value>
          <value>
            <val>-28</val>
          </value>
          <value>
            <val>0</val>
          </value>
        </values>
      </ddeItem>
      <ddeItem name="146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-4</val>
          </value>
          <value t="str">
            <val>2022/08/24</val>
          </value>
          <value t="str">
            <val>1.00</val>
          </value>
          <value>
            <val>8.33</val>
          </value>
          <value t="str">
            <val>0.35</val>
          </value>
          <value t="str">
            <val>-0.40</val>
          </value>
          <value t="str">
            <val>聚隆</val>
          </value>
          <value t="str">
            <val>上市紡織纖維</val>
          </value>
          <value t="str">
            <val>台灣第二大的尼龍加工絲廠</val>
          </value>
        </values>
      </ddeItem>
      <ddeItem name="1466.TW-CName,InvestorConferenceDate,DateofMeetingofShareHolders,TradingDate" advise="1">
        <values cols="4">
          <value t="str">
            <val>聚隆</val>
          </value>
          <value t="str">
            <val>2022/11/30</val>
          </value>
          <value t="str">
            <val>2022/06/29</val>
          </value>
          <value t="str">
            <val>2022/12/22</val>
          </value>
        </values>
      </ddeItem>
      <ddeItem name="1466.TW-ID,Name,MarketValue,Capital,NetIncomeGrowthRate,OperIncomeGrowthRate,FinancialStatementsTime,TFXRatio,MonthlyNetSalesYoY,RevenueMonth" advise="1">
        <values cols="10">
          <value t="str">
            <val>1466</val>
          </value>
          <value t="str">
            <val>聚隆</val>
          </value>
          <value t="str">
            <val>13.3</val>
          </value>
          <value t="str">
            <val>11.12</val>
          </value>
          <value t="str">
            <val>-98.49</val>
          </value>
          <value t="str">
            <val>-129.41</val>
          </value>
          <value t="str">
            <val>2022/09</val>
          </value>
          <value t="str">
            <val>34.05</val>
          </value>
          <value t="str">
            <val>-27.57</val>
          </value>
          <value t="str">
            <val>2022/11</val>
          </value>
        </values>
      </ddeItem>
      <ddeItem name="1466.TW-OperatingProfitRatio,Price,PriceChangeRatio,InOutRatioNumber,Value,YearReturn,MonthReturn,WeekReturn,FinanceBalanceDif,ChipsField2" advise="1">
        <values cols="10">
          <value t="str">
            <val>-2.64</val>
          </value>
          <value>
            <val>12</val>
          </value>
          <value>
            <val>-2.04</val>
          </value>
          <value t="str">
            <val>34.65%</val>
          </value>
          <value t="str">
            <val>155萬</val>
          </value>
          <value t="str">
            <val>-14.48</val>
          </value>
          <value t="str">
            <val>+6.67</val>
          </value>
          <value t="str">
            <val>+1.69</val>
          </value>
          <value>
            <val>9</val>
          </value>
          <value>
            <val>0</val>
          </value>
        </values>
      </ddeItem>
      <ddeItem name="146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-184</val>
          </value>
          <value t="str">
            <val>--</val>
          </value>
          <value t="str">
            <val>0.00</val>
          </value>
          <value>
            <val>0</val>
          </value>
          <value t="str">
            <val>0.30</val>
          </value>
          <value t="str">
            <val>0.00</val>
          </value>
          <value t="str">
            <val>南緯</val>
          </value>
          <value t="str">
            <val>上市紡織纖維</val>
          </value>
          <value t="str">
            <val>為品牌大廠代工及與Wal-mart合作的成衣廠</val>
          </value>
        </values>
      </ddeItem>
      <ddeItem name="1467.TW-CName,InvestorConferenceDate,DateofMeetingofShareHolders,TradingDate" advise="1">
        <values cols="4">
          <value t="str">
            <val>南緯</val>
          </value>
          <value t="str">
            <val>2022/12/16</val>
          </value>
          <value t="str">
            <val>2022/06/15</val>
          </value>
          <value t="str">
            <val>2022/12/22</val>
          </value>
        </values>
      </ddeItem>
      <ddeItem name="1467.TW-ID,Name,MarketValue,Capital,NetIncomeGrowthRate,OperIncomeGrowthRate,FinancialStatementsTime,TFXRatio,MonthlyNetSalesYoY,RevenueMonth" advise="1">
        <values cols="10">
          <value t="str">
            <val>1467</val>
          </value>
          <value t="str">
            <val>南緯</val>
          </value>
          <value t="str">
            <val>18.7</val>
          </value>
          <value t="str">
            <val>23.36</val>
          </value>
          <value t="str">
            <val>137.29</val>
          </value>
          <value t="str">
            <val>50.50</val>
          </value>
          <value t="str">
            <val>2022/09</val>
          </value>
          <value t="str">
            <val>4.07</val>
          </value>
          <value t="str">
            <val>-29.83</val>
          </value>
          <value t="str">
            <val>2022/11</val>
          </value>
        </values>
      </ddeItem>
      <ddeItem name="1467.TW-OperatingProfitRatio,Price,PriceChangeRatio,InOutRatioNumber,Value,YearReturn,MonthReturn,WeekReturn,FinanceBalanceDif,ChipsField2" advise="1">
        <values cols="10">
          <value t="str">
            <val>2.13</val>
          </value>
          <value>
            <val>11.1</val>
          </value>
          <value>
            <val>0</val>
          </value>
          <value t="str">
            <val>39.00%</val>
          </value>
          <value t="str">
            <val>947萬</val>
          </value>
          <value t="str">
            <val>-19.27</val>
          </value>
          <value t="str">
            <val>-11.55</val>
          </value>
          <value t="str">
            <val>-8.64</val>
          </value>
          <value>
            <val>18</val>
          </value>
          <value>
            <val>0</val>
          </value>
        </values>
      </ddeItem>
      <ddeItem name="1468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-7</val>
          </value>
          <value t="str">
            <val>--</val>
          </value>
          <value t="str">
            <val>0.00</val>
          </value>
          <value>
            <val>0</val>
          </value>
          <value t="str">
            <val>0.95</val>
          </value>
          <value t="str">
            <val>0.65</val>
          </value>
          <value t="str">
            <val>昶和</val>
          </value>
          <value t="str">
            <val>上市紡織纖維</val>
          </value>
          <value t="str">
            <val>尼龍長織布廠</val>
          </value>
        </values>
      </ddeItem>
      <ddeItem name="1468.TW-CName,InvestorConferenceDate,DateofMeetingofShareHolders,TradingDate" advise="1">
        <values cols="4">
          <value t="str">
            <val>昶和</val>
          </value>
          <value t="str">
            <val>2022/11/01</val>
          </value>
          <value t="str">
            <val>2022/06/15</val>
          </value>
          <value t="str">
            <val>2022/12/22</val>
          </value>
        </values>
      </ddeItem>
      <ddeItem name="1468.TW-ID,Name,MarketValue,Capital,NetIncomeGrowthRate,OperIncomeGrowthRate,FinancialStatementsTime,TFXRatio,MonthlyNetSalesYoY,RevenueMonth" advise="1">
        <values cols="10">
          <value t="str">
            <val>1468</val>
          </value>
          <value t="str">
            <val>昶和</val>
          </value>
          <value t="str">
            <val>21.5</val>
          </value>
          <value t="str">
            <val>16.04</val>
          </value>
          <value t="str">
            <val>922.40</val>
          </value>
          <value t="str">
            <val>1502.24</val>
          </value>
          <value t="str">
            <val>2022/09</val>
          </value>
          <value t="str">
            <val>53.33</val>
          </value>
          <value t="str">
            <val>28.81</val>
          </value>
          <value t="str">
            <val>2022/11</val>
          </value>
        </values>
      </ddeItem>
      <ddeItem name="1468.TW-OperatingProfitRatio,Price,PriceChangeRatio,InOutRatioNumber,Value,YearReturn,MonthReturn,WeekReturn,FinanceBalanceDif,ChipsField2" advise="1">
        <values cols="10">
          <value t="str">
            <val>1.49</val>
          </value>
          <value>
            <val>13.4</val>
          </value>
          <value>
            <val>1.1299999999999999</val>
          </value>
          <value t="str">
            <val>69.44%</val>
          </value>
          <value t="str">
            <val>49.2萬</val>
          </value>
          <value t="str">
            <val>+4.69</val>
          </value>
          <value t="str">
            <val>+4.69</val>
          </value>
          <value t="str">
            <val>-1.11</val>
          </value>
          <value>
            <val>0</val>
          </value>
          <value>
            <val>0</val>
          </value>
        </values>
      </ddeItem>
      <ddeItem name="147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</val>
          </value>
          <value t="str">
            <val>2022/07/28</val>
          </value>
          <value t="str">
            <val>0.80</val>
          </value>
          <value>
            <val>4.42</val>
          </value>
          <value t="str">
            <val>0.58</val>
          </value>
          <value t="str">
            <val>0.15</val>
          </value>
          <value t="str">
            <val>大統新創</val>
          </value>
          <value t="str">
            <val>上市紡織纖維</val>
          </value>
          <value t="str">
            <val>台灣知名的染整廠，並跨足機能布</val>
          </value>
        </values>
      </ddeItem>
      <ddeItem name="1470.TW-CName,InvestorConferenceDate,DateofMeetingofShareHolders,TradingDate" advise="1">
        <values cols="4">
          <value t="str">
            <val>大統新創</val>
          </value>
          <value t="str">
            <val>2022/09/30</val>
          </value>
          <value t="str">
            <val>2022/06/30</val>
          </value>
          <value t="str">
            <val>2022/12/22</val>
          </value>
        </values>
      </ddeItem>
      <ddeItem name="1470.TW-ID,Name,MarketValue,Capital,NetIncomeGrowthRate,OperIncomeGrowthRate,FinancialStatementsTime,TFXRatio,MonthlyNetSalesYoY,RevenueMonth" advise="1">
        <values cols="10">
          <value t="str">
            <val>1470</val>
          </value>
          <value t="str">
            <val>大統新創</val>
          </value>
          <value t="str">
            <val>15.5</val>
          </value>
          <value t="str">
            <val>8.58</val>
          </value>
          <value t="str">
            <val>-31.32</val>
          </value>
          <value t="str">
            <val>48.32</val>
          </value>
          <value t="str">
            <val>2022/09</val>
          </value>
          <value t="str">
            <val>-33.69</val>
          </value>
          <value t="str">
            <val>-55.15</val>
          </value>
          <value t="str">
            <val>2022/11</val>
          </value>
        </values>
      </ddeItem>
      <ddeItem name="1470.TW-OperatingProfitRatio,Price,PriceChangeRatio,InOutRatioNumber,Value,YearReturn,MonthReturn,WeekReturn,FinanceBalanceDif,ChipsField2" advise="1">
        <values cols="10">
          <value t="str">
            <val>10.55</val>
          </value>
          <value>
            <val>18.100000000000001</val>
          </value>
          <value>
            <val>0.56000000000000005</val>
          </value>
          <value t="str">
            <val>77.78%</val>
          </value>
          <value t="str">
            <val>19.9萬</val>
          </value>
          <value t="str">
            <val>+6.65</val>
          </value>
          <value t="str">
            <val>-4.49</val>
          </value>
          <value t="str">
            <val>-4.23</val>
          </value>
          <value>
            <val>-5</val>
          </value>
          <value>
            <val>0</val>
          </value>
        </values>
      </ddeItem>
      <ddeItem name="147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</val>
          </value>
          <value t="str">
            <val>--</val>
          </value>
          <value t="str">
            <val>0.00</val>
          </value>
          <value>
            <val>0</val>
          </value>
          <value t="str">
            <val>-0.59</val>
          </value>
          <value t="str">
            <val>-0.13</val>
          </value>
          <value t="str">
            <val>首利</val>
          </value>
          <value t="str">
            <val>上市電子零組件</val>
          </value>
          <value t="str">
            <val>台灣專攻Clone市場PC用的電源供應器與機殼廠</val>
          </value>
        </values>
      </ddeItem>
      <ddeItem name="1471.TW-CName,InvestorConferenceDate,DateofMeetingofShareHolders,TradingDate" advise="1">
        <values cols="4">
          <value t="str">
            <val>首利</val>
          </value>
          <value t="str">
            <val>2022/12/08</val>
          </value>
          <value t="str">
            <val>2022/06/21</val>
          </value>
          <value t="str">
            <val>2022/12/22</val>
          </value>
        </values>
      </ddeItem>
      <ddeItem name="1471.TW-ID,Name,MarketValue,Capital,NetIncomeGrowthRate,OperIncomeGrowthRate,FinancialStatementsTime,TFXRatio,MonthlyNetSalesYoY,RevenueMonth" advise="1">
        <values cols="10">
          <value t="str">
            <val>1471</val>
          </value>
          <value t="str">
            <val>首利</val>
          </value>
          <value t="str">
            <val>11.2</val>
          </value>
          <value t="str">
            <val>15.04</val>
          </value>
          <value t="str">
            <val>-120.48</val>
          </value>
          <value t="str">
            <val>-21.80</val>
          </value>
          <value t="str">
            <val>2022/09</val>
          </value>
          <value t="str">
            <val>32.45</val>
          </value>
          <value t="str">
            <val>-15.13</val>
          </value>
          <value t="str">
            <val>2022/11</val>
          </value>
        </values>
      </ddeItem>
      <ddeItem name="1471.TW-OperatingProfitRatio,Price,PriceChangeRatio,InOutRatioNumber,Value,YearReturn,MonthReturn,WeekReturn,FinanceBalanceDif,ChipsField2" advise="1">
        <values cols="10">
          <value t="str">
            <val>-74.23</val>
          </value>
          <value>
            <val>7.71</val>
          </value>
          <value>
            <val>0</val>
          </value>
          <value t="str">
            <val>18.97%</val>
          </value>
          <value t="str">
            <val>90.3萬</val>
          </value>
          <value t="str">
            <val>-11.89</val>
          </value>
          <value t="str">
            <val>+2.12</val>
          </value>
          <value t="str">
            <val>-5.51</val>
          </value>
          <value>
            <val>0</val>
          </value>
          <value>
            <val>0</val>
          </value>
        </values>
      </ddeItem>
      <ddeItem name="147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-0.20</val>
          </value>
          <value t="str">
            <val>-0.42</val>
          </value>
          <value t="str">
            <val>三洋實業</val>
          </value>
          <value t="str">
            <val>上市紡織纖維</val>
          </value>
          <value t="str">
            <val>轉型為公共工程營造廠</val>
          </value>
        </values>
      </ddeItem>
      <ddeItem name="1472.TW-CName,InvestorConferenceDate,DateofMeetingofShareHolders,TradingDate" advise="1">
        <values cols="4">
          <value t="str">
            <val>三洋實業</val>
          </value>
          <value t="str">
            <val>2021/12/30</val>
          </value>
          <value t="str">
            <val>2022/06/08</val>
          </value>
          <value t="str">
            <val>2022/12/22</val>
          </value>
        </values>
      </ddeItem>
      <ddeItem name="1472.TW-ID,Name,MarketValue,Capital,NetIncomeGrowthRate,OperIncomeGrowthRate,FinancialStatementsTime,TFXRatio,MonthlyNetSalesYoY,RevenueMonth" advise="1">
        <values cols="10">
          <value t="str">
            <val>1472</val>
          </value>
          <value t="str">
            <val>三洋實業</val>
          </value>
          <value t="str">
            <val>5.4</val>
          </value>
          <value t="str">
            <val>2.50</val>
          </value>
          <value t="str">
            <val>105.49</val>
          </value>
          <value t="str">
            <val>-333.66</val>
          </value>
          <value t="str">
            <val>2022/09</val>
          </value>
          <value t="str">
            <val>-0.67</val>
          </value>
          <value t="str">
            <val>994.38</val>
          </value>
          <value t="str">
            <val>2022/11</val>
          </value>
        </values>
      </ddeItem>
      <ddeItem name="1472.TW-OperatingProfitRatio,Price,PriceChangeRatio,InOutRatioNumber,Value,YearReturn,MonthReturn,WeekReturn,FinanceBalanceDif,ChipsField2" advise="1">
        <values cols="10">
          <value t="str">
            <val>-3.07</val>
          </value>
          <value>
            <val>21.5</val>
          </value>
          <value>
            <val>-4.4400000000000004</val>
          </value>
          <value t="str">
            <val>50.00%</val>
          </value>
          <value t="str">
            <val>13.2萬</val>
          </value>
          <value t="str">
            <val>-28.57</val>
          </value>
          <value t="str">
            <val>+5.13</val>
          </value>
          <value t="str">
            <val>-3.15</val>
          </value>
          <value>
            <val>0</val>
          </value>
          <value>
            <val>0</val>
          </value>
        </values>
      </ddeItem>
      <ddeItem name="1473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-20</val>
          </value>
          <value t="str">
            <val>2022/07/28</val>
          </value>
          <value t="str">
            <val>0.10</val>
          </value>
          <value>
            <val>0.49</val>
          </value>
          <value t="str">
            <val>1.62</val>
          </value>
          <value t="str">
            <val>0.61</val>
          </value>
          <value t="str">
            <val>台南</val>
          </value>
          <value t="str">
            <val>上市紡織纖維</val>
          </value>
          <value t="str">
            <val>台灣前三大成衣製造商，在大陸有Tony wear自有品牌</val>
          </value>
        </values>
      </ddeItem>
      <ddeItem name="1473.TW-CName,InvestorConferenceDate,DateofMeetingofShareHolders,TradingDate" advise="1">
        <values cols="4">
          <value t="str">
            <val>台南</val>
          </value>
          <value t="str">
            <val>2022/12/01</val>
          </value>
          <value t="str">
            <val>2022/06/20</val>
          </value>
          <value t="str">
            <val>2022/12/22</val>
          </value>
        </values>
      </ddeItem>
      <ddeItem name="1473.TW-ID,Name,MarketValue,Capital,NetIncomeGrowthRate,OperIncomeGrowthRate,FinancialStatementsTime,TFXRatio,MonthlyNetSalesYoY,RevenueMonth" advise="1">
        <values cols="10">
          <value t="str">
            <val>1473</val>
          </value>
          <value t="str">
            <val>台南</val>
          </value>
          <value t="str">
            <val>30.3</val>
          </value>
          <value t="str">
            <val>14.72</val>
          </value>
          <value t="str">
            <val>339.38</val>
          </value>
          <value t="str">
            <val>253.02</val>
          </value>
          <value t="str">
            <val>2022/09</val>
          </value>
          <value t="str">
            <val>11.51</val>
          </value>
          <value t="str">
            <val>13.02</val>
          </value>
          <value t="str">
            <val>2022/11</val>
          </value>
        </values>
      </ddeItem>
      <ddeItem name="1473.TW-OperatingProfitRatio,Price,PriceChangeRatio,InOutRatioNumber,Value,YearReturn,MonthReturn,WeekReturn,FinanceBalanceDif,ChipsField2" advise="1">
        <values cols="10">
          <value t="str">
            <val>2.98</val>
          </value>
          <value>
            <val>20.6</val>
          </value>
          <value>
            <val>0.49</val>
          </value>
          <value t="str">
            <val>37.68%</val>
          </value>
          <value t="str">
            <val>142萬</val>
          </value>
          <value t="str">
            <val>+15.00</val>
          </value>
          <value t="str">
            <val>+3.26</val>
          </value>
          <value t="str">
            <val>-3.29</val>
          </value>
          <value>
            <val>-236</val>
          </value>
          <value>
            <val>0</val>
          </value>
        </values>
      </ddeItem>
      <ddeItem name="147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2022/08/01</val>
          </value>
          <value t="str">
            <val>0.50</val>
          </value>
          <value>
            <val>4.1500000000000004</val>
          </value>
          <value t="str">
            <val>0.79</val>
          </value>
          <value t="str">
            <val>0.20</val>
          </value>
          <value t="str">
            <val>弘裕</val>
          </value>
          <value t="str">
            <val>上市紡織纖維</val>
          </value>
          <value t="str">
            <val>台灣最大的工業用布廠</val>
          </value>
        </values>
      </ddeItem>
      <ddeItem name="1474.TW-CName,InvestorConferenceDate,DateofMeetingofShareHolders,TradingDate" advise="1">
        <values cols="4">
          <value t="str">
            <val>弘裕</val>
          </value>
          <value t="str">
            <val>2022/12/20</val>
          </value>
          <value t="str">
            <val>2022/06/21</val>
          </value>
          <value t="str">
            <val>2022/12/22</val>
          </value>
        </values>
      </ddeItem>
      <ddeItem name="1474.TW-ID,Name,MarketValue,Capital,NetIncomeGrowthRate,OperIncomeGrowthRate,FinancialStatementsTime,TFXRatio,MonthlyNetSalesYoY,RevenueMonth" advise="1">
        <values cols="10">
          <value t="str">
            <val>1474</val>
          </value>
          <value t="str">
            <val>弘裕</val>
          </value>
          <value t="str">
            <val>15.7</val>
          </value>
          <value t="str">
            <val>12.99</val>
          </value>
          <value t="str">
            <val>-29.04</val>
          </value>
          <value t="str">
            <val>-51.44</val>
          </value>
          <value t="str">
            <val>2022/09</val>
          </value>
          <value t="str">
            <val>7.49</val>
          </value>
          <value t="str">
            <val>-25.08</val>
          </value>
          <value t="str">
            <val>2022/11</val>
          </value>
        </values>
      </ddeItem>
      <ddeItem name="1474.TW-OperatingProfitRatio,Price,PriceChangeRatio,InOutRatioNumber,Value,YearReturn,MonthReturn,WeekReturn,FinanceBalanceDif,ChipsField2" advise="1">
        <values cols="10">
          <value t="str">
            <val>2.60</val>
          </value>
          <value>
            <val>12.05</val>
          </value>
          <value>
            <val>0.84</val>
          </value>
          <value t="str">
            <val>53.85%</val>
          </value>
          <value t="str">
            <val>31.4萬</val>
          </value>
          <value t="str">
            <val>-17.85</val>
          </value>
          <value t="str">
            <val>+5.70</val>
          </value>
          <value t="str">
            <val>+0.84</val>
          </value>
          <value>
            <val>2</val>
          </value>
          <value>
            <val>0</val>
          </value>
        </values>
      </ddeItem>
      <ddeItem name="147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12.69</val>
          </value>
          <value t="str">
            <val>4.30</val>
          </value>
          <value t="str">
            <val>業旺</val>
          </value>
          <value t="str">
            <val>上市紡織纖維</val>
          </value>
          <value t="str">
            <val>台灣紡織助染劑廠</val>
          </value>
        </values>
      </ddeItem>
      <ddeItem name="1475.TW-CName,InvestorConferenceDate,DateofMeetingofShareHolders,TradingDate" advise="1">
        <values cols="4">
          <value t="str">
            <val>業旺</val>
          </value>
          <value t="str">
            <val>2022/12/20</val>
          </value>
          <value t="str">
            <val>2022/12/28</val>
          </value>
          <value t="str">
            <val>2022/12/22</val>
          </value>
        </values>
      </ddeItem>
      <ddeItem name="1475.TW-ID,Name,MarketValue,Capital,NetIncomeGrowthRate,OperIncomeGrowthRate,FinancialStatementsTime,TFXRatio,MonthlyNetSalesYoY,RevenueMonth" advise="1">
        <values cols="10">
          <value t="str">
            <val>1475</val>
          </value>
          <value t="str">
            <val>業旺</val>
          </value>
          <value t="str">
            <val>17.3</val>
          </value>
          <value t="str">
            <val>2.60</val>
          </value>
          <value t="str">
            <val>708.13</val>
          </value>
          <value t="str">
            <val>488.90</val>
          </value>
          <value t="str">
            <val>2022/09</val>
          </value>
          <value t="str">
            <val>1.74</val>
          </value>
          <value t="str">
            <val>26.06</val>
          </value>
          <value t="str">
            <val>2022/11</val>
          </value>
        </values>
      </ddeItem>
      <ddeItem name="1475.TW-OperatingProfitRatio,Price,PriceChangeRatio,InOutRatioNumber,Value,YearReturn,MonthReturn,WeekReturn,FinanceBalanceDif,ChipsField2" advise="1">
        <values cols="10">
          <value t="str">
            <val>20.80</val>
          </value>
          <value>
            <val>66.400000000000006</val>
          </value>
          <value>
            <val>1.84</val>
          </value>
          <value t="str">
            <val>71.74%</val>
          </value>
          <value t="str">
            <val>304萬</val>
          </value>
          <value t="str">
            <val>+34.14</val>
          </value>
          <value t="str">
            <val>+3.91</val>
          </value>
          <value t="str">
            <val>+0.30</val>
          </value>
          <value>
            <val>-12</val>
          </value>
          <value>
            <val>0</val>
          </value>
        </values>
      </ddeItem>
      <ddeItem name="1476.TW-ChipsField3,ChipsField1,ChipsField25,CashAndStockDividend,CashDividendYieldRate,ProfitFourSeason,ProfitSingle,CName,ExchangeIndustry,CompanyPos" advise="1">
        <values cols="10">
          <value>
            <val>78</val>
          </value>
          <value>
            <val>214</val>
          </value>
          <value t="str">
            <val>2022/07/05</val>
          </value>
          <value t="str">
            <val>12.00</val>
          </value>
          <value>
            <val>2.4700000000000002</val>
          </value>
          <value t="str">
            <val>26.61</val>
          </value>
          <value t="str">
            <val>7.91</val>
          </value>
          <value t="str">
            <val>儒鴻</val>
          </value>
          <value t="str">
            <val>上市紡織纖維</val>
          </value>
          <value t="str">
            <val>台灣最大針織布及第二大成衣代工廠</val>
          </value>
        </values>
      </ddeItem>
      <ddeItem name="1476.TW-CName,InvestorConferenceDate,DateofMeetingofShareHolders,TradingDate" advise="1">
        <values cols="4">
          <value t="str">
            <val>儒鴻</val>
          </value>
          <value t="str">
            <val>2022/11/08</val>
          </value>
          <value t="str">
            <val>2022/06/14</val>
          </value>
          <value t="str">
            <val>2022/12/22</val>
          </value>
        </values>
      </ddeItem>
      <ddeItem name="1476.TW-ID,Name,MarketValue,Capital,NetIncomeGrowthRate,OperIncomeGrowthRate,FinancialStatementsTime,TFXRatio,MonthlyNetSalesYoY,RevenueMonth" advise="1">
        <values cols="10">
          <value t="str">
            <val>1476</val>
          </value>
          <value t="str">
            <val>儒鴻</val>
          </value>
          <value t="str">
            <val>1334.8</val>
          </value>
          <value t="str">
            <val>27.44</val>
          </value>
          <value t="str">
            <val>55.98</val>
          </value>
          <value t="str">
            <val>36.25</val>
          </value>
          <value t="str">
            <val>2022/09</val>
          </value>
          <value t="str">
            <val>21.16</val>
          </value>
          <value t="str">
            <val>-12.67</val>
          </value>
          <value t="str">
            <val>2022/11</val>
          </value>
        </values>
      </ddeItem>
      <ddeItem name="1476.TW-OperatingProfitRatio,Price,PriceChangeRatio,InOutRatioNumber,Value,YearReturn,MonthReturn,WeekReturn,FinanceBalanceDif,ChipsField2" advise="1">
        <values cols="10">
          <value t="str">
            <val>20.43</val>
          </value>
          <value>
            <val>486.5</val>
          </value>
          <value>
            <val>2.96</val>
          </value>
          <value t="str">
            <val>58.36%</val>
          </value>
          <value t="str">
            <val>7.48億</val>
          </value>
          <value t="str">
            <val>-19.17</val>
          </value>
          <value t="str">
            <val>+11.71</val>
          </value>
          <value t="str">
            <val>+6.81</val>
          </value>
          <value>
            <val>-22</val>
          </value>
          <value>
            <val>24</val>
          </value>
        </values>
      </ddeItem>
      <ddeItem name="1477.TW-ChipsField3,ChipsField1,ChipsField25,CashAndStockDividend,CashDividendYieldRate,ProfitFourSeason,ProfitSingle,CName,ExchangeIndustry,CompanyPos" advise="1">
        <values cols="10">
          <value>
            <val>14</val>
          </value>
          <value>
            <val>200</val>
          </value>
          <value t="str">
            <val>2022/04/14</val>
          </value>
          <value t="str">
            <val>9.50</val>
          </value>
          <value>
            <val>3.98</val>
          </value>
          <value t="str">
            <val>14.16</val>
          </value>
          <value t="str">
            <val>4.59</val>
          </value>
          <value t="str">
            <val>聚陽</val>
          </value>
          <value t="str">
            <val>上市紡織纖維</val>
          </value>
          <value t="str">
            <val>全球第五大、台灣第一大成衣代工廠</val>
          </value>
        </values>
      </ddeItem>
      <ddeItem name="1477.TW-CName,InvestorConferenceDate,DateofMeetingofShareHolders,TradingDate" advise="1">
        <values cols="4">
          <value t="str">
            <val>聚陽</val>
          </value>
          <value t="str">
            <val>2022/11/30</val>
          </value>
          <value t="str">
            <val>2022/06/15</val>
          </value>
          <value t="str">
            <val>2022/12/22</val>
          </value>
        </values>
      </ddeItem>
      <ddeItem name="1477.TW-ID,Name,MarketValue,Capital,NetIncomeGrowthRate,OperIncomeGrowthRate,FinancialStatementsTime,TFXRatio,MonthlyNetSalesYoY,RevenueMonth" advise="1">
        <values cols="10">
          <value t="str">
            <val>1477</val>
          </value>
          <value t="str">
            <val>聚陽</val>
          </value>
          <value t="str">
            <val>576.8</val>
          </value>
          <value t="str">
            <val>24.19</val>
          </value>
          <value t="str">
            <val>37.76</val>
          </value>
          <value t="str">
            <val>30.11</val>
          </value>
          <value t="str">
            <val>2022/09</val>
          </value>
          <value t="str">
            <val>1.27</val>
          </value>
          <value t="str">
            <val>9.18</val>
          </value>
          <value t="str">
            <val>2022/11</val>
          </value>
        </values>
      </ddeItem>
      <ddeItem name="1477.TW-OperatingProfitRatio,Price,PriceChangeRatio,InOutRatioNumber,Value,YearReturn,MonthReturn,WeekReturn,FinanceBalanceDif,ChipsField2" advise="1">
        <values cols="10">
          <value t="str">
            <val>13.62</val>
          </value>
          <value>
            <val>238.5</val>
          </value>
          <value>
            <val>-0.63</val>
          </value>
          <value t="str">
            <val>53.51%</val>
          </value>
          <value t="str">
            <val>3.10億</val>
          </value>
          <value t="str">
            <val>+1.18</val>
          </value>
          <value t="str">
            <val>+7.92</val>
          </value>
          <value t="str">
            <val>-1.85</val>
          </value>
          <value>
            <val>10</val>
          </value>
          <value>
            <val>284</val>
          </value>
        </values>
      </ddeItem>
      <ddeItem name="1503.TW-ChipsField3,ChipsField1,ChipsField25,CashAndStockDividend,CashDividendYieldRate,ProfitFourSeason,ProfitSingle,CName,ExchangeIndustry,CompanyPos" advise="1">
        <values cols="10">
          <value>
            <val>-15</val>
          </value>
          <value>
            <val>17</val>
          </value>
          <value t="str">
            <val>2022/07/20</val>
          </value>
          <value t="str">
            <val>1.80</val>
          </value>
          <value>
            <val>3.02</val>
          </value>
          <value t="str">
            <val>3.96</val>
          </value>
          <value t="str">
            <val>1.09</val>
          </value>
          <value t="str">
            <val>士電</val>
          </value>
          <value t="str">
            <val>上市電機機械</val>
          </value>
          <value t="str">
            <val>屬仰德集團，本業以電機相關產品為主，為士林三寶之一</val>
          </value>
        </values>
      </ddeItem>
      <ddeItem name="1503.TW-CName,InvestorConferenceDate,DateofMeetingofShareHolders,TradingDate" advise="1">
        <values cols="4">
          <value t="str">
            <val>士電</val>
          </value>
          <value t="str">
            <val>2021/12/20</val>
          </value>
          <value t="str">
            <val>2022/06/24</val>
          </value>
          <value t="str">
            <val>2022/12/22</val>
          </value>
        </values>
      </ddeItem>
      <ddeItem name="1503.TW-ID,Name,MarketValue,Capital,NetIncomeGrowthRate,OperIncomeGrowthRate,FinancialStatementsTime,TFXRatio,MonthlyNetSalesYoY,RevenueMonth" advise="1">
        <values cols="10">
          <value t="str">
            <val>1503</val>
          </value>
          <value t="str">
            <val>士電</val>
          </value>
          <value t="str">
            <val>311.0</val>
          </value>
          <value t="str">
            <val>52.10</val>
          </value>
          <value t="str">
            <val>16.55</val>
          </value>
          <value t="str">
            <val>19.75</val>
          </value>
          <value t="str">
            <val>2022/09</val>
          </value>
          <value t="str">
            <val>3.12</val>
          </value>
          <value t="str">
            <val>23.16</val>
          </value>
          <value t="str">
            <val>2022/11</val>
          </value>
        </values>
      </ddeItem>
      <ddeItem name="1503.TW-OperatingProfitRatio,Price,PriceChangeRatio,InOutRatioNumber,Value,YearReturn,MonthReturn,WeekReturn,FinanceBalanceDif,ChipsField2" advise="1">
        <values cols="10">
          <value t="str">
            <val>8.47</val>
          </value>
          <value>
            <val>59.7</val>
          </value>
          <value>
            <val>0.84</val>
          </value>
          <value t="str">
            <val>53.85%</val>
          </value>
          <value t="str">
            <val>233萬</val>
          </value>
          <value t="str">
            <val>+13.56</val>
          </value>
          <value t="str">
            <val>+4.37</val>
          </value>
          <value t="str">
            <val>-0.67</val>
          </value>
          <value>
            <val>-2</val>
          </value>
          <value>
            <val>0</val>
          </value>
        </values>
      </ddeItem>
      <ddeItem name="1504.TW-ChipsField3,ChipsField1,ChipsField25,CashAndStockDividend,CashDividendYieldRate,ProfitFourSeason,ProfitSingle,CName,ExchangeIndustry,CompanyPos" advise="1">
        <values cols="10">
          <value>
            <val>-90</val>
          </value>
          <value>
            <val>-615</val>
          </value>
          <value t="str">
            <val>2022/06/15</val>
          </value>
          <value t="str">
            <val>1.35</val>
          </value>
          <value>
            <val>4.9400000000000004</val>
          </value>
          <value t="str">
            <val>1.59</val>
          </value>
          <value t="str">
            <val>0.51</val>
          </value>
          <value t="str">
            <val>東元</val>
          </value>
          <value t="str">
            <val>上市電機機械</val>
          </value>
          <value t="str">
            <val>台灣老牌家電廠，並轉型多角化經營</val>
          </value>
        </values>
      </ddeItem>
      <ddeItem name="1504.TW-CName,InvestorConferenceDate,DateofMeetingofShareHolders,TradingDate" advise="1">
        <values cols="4">
          <value t="str">
            <val>東元</val>
          </value>
          <value t="str">
            <val>2022/11/15</val>
          </value>
          <value t="str">
            <val>2022/05/20</val>
          </value>
          <value t="str">
            <val>2022/12/22</val>
          </value>
        </values>
      </ddeItem>
      <ddeItem name="1504.TW-ID,Name,MarketValue,Capital,NetIncomeGrowthRate,OperIncomeGrowthRate,FinancialStatementsTime,TFXRatio,MonthlyNetSalesYoY,RevenueMonth" advise="1">
        <values cols="10">
          <value t="str">
            <val>1504</val>
          </value>
          <value t="str">
            <val>東元</val>
          </value>
          <value t="str">
            <val>585.0</val>
          </value>
          <value t="str">
            <val>213.88</val>
          </value>
          <value t="str">
            <val>-36.56</val>
          </value>
          <value t="str">
            <val>43.02</val>
          </value>
          <value t="str">
            <val>2022/09</val>
          </value>
          <value t="str">
            <val>6.77</val>
          </value>
          <value t="str">
            <val>9.99</val>
          </value>
          <value t="str">
            <val>2022/11</val>
          </value>
        </values>
      </ddeItem>
      <ddeItem name="1504.TW-OperatingProfitRatio,Price,PriceChangeRatio,InOutRatioNumber,Value,YearReturn,MonthReturn,WeekReturn,FinanceBalanceDif,ChipsField2" advise="1">
        <values cols="10">
          <value t="str">
            <val>8.67</val>
          </value>
          <value>
            <val>27.35</val>
          </value>
          <value>
            <val>0.55000000000000004</val>
          </value>
          <value t="str">
            <val>48.01%</val>
          </value>
          <value t="str">
            <val>3734萬</val>
          </value>
          <value t="str">
            <val>-7.58</val>
          </value>
          <value t="str">
            <val>-1.62</val>
          </value>
          <value t="str">
            <val>-2.84</val>
          </value>
          <value>
            <val>-6</val>
          </value>
          <value>
            <val>9</val>
          </value>
        </values>
      </ddeItem>
      <ddeItem name="150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34</val>
          </value>
          <value t="str">
            <val>--</val>
          </value>
          <value t="str">
            <val>0.00</val>
          </value>
          <value>
            <val>0</val>
          </value>
          <value t="str">
            <val>0.64</val>
          </value>
          <value t="str">
            <val>0.17</val>
          </value>
          <value t="str">
            <val>正道</val>
          </value>
          <value t="str">
            <val>上市電機機械</val>
          </value>
          <value t="str">
            <val>台灣知名活塞與汽車鍛件製造商</val>
          </value>
        </values>
      </ddeItem>
      <ddeItem name="1506.TW-CName,InvestorConferenceDate,DateofMeetingofShareHolders,TradingDate" advise="1">
        <values cols="4">
          <value t="str">
            <val>正道</val>
          </value>
          <value t="str">
            <val>2022/12/20</val>
          </value>
          <value t="str">
            <val>2022/06/20</val>
          </value>
          <value t="str">
            <val>2022/12/22</val>
          </value>
        </values>
      </ddeItem>
      <ddeItem name="1506.TW-ID,Name,MarketValue,Capital,NetIncomeGrowthRate,OperIncomeGrowthRate,FinancialStatementsTime,TFXRatio,MonthlyNetSalesYoY,RevenueMonth" advise="1">
        <values cols="10">
          <value t="str">
            <val>1506</val>
          </value>
          <value t="str">
            <val>正道</val>
          </value>
          <value t="str">
            <val>28.8</val>
          </value>
          <value t="str">
            <val>27.88</val>
          </value>
          <value t="str">
            <val>1111.61</val>
          </value>
          <value t="str">
            <val>-108.96</val>
          </value>
          <value t="str">
            <val>2022/09</val>
          </value>
          <value t="str">
            <val>-2.87</val>
          </value>
          <value t="str">
            <val>6.58</val>
          </value>
          <value t="str">
            <val>2022/11</val>
          </value>
        </values>
      </ddeItem>
      <ddeItem name="1506.TW-OperatingProfitRatio,Price,PriceChangeRatio,InOutRatioNumber,Value,YearReturn,MonthReturn,WeekReturn,FinanceBalanceDif,ChipsField2" advise="1">
        <values cols="10">
          <value t="str">
            <val>-1.19</val>
          </value>
          <value>
            <val>17.600000000000001</val>
          </value>
          <value>
            <val>0.56999999999999995</val>
          </value>
          <value t="str">
            <val>34.13%</val>
          </value>
          <value t="str">
            <val>379萬</val>
          </value>
          <value t="str">
            <val>+17.33</val>
          </value>
          <value t="str">
            <val>+7.32</val>
          </value>
          <value t="str">
            <val>-0.85</val>
          </value>
          <value>
            <val>0</val>
          </value>
          <value>
            <val>0</val>
          </value>
        </values>
      </ddeItem>
      <ddeItem name="151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-220</val>
          </value>
          <value t="str">
            <val>--</val>
          </value>
          <value t="str">
            <val>0.00</val>
          </value>
          <value>
            <val>0</val>
          </value>
          <value t="str">
            <val>-0.77</val>
          </value>
          <value t="str">
            <val>-0.04</val>
          </value>
          <value t="str">
            <val>瑞利</val>
          </value>
          <value t="str">
            <val>上市汽車</val>
          </value>
          <value t="str">
            <val>為台灣汽車鈑金製造大廠</val>
          </value>
        </values>
      </ddeItem>
      <ddeItem name="1512.TW-CName,InvestorConferenceDate,DateofMeetingofShareHolders,TradingDate" advise="1">
        <values cols="4">
          <value t="str">
            <val>瑞利</val>
          </value>
          <value t="str">
            <val>2022/12/21</val>
          </value>
          <value t="str">
            <val>2022/06/22</val>
          </value>
          <value t="str">
            <val>2022/12/22</val>
          </value>
        </values>
      </ddeItem>
      <ddeItem name="1512.TW-ID,Name,MarketValue,Capital,NetIncomeGrowthRate,OperIncomeGrowthRate,FinancialStatementsTime,TFXRatio,MonthlyNetSalesYoY,RevenueMonth" advise="1">
        <values cols="10">
          <value t="str">
            <val>1512</val>
          </value>
          <value t="str">
            <val>瑞利</val>
          </value>
          <value t="str">
            <val>8.6</val>
          </value>
          <value t="str">
            <val>27.25</val>
          </value>
          <value t="str">
            <val>-39.64</val>
          </value>
          <value t="str">
            <val>-19.11</val>
          </value>
          <value t="str">
            <val>2022/09</val>
          </value>
          <value t="str">
            <val>122.70</val>
          </value>
          <value t="str">
            <val>60.39</val>
          </value>
          <value t="str">
            <val>2022/11</val>
          </value>
        </values>
      </ddeItem>
      <ddeItem name="1512.TW-OperatingProfitRatio,Price,PriceChangeRatio,InOutRatioNumber,Value,YearReturn,MonthReturn,WeekReturn,FinanceBalanceDif,ChipsField2" advise="1">
        <values cols="10">
          <value t="str">
            <val>-25.34</val>
          </value>
          <value>
            <val>4.75</val>
          </value>
          <value>
            <val>-1.04</val>
          </value>
          <value t="str">
            <val>34.91%</val>
          </value>
          <value t="str">
            <val>258萬</val>
          </value>
          <value t="str">
            <val>+26.33</val>
          </value>
          <value t="str">
            <val>+42.64</val>
          </value>
          <value t="str">
            <val>+18.45</val>
          </value>
          <value>
            <val>0</val>
          </value>
          <value>
            <val>0</val>
          </value>
        </values>
      </ddeItem>
      <ddeItem name="1513.TW-ChipsField3,ChipsField1,ChipsField25,CashAndStockDividend,CashDividendYieldRate,ProfitFourSeason,ProfitSingle,CName,ExchangeIndustry,CompanyPos" advise="1">
        <values cols="10">
          <value>
            <val>-568</val>
          </value>
          <value>
            <val>-472</val>
          </value>
          <value t="str">
            <val>2022/07/25</val>
          </value>
          <value t="str">
            <val>2.80</val>
          </value>
          <value>
            <val>4.25</val>
          </value>
          <value t="str">
            <val>4.87</val>
          </value>
          <value t="str">
            <val>1.17</val>
          </value>
          <value t="str">
            <val>中興電</val>
          </value>
          <value t="str">
            <val>上市電機機械</val>
          </value>
          <value t="str">
            <val>台灣知名重電及機電工程廠商</val>
          </value>
        </values>
      </ddeItem>
      <ddeItem name="1513.TW-CName,InvestorConferenceDate,DateofMeetingofShareHolders,TradingDate" advise="1">
        <values cols="4">
          <value t="str">
            <val>中興電</val>
          </value>
          <value t="str">
            <val>2022/08/18</val>
          </value>
          <value t="str">
            <val>2022/06/28</val>
          </value>
          <value t="str">
            <val>2022/12/22</val>
          </value>
        </values>
      </ddeItem>
      <ddeItem name="1513.TW-ID,Name,MarketValue,Capital,NetIncomeGrowthRate,OperIncomeGrowthRate,FinancialStatementsTime,TFXRatio,MonthlyNetSalesYoY,RevenueMonth" advise="1">
        <values cols="10">
          <value t="str">
            <val>1513</val>
          </value>
          <value t="str">
            <val>中興電</val>
          </value>
          <value t="str">
            <val>313.8</val>
          </value>
          <value t="str">
            <val>47.61</val>
          </value>
          <value t="str">
            <val>24.46</val>
          </value>
          <value t="str">
            <val>8.25</val>
          </value>
          <value t="str">
            <val>2022/09</val>
          </value>
          <value t="str">
            <val>-2.05</val>
          </value>
          <value t="str">
            <val>22.99</val>
          </value>
          <value t="str">
            <val>2022/11</val>
          </value>
        </values>
      </ddeItem>
      <ddeItem name="1513.TW-OperatingProfitRatio,Price,PriceChangeRatio,InOutRatioNumber,Value,YearReturn,MonthReturn,WeekReturn,FinanceBalanceDif,ChipsField2" advise="1">
        <values cols="10">
          <value t="str">
            <val>14.57</val>
          </value>
          <value>
            <val>65.900000000000006</val>
          </value>
          <value>
            <val>0.61</val>
          </value>
          <value t="str">
            <val>48.43%</val>
          </value>
          <value t="str">
            <val>8.34億</val>
          </value>
          <value t="str">
            <val>+59.10</val>
          </value>
          <value t="str">
            <val>+18.31</val>
          </value>
          <value t="str">
            <val>-0.90</val>
          </value>
          <value>
            <val>478</val>
          </value>
          <value>
            <val>1998</val>
          </value>
        </values>
      </ddeItem>
      <ddeItem name="1514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458</val>
          </value>
          <value t="str">
            <val>2022/08/29</val>
          </value>
          <value t="str">
            <val>1.25</val>
          </value>
          <value>
            <val>4.24</val>
          </value>
          <value t="str">
            <val>2.10</val>
          </value>
          <value t="str">
            <val>0.53</val>
          </value>
          <value t="str">
            <val>亞力</val>
          </value>
          <value t="str">
            <val>上市電機機械</val>
          </value>
          <value t="str">
            <val>生產配電盤、電力變壓器為主的電機公司</val>
          </value>
        </values>
      </ddeItem>
      <ddeItem name="1514.TW-CName,InvestorConferenceDate,DateofMeetingofShareHolders,TradingDate" advise="1">
        <values cols="4">
          <value t="str">
            <val>亞力</val>
          </value>
          <value t="str">
            <val>2022/11/24</val>
          </value>
          <value t="str">
            <val>2022/06/21</val>
          </value>
          <value t="str">
            <val>2022/12/22</val>
          </value>
        </values>
      </ddeItem>
      <ddeItem name="1514.TW-ID,Name,MarketValue,Capital,NetIncomeGrowthRate,OperIncomeGrowthRate,FinancialStatementsTime,TFXRatio,MonthlyNetSalesYoY,RevenueMonth" advise="1">
        <values cols="10">
          <value t="str">
            <val>1514</val>
          </value>
          <value t="str">
            <val>亞力</val>
          </value>
          <value t="str">
            <val>70.6</val>
          </value>
          <value t="str">
            <val>23.97</val>
          </value>
          <value t="str">
            <val>40.93</val>
          </value>
          <value t="str">
            <val>16.92</val>
          </value>
          <value t="str">
            <val>2022/09</val>
          </value>
          <value t="str">
            <val>-3.93</val>
          </value>
          <value t="str">
            <val>17.01</val>
          </value>
          <value t="str">
            <val>2022/11</val>
          </value>
        </values>
      </ddeItem>
      <ddeItem name="1514.TW-OperatingProfitRatio,Price,PriceChangeRatio,InOutRatioNumber,Value,YearReturn,MonthReturn,WeekReturn,FinanceBalanceDif,ChipsField2" advise="1">
        <values cols="10">
          <value t="str">
            <val>6.91</val>
          </value>
          <value>
            <val>29.45</val>
          </value>
          <value>
            <val>0</val>
          </value>
          <value t="str">
            <val>38.70%</val>
          </value>
          <value t="str">
            <val>3529萬</val>
          </value>
          <value t="str">
            <val>+23.35</val>
          </value>
          <value t="str">
            <val>+5.75</val>
          </value>
          <value t="str">
            <val>-3.12</val>
          </value>
          <value>
            <val>-167</val>
          </value>
          <value>
            <val>80</val>
          </value>
        </values>
      </ddeItem>
      <ddeItem name="1515.TW-ChipsField3,ChipsField1,ChipsField25,CashAndStockDividend,CashDividendYieldRate,ProfitFourSeason,ProfitSingle,CName,ExchangeIndustry,CompanyPos" advise="1">
        <values cols="10">
          <value>
            <val>-9</val>
          </value>
          <value>
            <val>-160</val>
          </value>
          <value t="str">
            <val>2022/06/09</val>
          </value>
          <value t="str">
            <val>3.00</val>
          </value>
          <value>
            <val>9.76</val>
          </value>
          <value t="str">
            <val>0.34</val>
          </value>
          <value t="str">
            <val>-0.24</val>
          </value>
          <value t="str">
            <val>力山</val>
          </value>
          <value t="str">
            <val>上市電機機械</val>
          </value>
          <value t="str">
            <val>台灣知名健身器材代工廠</val>
          </value>
        </values>
      </ddeItem>
      <ddeItem name="1515.TW-CName,InvestorConferenceDate,DateofMeetingofShareHolders,TradingDate" advise="1">
        <values cols="4">
          <value t="str">
            <val>力山</val>
          </value>
          <value t="str">
            <val>2022/12/15</val>
          </value>
          <value t="str">
            <val>2022/05/31</val>
          </value>
          <value t="str">
            <val>2022/12/22</val>
          </value>
        </values>
      </ddeItem>
      <ddeItem name="1515.TW-ID,Name,MarketValue,Capital,NetIncomeGrowthRate,OperIncomeGrowthRate,FinancialStatementsTime,TFXRatio,MonthlyNetSalesYoY,RevenueMonth" advise="1">
        <values cols="10">
          <value t="str">
            <val>1515</val>
          </value>
          <value t="str">
            <val>力山</val>
          </value>
          <value t="str">
            <val>55.8</val>
          </value>
          <value t="str">
            <val>18.15</val>
          </value>
          <value t="str">
            <val>-122.55</val>
          </value>
          <value t="str">
            <val>-129.59</val>
          </value>
          <value t="str">
            <val>2022/09</val>
          </value>
          <value t="str">
            <val>45.22</val>
          </value>
          <value t="str">
            <val>-80.54</val>
          </value>
          <value t="str">
            <val>2022/11</val>
          </value>
        </values>
      </ddeItem>
      <ddeItem name="1515.TW-OperatingProfitRatio,Price,PriceChangeRatio,InOutRatioNumber,Value,YearReturn,MonthReturn,WeekReturn,FinanceBalanceDif,ChipsField2" advise="1">
        <values cols="10">
          <value t="str">
            <val>-8.76</val>
          </value>
          <value>
            <val>30.75</val>
          </value>
          <value>
            <val>-2.0699999999999998</val>
          </value>
          <value t="str">
            <val>19.91%</val>
          </value>
          <value t="str">
            <val>2741萬</val>
          </value>
          <value t="str">
            <val>-42.20</val>
          </value>
          <value t="str">
            <val>+1.15</val>
          </value>
          <value t="str">
            <val>-7.52</val>
          </value>
          <value>
            <val>51</val>
          </value>
          <value>
            <val>0</val>
          </value>
        </values>
      </ddeItem>
      <ddeItem name="151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-15</val>
          </value>
          <value t="str">
            <val>2022/09/27</val>
          </value>
          <value t="str">
            <val>1.55</val>
          </value>
          <value>
            <val>7.73</val>
          </value>
          <value t="str">
            <val>1.88</val>
          </value>
          <value t="str">
            <val>0.40</val>
          </value>
          <value t="str">
            <val>川飛</val>
          </value>
          <value t="str">
            <val>上市其他</val>
          </value>
          <value t="str">
            <val>主營生煤貿易</val>
          </value>
        </values>
      </ddeItem>
      <ddeItem name="1516.TW-CName,InvestorConferenceDate,DateofMeetingofShareHolders,TradingDate" advise="1">
        <values cols="4">
          <value t="str">
            <val>川飛</val>
          </value>
          <value t="str">
            <val>2022/11/07</val>
          </value>
          <value t="str">
            <val>2022/06/08</val>
          </value>
          <value t="str">
            <val>2022/12/22</val>
          </value>
        </values>
      </ddeItem>
      <ddeItem name="1516.TW-ID,Name,MarketValue,Capital,NetIncomeGrowthRate,OperIncomeGrowthRate,FinancialStatementsTime,TFXRatio,MonthlyNetSalesYoY,RevenueMonth" advise="1">
        <values cols="10">
          <value t="str">
            <val>1516</val>
          </value>
          <value t="str">
            <val>川飛</val>
          </value>
          <value t="str">
            <val>7.2</val>
          </value>
          <value t="str">
            <val>3.57</val>
          </value>
          <value t="str">
            <val>17.50</val>
          </value>
          <value t="str">
            <val>43.69</val>
          </value>
          <value t="str">
            <val>2022/09</val>
          </value>
          <value t="str">
            <val>-100.00</val>
          </value>
          <value t="str">
            <val>-100.00</val>
          </value>
          <value t="str">
            <val>2022/11</val>
          </value>
        </values>
      </ddeItem>
      <ddeItem name="1516.TW-OperatingProfitRatio,Price,PriceChangeRatio,InOutRatioNumber,Value,YearReturn,MonthReturn,WeekReturn,FinanceBalanceDif,ChipsField2" advise="1">
        <values cols="10">
          <value t="str">
            <val>3.76</val>
          </value>
          <value>
            <val>20.05</val>
          </value>
          <value>
            <val>0.75</val>
          </value>
          <value t="str">
            <val>65.96%</val>
          </value>
          <value t="str">
            <val>93.9萬</val>
          </value>
          <value t="str">
            <val>-12.33</val>
          </value>
          <value t="str">
            <val>-5.87</val>
          </value>
          <value t="str">
            <val>-0.50</val>
          </value>
          <value>
            <val>9</val>
          </value>
          <value>
            <val>0</val>
          </value>
        </values>
      </ddeItem>
      <ddeItem name="1517.TW-ChipsField3,ChipsField1,ChipsField25,CashAndStockDividend,CashDividendYieldRate,ProfitFourSeason,ProfitSingle,CName,ExchangeIndustry,CompanyPos" advise="1">
        <values cols="10">
          <value>
            <val>-11</val>
          </value>
          <value>
            <val>35</val>
          </value>
          <value t="str">
            <val>2022/09/20</val>
          </value>
          <value t="str">
            <val>0.80</val>
          </value>
          <value>
            <val>3.96</val>
          </value>
          <value t="str">
            <val>2.91</val>
          </value>
          <value t="str">
            <val>1.06</val>
          </value>
          <value t="str">
            <val>利奇</val>
          </value>
          <value t="str">
            <val>上市電機機械</val>
          </value>
          <value t="str">
            <val>台灣老牌自行車零件廠</val>
          </value>
        </values>
      </ddeItem>
      <ddeItem name="1517.TW-CName,InvestorConferenceDate,DateofMeetingofShareHolders,TradingDate" advise="1">
        <values cols="4">
          <value t="str">
            <val>利奇</val>
          </value>
          <value t="str">
            <val>2022/11/25</val>
          </value>
          <value t="str">
            <val>2022/06/23</val>
          </value>
          <value t="str">
            <val>2022/12/22</val>
          </value>
        </values>
      </ddeItem>
      <ddeItem name="1517.TW-ID,Name,MarketValue,Capital,NetIncomeGrowthRate,OperIncomeGrowthRate,FinancialStatementsTime,TFXRatio,MonthlyNetSalesYoY,RevenueMonth" advise="1">
        <values cols="10">
          <value t="str">
            <val>1517</val>
          </value>
          <value t="str">
            <val>利奇</val>
          </value>
          <value t="str">
            <val>45.6</val>
          </value>
          <value t="str">
            <val>22.57</val>
          </value>
          <value t="str">
            <val>46.05</val>
          </value>
          <value t="str">
            <val>50.68</val>
          </value>
          <value t="str">
            <val>2022/09</val>
          </value>
          <value t="str">
            <val>-10.56</val>
          </value>
          <value t="str">
            <val>-38.66</val>
          </value>
          <value t="str">
            <val>2022/11</val>
          </value>
        </values>
      </ddeItem>
      <ddeItem name="1517.TW-OperatingProfitRatio,Price,PriceChangeRatio,InOutRatioNumber,Value,YearReturn,MonthReturn,WeekReturn,FinanceBalanceDif,ChipsField2" advise="1">
        <values cols="10">
          <value t="str">
            <val>12.81</val>
          </value>
          <value>
            <val>20.2</val>
          </value>
          <value>
            <val>0.5</val>
          </value>
          <value t="str">
            <val>52.22%</val>
          </value>
          <value t="str">
            <val>915萬</val>
          </value>
          <value t="str">
            <val>-23.30</val>
          </value>
          <value t="str">
            <val>-11.01</val>
          </value>
          <value t="str">
            <val>-4.04</val>
          </value>
          <value>
            <val>-28</val>
          </value>
          <value>
            <val>0</val>
          </value>
        </values>
      </ddeItem>
      <ddeItem name="1519.TW-ChipsField3,ChipsField1,ChipsField25,CashAndStockDividend,CashDividendYieldRate,ProfitFourSeason,ProfitSingle,CName,ExchangeIndustry,CompanyPos" advise="1">
        <values cols="10">
          <value>
            <val>-89</val>
          </value>
          <value>
            <val>661</val>
          </value>
          <value t="str">
            <val>2022/07/29</val>
          </value>
          <value t="str">
            <val>1.00</val>
          </value>
          <value>
            <val>2.09</val>
          </value>
          <value t="str">
            <val>2.03</val>
          </value>
          <value t="str">
            <val>0.52</val>
          </value>
          <value t="str">
            <val>華城</val>
          </value>
          <value t="str">
            <val>上市電機機械</val>
          </value>
          <value t="str">
            <val>生產電力變壓器為主之重電廠</val>
          </value>
        </values>
      </ddeItem>
      <ddeItem name="1519.TW-CName,InvestorConferenceDate,DateofMeetingofShareHolders,TradingDate" advise="1">
        <values cols="4">
          <value t="str">
            <val>華城</val>
          </value>
          <value t="str">
            <val>2022/12/05</val>
          </value>
          <value t="str">
            <val>2022/06/15</val>
          </value>
          <value t="str">
            <val>2022/12/22</val>
          </value>
        </values>
      </ddeItem>
      <ddeItem name="1519.TW-ID,Name,MarketValue,Capital,NetIncomeGrowthRate,OperIncomeGrowthRate,FinancialStatementsTime,TFXRatio,MonthlyNetSalesYoY,RevenueMonth" advise="1">
        <values cols="10">
          <value t="str">
            <val>1519</val>
          </value>
          <value t="str">
            <val>華城</val>
          </value>
          <value t="str">
            <val>125.0</val>
          </value>
          <value t="str">
            <val>26.11</val>
          </value>
          <value t="str">
            <val>189.81</val>
          </value>
          <value t="str">
            <val>57.02</val>
          </value>
          <value t="str">
            <val>2022/09</val>
          </value>
          <value t="str">
            <val>51.27</val>
          </value>
          <value t="str">
            <val>-2.99</val>
          </value>
          <value t="str">
            <val>2022/11</val>
          </value>
        </values>
      </ddeItem>
      <ddeItem name="1519.TW-OperatingProfitRatio,Price,PriceChangeRatio,InOutRatioNumber,Value,YearReturn,MonthReturn,WeekReturn,FinanceBalanceDif,ChipsField2" advise="1">
        <values cols="10">
          <value t="str">
            <val>6.76</val>
          </value>
          <value>
            <val>47.9</val>
          </value>
          <value>
            <val>-0.31</val>
          </value>
          <value t="str">
            <val>46.83%</val>
          </value>
          <value t="str">
            <val>1.91億</val>
          </value>
          <value t="str">
            <val>+34.07</val>
          </value>
          <value t="str">
            <val>+18.27</val>
          </value>
          <value t="str">
            <val>-2.74</val>
          </value>
          <value>
            <val>39</val>
          </value>
          <value>
            <val>-100</val>
          </value>
        </values>
      </ddeItem>
      <ddeItem name="152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2022/07/06</val>
          </value>
          <value t="str">
            <val>0.60</val>
          </value>
          <value>
            <val>1.69</val>
          </value>
          <value t="str">
            <val>1.51</val>
          </value>
          <value t="str">
            <val>0.72</val>
          </value>
          <value t="str">
            <val>大億</val>
          </value>
          <value t="str">
            <val>上市汽車</val>
          </value>
          <value t="str">
            <val>台灣最大OEM車燈製造商</val>
          </value>
        </values>
      </ddeItem>
      <ddeItem name="1521.TW-CName,InvestorConferenceDate,DateofMeetingofShareHolders,TradingDate" advise="1">
        <values cols="4">
          <value t="str">
            <val>大億</val>
          </value>
          <value t="str">
            <val>2022/09/05</val>
          </value>
          <value t="str">
            <val>2022/06/21</val>
          </value>
          <value t="str">
            <val>2022/12/22</val>
          </value>
        </values>
      </ddeItem>
      <ddeItem name="1521.TW-ID,Name,MarketValue,Capital,NetIncomeGrowthRate,OperIncomeGrowthRate,FinancialStatementsTime,TFXRatio,MonthlyNetSalesYoY,RevenueMonth" advise="1">
        <values cols="10">
          <value t="str">
            <val>1521</val>
          </value>
          <value t="str">
            <val>大億</val>
          </value>
          <value t="str">
            <val>27.1</val>
          </value>
          <value t="str">
            <val>7.62</val>
          </value>
          <value t="str">
            <val>49.79</val>
          </value>
          <value t="str">
            <val>-57.82</val>
          </value>
          <value t="str">
            <val>2022/09</val>
          </value>
          <value t="str">
            <val>11.18</val>
          </value>
          <value t="str">
            <val>-3.51</val>
          </value>
          <value t="str">
            <val>2022/11</val>
          </value>
        </values>
      </ddeItem>
      <ddeItem name="1521.TW-OperatingProfitRatio,Price,PriceChangeRatio,InOutRatioNumber,Value,YearReturn,MonthReturn,WeekReturn,FinanceBalanceDif,ChipsField2" advise="1">
        <values cols="10">
          <value t="str">
            <val>1.11</val>
          </value>
          <value>
            <val>35.5</val>
          </value>
          <value>
            <val>-0.28000000000000003</val>
          </value>
          <value t="str">
            <val>45.45%</val>
          </value>
          <value t="str">
            <val>39.1萬</val>
          </value>
          <value t="str">
            <val>-10.24</val>
          </value>
          <value t="str">
            <val>+2.01</val>
          </value>
          <value t="str">
            <val>-1.25</val>
          </value>
          <value>
            <val>-5</val>
          </value>
          <value>
            <val>0</val>
          </value>
        </values>
      </ddeItem>
      <ddeItem name="1522.TW-ChipsField3,ChipsField1,ChipsField25,CashAndStockDividend,CashDividendYieldRate,ProfitFourSeason,ProfitSingle,CName,ExchangeIndustry,CompanyPos" advise="1">
        <values cols="10">
          <value>
            <val>-58</val>
          </value>
          <value>
            <val>277</val>
          </value>
          <value t="str">
            <val>2022/07/14</val>
          </value>
          <value t="str">
            <val>0.50</val>
          </value>
          <value>
            <val>1.9</val>
          </value>
          <value t="str">
            <val>2.95</val>
          </value>
          <value t="str">
            <val>0.95</val>
          </value>
          <value t="str">
            <val>堤維西</val>
          </value>
          <value t="str">
            <val>上市汽車</val>
          </value>
          <value t="str">
            <val>專攻AM市場之台灣第二大車燈製造商</val>
          </value>
        </values>
      </ddeItem>
      <ddeItem name="1522.TW-CName,InvestorConferenceDate,DateofMeetingofShareHolders,TradingDate" advise="1">
        <values cols="4">
          <value t="str">
            <val>堤維西</val>
          </value>
          <value t="str">
            <val>--</val>
          </value>
          <value t="str">
            <val>2022/06/23</val>
          </value>
          <value t="str">
            <val>2022/12/22</val>
          </value>
        </values>
      </ddeItem>
      <ddeItem name="1522.TW-ID,Name,MarketValue,Capital,NetIncomeGrowthRate,OperIncomeGrowthRate,FinancialStatementsTime,TFXRatio,MonthlyNetSalesYoY,RevenueMonth" advise="1">
        <values cols="10">
          <value t="str">
            <val>1522</val>
          </value>
          <value t="str">
            <val>堤維西</val>
          </value>
          <value t="str">
            <val>82.4</val>
          </value>
          <value t="str">
            <val>31.29</val>
          </value>
          <value t="str">
            <val>705.31</val>
          </value>
          <value t="str">
            <val>65.85</val>
          </value>
          <value t="str">
            <val>2022/09</val>
          </value>
          <value t="str">
            <val>-5.15</val>
          </value>
          <value t="str">
            <val>8.06</val>
          </value>
          <value t="str">
            <val>2022/11</val>
          </value>
        </values>
      </ddeItem>
      <ddeItem name="1522.TW-OperatingProfitRatio,Price,PriceChangeRatio,InOutRatioNumber,Value,YearReturn,MonthReturn,WeekReturn,FinanceBalanceDif,ChipsField2" advise="1">
        <values cols="10">
          <value t="str">
            <val>3.81</val>
          </value>
          <value>
            <val>26.35</val>
          </value>
          <value>
            <val>0.96</val>
          </value>
          <value t="str">
            <val>40.39%</val>
          </value>
          <value t="str">
            <val>2501萬</val>
          </value>
          <value t="str">
            <val>+41.58</val>
          </value>
          <value t="str">
            <val>-2.95</val>
          </value>
          <value t="str">
            <val>-7.05</val>
          </value>
          <value>
            <val>-341</val>
          </value>
          <value>
            <val>0</val>
          </value>
        </values>
      </ddeItem>
      <ddeItem name="152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-197</val>
          </value>
          <value t="str">
            <val>2022/04/14</val>
          </value>
          <value t="str">
            <val>0.30</val>
          </value>
          <value>
            <val>1.3</val>
          </value>
          <value t="str">
            <val>1.85</val>
          </value>
          <value t="str">
            <val>0.71</val>
          </value>
          <value t="str">
            <val>耿鼎</val>
          </value>
          <value t="str">
            <val>上市汽車</val>
          </value>
          <value t="str">
            <val>為汽車AM鈑金件製造商</val>
          </value>
        </values>
      </ddeItem>
      <ddeItem name="1524.TW-CName,InvestorConferenceDate,DateofMeetingofShareHolders,TradingDate" advise="1">
        <values cols="4">
          <value t="str">
            <val>耿鼎</val>
          </value>
          <value t="str">
            <val>2021/12/30</val>
          </value>
          <value t="str">
            <val>2022/06/14</val>
          </value>
          <value t="str">
            <val>2022/12/22</val>
          </value>
        </values>
      </ddeItem>
      <ddeItem name="1524.TW-ID,Name,MarketValue,Capital,NetIncomeGrowthRate,OperIncomeGrowthRate,FinancialStatementsTime,TFXRatio,MonthlyNetSalesYoY,RevenueMonth" advise="1">
        <values cols="10">
          <value t="str">
            <val>1524</val>
          </value>
          <value t="str">
            <val>耿鼎</val>
          </value>
          <value t="str">
            <val>38.2</val>
          </value>
          <value t="str">
            <val>16.53</val>
          </value>
          <value t="str">
            <val>536.93</val>
          </value>
          <value t="str">
            <val>245.77</val>
          </value>
          <value t="str">
            <val>2022/09</val>
          </value>
          <value t="str">
            <val>-0.50</val>
          </value>
          <value t="str">
            <val>4.87</val>
          </value>
          <value t="str">
            <val>2022/11</val>
          </value>
        </values>
      </ddeItem>
      <ddeItem name="1524.TW-OperatingProfitRatio,Price,PriceChangeRatio,InOutRatioNumber,Value,YearReturn,MonthReturn,WeekReturn,FinanceBalanceDif,ChipsField2" advise="1">
        <values cols="10">
          <value t="str">
            <val>10.36</val>
          </value>
          <value>
            <val>23.1</val>
          </value>
          <value>
            <val>1.32</val>
          </value>
          <value t="str">
            <val>42.84%</val>
          </value>
          <value t="str">
            <val>4078萬</val>
          </value>
          <value t="str">
            <val>+118.81</val>
          </value>
          <value t="str">
            <val>-3.14</val>
          </value>
          <value t="str">
            <val>-7.60</val>
          </value>
          <value>
            <val>-63</val>
          </value>
          <value>
            <val>0</val>
          </value>
        </values>
      </ddeItem>
      <ddeItem name="1525.TW-ChipsField3,ChipsField1,ChipsField25,CashAndStockDividend,CashDividendYieldRate,ProfitFourSeason,ProfitSingle,CName,ExchangeIndustry,CompanyPos" advise="1">
        <values cols="10">
          <value>
            <val>-4</val>
          </value>
          <value>
            <val>2</val>
          </value>
          <value t="str">
            <val>2022/07/28</val>
          </value>
          <value t="str">
            <val>2.10</val>
          </value>
          <value>
            <val>3.64</val>
          </value>
          <value t="str">
            <val>4.40</val>
          </value>
          <value t="str">
            <val>1.29</val>
          </value>
          <value t="str">
            <val>江申</val>
          </value>
          <value t="str">
            <val>上市汽車</val>
          </value>
          <value t="str">
            <val>台灣最大商用車底盤與車身製造商</val>
          </value>
        </values>
      </ddeItem>
      <ddeItem name="1525.TW-CName,InvestorConferenceDate,DateofMeetingofShareHolders,TradingDate" advise="1">
        <values cols="4">
          <value t="str">
            <val>江申</val>
          </value>
          <value t="str">
            <val>2022/11/17</val>
          </value>
          <value t="str">
            <val>2022/06/21</val>
          </value>
          <value t="str">
            <val>2022/12/22</val>
          </value>
        </values>
      </ddeItem>
      <ddeItem name="1525.TW-ID,Name,MarketValue,Capital,NetIncomeGrowthRate,OperIncomeGrowthRate,FinancialStatementsTime,TFXRatio,MonthlyNetSalesYoY,RevenueMonth" advise="1">
        <values cols="10">
          <value t="str">
            <val>1525</val>
          </value>
          <value t="str">
            <val>江申</val>
          </value>
          <value t="str">
            <val>42.4</val>
          </value>
          <value t="str">
            <val>7.34</val>
          </value>
          <value t="str">
            <val>7.70</val>
          </value>
          <value t="str">
            <val>63.46</val>
          </value>
          <value t="str">
            <val>2022/09</val>
          </value>
          <value t="str">
            <val>8.15</val>
          </value>
          <value t="str">
            <val>45.38</val>
          </value>
          <value t="str">
            <val>2022/11</val>
          </value>
        </values>
      </ddeItem>
      <ddeItem name="1525.TW-OperatingProfitRatio,Price,PriceChangeRatio,InOutRatioNumber,Value,YearReturn,MonthReturn,WeekReturn,FinanceBalanceDif,ChipsField2" advise="1">
        <values cols="10">
          <value t="str">
            <val>2.67</val>
          </value>
          <value>
            <val>57.7</val>
          </value>
          <value>
            <val>1.23</val>
          </value>
          <value t="str">
            <val>28.57%</val>
          </value>
          <value t="str">
            <val>46.2萬</val>
          </value>
          <value t="str">
            <val>-1.14</val>
          </value>
          <value t="str">
            <val>+1.23</val>
          </value>
          <value t="str">
            <val>-2.37</val>
          </value>
          <value>
            <val>0</val>
          </value>
          <value>
            <val>0</val>
          </value>
        </values>
      </ddeItem>
      <ddeItem name="1526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-23</val>
          </value>
          <value t="str">
            <val>2022/11/21</val>
          </value>
          <value t="str">
            <val>1.80</val>
          </value>
          <value>
            <val>6.29</val>
          </value>
          <value t="str">
            <val>6.45</val>
          </value>
          <value t="str">
            <val>1.80</val>
          </value>
          <value t="str">
            <val>日馳</val>
          </value>
          <value t="str">
            <val>上市電機機械</val>
          </value>
          <value t="str">
            <val>全球知名的自行車內、外變速器專業製造廠之一</val>
          </value>
        </values>
      </ddeItem>
      <ddeItem name="1526.TW-CName,InvestorConferenceDate,DateofMeetingofShareHolders,TradingDate" advise="1">
        <values cols="4">
          <value t="str">
            <val>日馳</val>
          </value>
          <value t="str">
            <val>2022/08/05</val>
          </value>
          <value t="str">
            <val>2022/06/17</val>
          </value>
          <value t="str">
            <val>2022/12/22</val>
          </value>
        </values>
      </ddeItem>
      <ddeItem name="1526.TW-ID,Name,MarketValue,Capital,NetIncomeGrowthRate,OperIncomeGrowthRate,FinancialStatementsTime,TFXRatio,MonthlyNetSalesYoY,RevenueMonth" advise="1">
        <values cols="10">
          <value t="str">
            <val>1526</val>
          </value>
          <value t="str">
            <val>日馳</val>
          </value>
          <value t="str">
            <val>24.8</val>
          </value>
          <value t="str">
            <val>6.00</val>
          </value>
          <value t="str">
            <val>64.36</val>
          </value>
          <value t="str">
            <val>59.56</val>
          </value>
          <value t="str">
            <val>2022/09</val>
          </value>
          <value t="str">
            <val>16.24</val>
          </value>
          <value t="str">
            <val>-4.42</val>
          </value>
          <value t="str">
            <val>2022/11</val>
          </value>
        </values>
      </ddeItem>
      <ddeItem name="1526.TW-OperatingProfitRatio,Price,PriceChangeRatio,InOutRatioNumber,Value,YearReturn,MonthReturn,WeekReturn,FinanceBalanceDif,ChipsField2" advise="1">
        <values cols="10">
          <value t="str">
            <val>22.84</val>
          </value>
          <value>
            <val>41.35</val>
          </value>
          <value>
            <val>1.1000000000000001</val>
          </value>
          <value t="str">
            <val>51.85%</val>
          </value>
          <value t="str">
            <val>559萬</val>
          </value>
          <value t="str">
            <val>-5.73</val>
          </value>
          <value t="str">
            <val>-6.87</val>
          </value>
          <value t="str">
            <val>-6.02</val>
          </value>
          <value>
            <val>17</val>
          </value>
          <value>
            <val>0</val>
          </value>
        </values>
      </ddeItem>
      <ddeItem name="152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31</val>
          </value>
          <value t="str">
            <val>2022/08/24</val>
          </value>
          <value t="str">
            <val>2.40</val>
          </value>
          <value>
            <val>5.82</val>
          </value>
          <value t="str">
            <val>5.55</val>
          </value>
          <value t="str">
            <val>1.82</val>
          </value>
          <value t="str">
            <val>鑽全</val>
          </value>
          <value t="str">
            <val>上市電機機械</val>
          </value>
          <value t="str">
            <val>台灣最大的氣動手工具機ODM廠</val>
          </value>
        </values>
      </ddeItem>
      <ddeItem name="1527.TW-CName,InvestorConferenceDate,DateofMeetingofShareHolders,TradingDate" advise="1">
        <values cols="4">
          <value t="str">
            <val>鑽全</val>
          </value>
          <value t="str">
            <val>2022/12/22</val>
          </value>
          <value t="str">
            <val>2022/06/02</val>
          </value>
          <value t="str">
            <val>2022/12/22</val>
          </value>
        </values>
      </ddeItem>
      <ddeItem name="1527.TW-ID,Name,MarketValue,Capital,NetIncomeGrowthRate,OperIncomeGrowthRate,FinancialStatementsTime,TFXRatio,MonthlyNetSalesYoY,RevenueMonth" advise="1">
        <values cols="10">
          <value t="str">
            <val>1527</val>
          </value>
          <value t="str">
            <val>鑽全</val>
          </value>
          <value t="str">
            <val>57.2</val>
          </value>
          <value t="str">
            <val>13.86</val>
          </value>
          <value t="str">
            <val>82.24</val>
          </value>
          <value t="str">
            <val>24.31</val>
          </value>
          <value t="str">
            <val>2022/09</val>
          </value>
          <value t="str">
            <val>36.04</val>
          </value>
          <value t="str">
            <val>-19.81</val>
          </value>
          <value t="str">
            <val>2022/11</val>
          </value>
        </values>
      </ddeItem>
      <ddeItem name="1527.TW-OperatingProfitRatio,Price,PriceChangeRatio,InOutRatioNumber,Value,YearReturn,MonthReturn,WeekReturn,FinanceBalanceDif,ChipsField2" advise="1">
        <values cols="10">
          <value t="str">
            <val>18.54</val>
          </value>
          <value>
            <val>41.25</val>
          </value>
          <value>
            <val>0.98</val>
          </value>
          <value t="str">
            <val>59.39%</val>
          </value>
          <value t="str">
            <val>681萬</val>
          </value>
          <value t="str">
            <val>+1.60</val>
          </value>
          <value t="str">
            <val>-0.48</val>
          </value>
          <value t="str">
            <val>-0.84</val>
          </value>
          <value>
            <val>-3</val>
          </value>
          <value>
            <val>0</val>
          </value>
        </values>
      </ddeItem>
      <ddeItem name="1528.TW-ChipsField3,ChipsField1,ChipsField25,CashAndStockDividend,CashDividendYieldRate,ProfitFourSeason,ProfitSingle,CName,ExchangeIndustry,CompanyPos" advise="1">
        <values cols="10">
          <value>
            <val>-8</val>
          </value>
          <value>
            <val>31</val>
          </value>
          <value t="str">
            <val>2022/08/25</val>
          </value>
          <value t="str">
            <val>0.10</val>
          </value>
          <value>
            <val>0.99</val>
          </value>
          <value t="str">
            <val>0.69</val>
          </value>
          <value t="str">
            <val>0.29</val>
          </value>
          <value t="str">
            <val>恩德</val>
          </value>
          <value t="str">
            <val>上市電機機械</val>
          </value>
          <value t="str">
            <val>台灣生產PCB鑽孔機、成型機與木工機械廠商</val>
          </value>
        </values>
      </ddeItem>
      <ddeItem name="1528.TW-CName,InvestorConferenceDate,DateofMeetingofShareHolders,TradingDate" advise="1">
        <values cols="4">
          <value t="str">
            <val>恩德</val>
          </value>
          <value t="str">
            <val>2022/11/29</val>
          </value>
          <value t="str">
            <val>2022/05/30</val>
          </value>
          <value t="str">
            <val>2022/12/22</val>
          </value>
        </values>
      </ddeItem>
      <ddeItem name="1528.TW-ID,Name,MarketValue,Capital,NetIncomeGrowthRate,OperIncomeGrowthRate,FinancialStatementsTime,TFXRatio,MonthlyNetSalesYoY,RevenueMonth" advise="1">
        <values cols="10">
          <value t="str">
            <val>1528</val>
          </value>
          <value t="str">
            <val>恩德</val>
          </value>
          <value t="str">
            <val>19.6</val>
          </value>
          <value t="str">
            <val>19.43</val>
          </value>
          <value t="str">
            <val>-37.34</val>
          </value>
          <value t="str">
            <val>14.98</val>
          </value>
          <value t="str">
            <val>2022/09</val>
          </value>
          <value t="str">
            <val>20.60</val>
          </value>
          <value t="str">
            <val>37.97</val>
          </value>
          <value t="str">
            <val>2022/11</val>
          </value>
        </values>
      </ddeItem>
      <ddeItem name="1528.TW-OperatingProfitRatio,Price,PriceChangeRatio,InOutRatioNumber,Value,YearReturn,MonthReturn,WeekReturn,FinanceBalanceDif,ChipsField2" advise="1">
        <values cols="10">
          <value t="str">
            <val>2.23</val>
          </value>
          <value>
            <val>10.1</val>
          </value>
          <value>
            <val>0.5</val>
          </value>
          <value t="str">
            <val>26.09%</val>
          </value>
          <value t="str">
            <val>162萬</val>
          </value>
          <value t="str">
            <val>-14.34</val>
          </value>
          <value t="str">
            <val>+7.22</val>
          </value>
          <value t="str">
            <val>-2.88</val>
          </value>
          <value>
            <val>-3</val>
          </value>
          <value>
            <val>0</val>
          </value>
        </values>
      </ddeItem>
      <ddeItem name="152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-91</val>
          </value>
          <value t="str">
            <val>2022/09/07</val>
          </value>
          <value t="str">
            <val>0.90</val>
          </value>
          <value>
            <val>4.5999999999999996</val>
          </value>
          <value t="str">
            <val>0.44</val>
          </value>
          <value t="str">
            <val>0.11</val>
          </value>
          <value t="str">
            <val>樂事綠能</val>
          </value>
          <value t="str">
            <val>上市電機機械</val>
          </value>
          <value t="str">
            <val>重電事業及太陽能光電業務為主</val>
          </value>
        </values>
      </ddeItem>
      <ddeItem name="1529.TW-CName,InvestorConferenceDate,DateofMeetingofShareHolders,TradingDate" advise="1">
        <values cols="4">
          <value t="str">
            <val>樂事綠能</val>
          </value>
          <value t="str">
            <val>2022/12/14</val>
          </value>
          <value t="str">
            <val>2022/06/21</val>
          </value>
          <value t="str">
            <val>2022/12/22</val>
          </value>
        </values>
      </ddeItem>
      <ddeItem name="1529.TW-ID,Name,MarketValue,Capital,NetIncomeGrowthRate,OperIncomeGrowthRate,FinancialStatementsTime,TFXRatio,MonthlyNetSalesYoY,RevenueMonth" advise="1">
        <values cols="10">
          <value t="str">
            <val>1529</val>
          </value>
          <value t="str">
            <val>樂事綠能</val>
          </value>
          <value t="str">
            <val>28.4</val>
          </value>
          <value t="str">
            <val>14.55</val>
          </value>
          <value t="str">
            <val>-59.26</val>
          </value>
          <value t="str">
            <val>-31.34</val>
          </value>
          <value t="str">
            <val>2022/09</val>
          </value>
          <value t="str">
            <val>23.69</val>
          </value>
          <value t="str">
            <val>42.30</val>
          </value>
          <value t="str">
            <val>2022/11</val>
          </value>
        </values>
      </ddeItem>
      <ddeItem name="1529.TW-OperatingProfitRatio,Price,PriceChangeRatio,InOutRatioNumber,Value,YearReturn,MonthReturn,WeekReturn,FinanceBalanceDif,ChipsField2" advise="1">
        <values cols="10">
          <value t="str">
            <val>29.30</val>
          </value>
          <value>
            <val>19.55</val>
          </value>
          <value>
            <val>-1.26</val>
          </value>
          <value t="str">
            <val>32.96%</val>
          </value>
          <value t="str">
            <val>4489萬</val>
          </value>
          <value t="str">
            <val>-0.73</val>
          </value>
          <value t="str">
            <val>+18.84</val>
          </value>
          <value t="str">
            <val>+1.56</val>
          </value>
          <value>
            <val>179</val>
          </value>
          <value>
            <val>0</val>
          </value>
        </values>
      </ddeItem>
      <ddeItem name="153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2022/08/04</val>
          </value>
          <value t="str">
            <val>1.50</val>
          </value>
          <value>
            <val>4.93</val>
          </value>
          <value t="str">
            <val>3.74</val>
          </value>
          <value t="str">
            <val>1.51</val>
          </value>
          <value t="str">
            <val>亞崴</val>
          </value>
          <value t="str">
            <val>上市電機機械</val>
          </value>
          <value t="str">
            <val>台灣知名CNC加工機及龍門機製造商</val>
          </value>
        </values>
      </ddeItem>
      <ddeItem name="1530.TW-CName,InvestorConferenceDate,DateofMeetingofShareHolders,TradingDate" advise="1">
        <values cols="4">
          <value t="str">
            <val>亞崴</val>
          </value>
          <value t="str">
            <val>2022/11/25</val>
          </value>
          <value t="str">
            <val>2022/06/15</val>
          </value>
          <value t="str">
            <val>2022/12/22</val>
          </value>
        </values>
      </ddeItem>
      <ddeItem name="1530.TW-ID,Name,MarketValue,Capital,NetIncomeGrowthRate,OperIncomeGrowthRate,FinancialStatementsTime,TFXRatio,MonthlyNetSalesYoY,RevenueMonth" advise="1">
        <values cols="10">
          <value t="str">
            <val>1530</val>
          </value>
          <value t="str">
            <val>亞崴</val>
          </value>
          <value t="str">
            <val>29.4</val>
          </value>
          <value t="str">
            <val>9.66</val>
          </value>
          <value t="str">
            <val>261.77</val>
          </value>
          <value t="str">
            <val>19.32</val>
          </value>
          <value t="str">
            <val>2022/09</val>
          </value>
          <value t="str">
            <val>-3.54</val>
          </value>
          <value t="str">
            <val>-36.97</val>
          </value>
          <value t="str">
            <val>2022/11</val>
          </value>
        </values>
      </ddeItem>
      <ddeItem name="1530.TW-OperatingProfitRatio,Price,PriceChangeRatio,InOutRatioNumber,Value,YearReturn,MonthReturn,WeekReturn,FinanceBalanceDif,ChipsField2" advise="1">
        <values cols="10">
          <value t="str">
            <val>9.49</val>
          </value>
          <value>
            <val>30.45</val>
          </value>
          <value>
            <val>0.33</val>
          </value>
          <value t="str">
            <val>26.32%</val>
          </value>
          <value t="str">
            <val>60.9萬</val>
          </value>
          <value t="str">
            <val>-2.12</val>
          </value>
          <value t="str">
            <val>-1.77</val>
          </value>
          <value t="str">
            <val>-1.46</val>
          </value>
          <value>
            <val>3</val>
          </value>
          <value>
            <val>0</val>
          </value>
        </values>
      </ddeItem>
      <ddeItem name="153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</val>
          </value>
          <value t="str">
            <val>2022/08/29</val>
          </value>
          <value t="str">
            <val>0.70</val>
          </value>
          <value>
            <val>5</val>
          </value>
          <value t="str">
            <val>1.29</val>
          </value>
          <value t="str">
            <val>0.36</val>
          </value>
          <value t="str">
            <val>高林股</val>
          </value>
          <value t="str">
            <val>上市電機機械</val>
          </value>
          <value t="str">
            <val>全球前三大工業用縫紉機製造商</val>
          </value>
        </values>
      </ddeItem>
      <ddeItem name="1531.TW-CName,InvestorConferenceDate,DateofMeetingofShareHolders,TradingDate" advise="1">
        <values cols="4">
          <value t="str">
            <val>高林股</val>
          </value>
          <value t="str">
            <val>2022/11/25</val>
          </value>
          <value t="str">
            <val>2022/06/24</val>
          </value>
          <value t="str">
            <val>2022/12/22</val>
          </value>
        </values>
      </ddeItem>
      <ddeItem name="1531.TW-ID,Name,MarketValue,Capital,NetIncomeGrowthRate,OperIncomeGrowthRate,FinancialStatementsTime,TFXRatio,MonthlyNetSalesYoY,RevenueMonth" advise="1">
        <values cols="10">
          <value t="str">
            <val>1531</val>
          </value>
          <value t="str">
            <val>高林股</val>
          </value>
          <value t="str">
            <val>25.7</val>
          </value>
          <value t="str">
            <val>18.36</val>
          </value>
          <value t="str">
            <val>44.40</val>
          </value>
          <value t="str">
            <val>-43.33</val>
          </value>
          <value t="str">
            <val>2022/09</val>
          </value>
          <value t="str">
            <val>111.28</val>
          </value>
          <value t="str">
            <val>-41.93</val>
          </value>
          <value t="str">
            <val>2022/11</val>
          </value>
        </values>
      </ddeItem>
      <ddeItem name="1531.TW-OperatingProfitRatio,Price,PriceChangeRatio,InOutRatioNumber,Value,YearReturn,MonthReturn,WeekReturn,FinanceBalanceDif,ChipsField2" advise="1">
        <values cols="10">
          <value t="str">
            <val>4.74</val>
          </value>
          <value>
            <val>14</val>
          </value>
          <value>
            <val>0</val>
          </value>
          <value t="str">
            <val>48.15%</val>
          </value>
          <value t="str">
            <val>37.6萬</val>
          </value>
          <value t="str">
            <val>-6.49</val>
          </value>
          <value t="str">
            <val>+2.56</val>
          </value>
          <value t="str">
            <val>-0.36</val>
          </value>
          <value>
            <val>-20</val>
          </value>
          <value>
            <val>0</val>
          </value>
        </values>
      </ddeItem>
      <ddeItem name="1532.TW-ChipsField3,ChipsField1,ChipsField25,CashAndStockDividend,CashDividendYieldRate,ProfitFourSeason,ProfitSingle,CName,ExchangeIndustry,CompanyPos" advise="1">
        <values cols="10">
          <value>
            <val>-22</val>
          </value>
          <value>
            <val>25</val>
          </value>
          <value t="str">
            <val>2022/07/14</val>
          </value>
          <value t="str">
            <val>2.11</val>
          </value>
          <value>
            <val>7.38</val>
          </value>
          <value t="str">
            <val>3.49</val>
          </value>
          <value t="str">
            <val>0.52</val>
          </value>
          <value t="str">
            <val>勤美</val>
          </value>
          <value t="str">
            <val>上市電機機械</val>
          </value>
          <value t="str">
            <val>台灣鑄鐵龍頭廠之一，並轉投資營建地產</val>
          </value>
        </values>
      </ddeItem>
      <ddeItem name="1532.TW-CName,InvestorConferenceDate,DateofMeetingofShareHolders,TradingDate" advise="1">
        <values cols="4">
          <value t="str">
            <val>勤美</val>
          </value>
          <value t="str">
            <val>2022/09/12</val>
          </value>
          <value t="str">
            <val>2022/06/24</val>
          </value>
          <value t="str">
            <val>2022/12/22</val>
          </value>
        </values>
      </ddeItem>
      <ddeItem name="1532.TW-ID,Name,MarketValue,Capital,NetIncomeGrowthRate,OperIncomeGrowthRate,FinancialStatementsTime,TFXRatio,MonthlyNetSalesYoY,RevenueMonth" advise="1">
        <values cols="10">
          <value t="str">
            <val>1532</val>
          </value>
          <value t="str">
            <val>勤美</val>
          </value>
          <value t="str">
            <val>107.6</val>
          </value>
          <value t="str">
            <val>37.61</val>
          </value>
          <value t="str">
            <val>-0.32</val>
          </value>
          <value t="str">
            <val>-28.14</val>
          </value>
          <value t="str">
            <val>2022/09</val>
          </value>
          <value t="str">
            <val>3.98</val>
          </value>
          <value t="str">
            <val>-46.24</val>
          </value>
          <value t="str">
            <val>2022/11</val>
          </value>
        </values>
      </ddeItem>
      <ddeItem name="1532.TW-OperatingProfitRatio,Price,PriceChangeRatio,InOutRatioNumber,Value,YearReturn,MonthReturn,WeekReturn,FinanceBalanceDif,ChipsField2" advise="1">
        <values cols="10">
          <value t="str">
            <val>6.82</val>
          </value>
          <value>
            <val>28.6</val>
          </value>
          <value>
            <val>1.24</val>
          </value>
          <value t="str">
            <val>38.13%</val>
          </value>
          <value t="str">
            <val>397萬</val>
          </value>
          <value t="str">
            <val>-5.59</val>
          </value>
          <value t="str">
            <val>+1.42</val>
          </value>
          <value t="str">
            <val>-3.54</val>
          </value>
          <value>
            <val>-15</val>
          </value>
          <value>
            <val>-50</val>
          </value>
        </values>
      </ddeItem>
      <ddeItem name="153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11</val>
          </value>
          <value t="str">
            <val>2022/09/05</val>
          </value>
          <value t="str">
            <val>0.30</val>
          </value>
          <value>
            <val>0.6</val>
          </value>
          <value t="str">
            <val>0.76</val>
          </value>
          <value t="str">
            <val>0.22</val>
          </value>
          <value t="str">
            <val>車王電</val>
          </value>
          <value t="str">
            <val>上市汽車</val>
          </value>
          <value t="str">
            <val>主攻AM車用電子零組件之大廠</val>
          </value>
        </values>
      </ddeItem>
      <ddeItem name="1533.TW-CName,InvestorConferenceDate,DateofMeetingofShareHolders,TradingDate" advise="1">
        <values cols="4">
          <value t="str">
            <val>車王電</val>
          </value>
          <value t="str">
            <val>2022/10/25</val>
          </value>
          <value t="str">
            <val>2022/06/14</val>
          </value>
          <value t="str">
            <val>2022/12/22</val>
          </value>
        </values>
      </ddeItem>
      <ddeItem name="1533.TW-ID,Name,MarketValue,Capital,NetIncomeGrowthRate,OperIncomeGrowthRate,FinancialStatementsTime,TFXRatio,MonthlyNetSalesYoY,RevenueMonth" advise="1">
        <values cols="10">
          <value t="str">
            <val>1533</val>
          </value>
          <value t="str">
            <val>車王電</val>
          </value>
          <value t="str">
            <val>49.6</val>
          </value>
          <value t="str">
            <val>9.85</val>
          </value>
          <value t="str">
            <val>-145.87</val>
          </value>
          <value t="str">
            <val>-219.09</val>
          </value>
          <value t="str">
            <val>2022/09</val>
          </value>
          <value t="str">
            <val>32.85</val>
          </value>
          <value t="str">
            <val>53.27</val>
          </value>
          <value t="str">
            <val>2022/11</val>
          </value>
        </values>
      </ddeItem>
      <ddeItem name="1533.TW-OperatingProfitRatio,Price,PriceChangeRatio,InOutRatioNumber,Value,YearReturn,MonthReturn,WeekReturn,FinanceBalanceDif,ChipsField2" advise="1">
        <values cols="10">
          <value t="str">
            <val>-1.60</val>
          </value>
          <value>
            <val>50.3</val>
          </value>
          <value>
            <val>0.4</val>
          </value>
          <value t="str">
            <val>35.75%</val>
          </value>
          <value t="str">
            <val>980萬</val>
          </value>
          <value t="str">
            <val>-11.79</val>
          </value>
          <value t="str">
            <val>-0.40</val>
          </value>
          <value t="str">
            <val>-3.64</val>
          </value>
          <value>
            <val>-4</val>
          </value>
          <value>
            <val>0</val>
          </value>
        </values>
      </ddeItem>
      <ddeItem name="1535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-3</val>
          </value>
          <value t="str">
            <val>2022/07/19</val>
          </value>
          <value t="str">
            <val>2.60</val>
          </value>
          <value>
            <val>5.91</val>
          </value>
          <value t="str">
            <val>4.35</val>
          </value>
          <value t="str">
            <val>1.04</val>
          </value>
          <value t="str">
            <val>中宇</val>
          </value>
          <value t="str">
            <val>上市電機機械</val>
          </value>
          <value t="str">
            <val>中鋼旗下環保工程廠</val>
          </value>
        </values>
      </ddeItem>
      <ddeItem name="1535.TW-CName,InvestorConferenceDate,DateofMeetingofShareHolders,TradingDate" advise="1">
        <values cols="4">
          <value t="str">
            <val>中宇</val>
          </value>
          <value t="str">
            <val>2022/12/21</val>
          </value>
          <value t="str">
            <val>2022/06/23</val>
          </value>
          <value t="str">
            <val>2022/12/22</val>
          </value>
        </values>
      </ddeItem>
      <ddeItem name="1535.TW-ID,Name,MarketValue,Capital,NetIncomeGrowthRate,OperIncomeGrowthRate,FinancialStatementsTime,TFXRatio,MonthlyNetSalesYoY,RevenueMonth" advise="1">
        <values cols="10">
          <value t="str">
            <val>1535</val>
          </value>
          <value t="str">
            <val>中宇</val>
          </value>
          <value t="str">
            <val>54.4</val>
          </value>
          <value t="str">
            <val>12.37</val>
          </value>
          <value t="str">
            <val>43.92</val>
          </value>
          <value t="str">
            <val>24.71</val>
          </value>
          <value t="str">
            <val>2022/09</val>
          </value>
          <value t="str">
            <val>3.81</val>
          </value>
          <value t="str">
            <val>5.55</val>
          </value>
          <value t="str">
            <val>2022/11</val>
          </value>
        </values>
      </ddeItem>
      <ddeItem name="1535.TW-OperatingProfitRatio,Price,PriceChangeRatio,InOutRatioNumber,Value,YearReturn,MonthReturn,WeekReturn,FinanceBalanceDif,ChipsField2" advise="1">
        <values cols="10">
          <value t="str">
            <val>3.65</val>
          </value>
          <value>
            <val>44</val>
          </value>
          <value>
            <val>3.41</val>
          </value>
          <value t="str">
            <val>58.33%</val>
          </value>
          <value t="str">
            <val>1748萬</val>
          </value>
          <value t="str">
            <val>+18.14</val>
          </value>
          <value t="str">
            <val>+5.01</val>
          </value>
          <value t="str">
            <val>+2.92</val>
          </value>
          <value>
            <val>0</val>
          </value>
          <value>
            <val>0</val>
          </value>
        </values>
      </ddeItem>
      <ddeItem name="1536.TW-ChipsField3,ChipsField1,ChipsField25,CashAndStockDividend,CashDividendYieldRate,ProfitFourSeason,ProfitSingle,CName,ExchangeIndustry,CompanyPos" advise="1">
        <values cols="10">
          <value>
            <val>-43</val>
          </value>
          <value>
            <val>-383</val>
          </value>
          <value t="str">
            <val>2022/06/28</val>
          </value>
          <value t="str">
            <val>1.37</val>
          </value>
          <value>
            <val>1.94</val>
          </value>
          <value t="str">
            <val>1.99</val>
          </value>
          <value t="str">
            <val>1.17</val>
          </value>
          <value t="str">
            <val>和大</val>
          </value>
          <value t="str">
            <val>上市汽車</val>
          </value>
          <value t="str">
            <val>台灣最大、全球前十大車廠之傳動零組件供應商</val>
          </value>
        </values>
      </ddeItem>
      <ddeItem name="1536.TW-CName,InvestorConferenceDate,DateofMeetingofShareHolders,TradingDate" advise="1">
        <values cols="4">
          <value t="str">
            <val>和大</val>
          </value>
          <value t="str">
            <val>2021/07/07</val>
          </value>
          <value t="str">
            <val>2022/06/08</val>
          </value>
          <value t="str">
            <val>2022/12/22</val>
          </value>
        </values>
      </ddeItem>
      <ddeItem name="1536.TW-ID,Name,MarketValue,Capital,NetIncomeGrowthRate,OperIncomeGrowthRate,FinancialStatementsTime,TFXRatio,MonthlyNetSalesYoY,RevenueMonth" advise="1">
        <values cols="10">
          <value t="str">
            <val>1536</val>
          </value>
          <value t="str">
            <val>和大</val>
          </value>
          <value t="str">
            <val>197.9</val>
          </value>
          <value t="str">
            <val>27.95</val>
          </value>
          <value t="str">
            <val>67.79</val>
          </value>
          <value t="str">
            <val>-23.62</val>
          </value>
          <value t="str">
            <val>2022/09</val>
          </value>
          <value t="str">
            <val>6.79</val>
          </value>
          <value t="str">
            <val>1.00</val>
          </value>
          <value t="str">
            <val>2022/11</val>
          </value>
        </values>
      </ddeItem>
      <ddeItem name="1536.TW-OperatingProfitRatio,Price,PriceChangeRatio,InOutRatioNumber,Value,YearReturn,MonthReturn,WeekReturn,FinanceBalanceDif,ChipsField2" advise="1">
        <values cols="10">
          <value t="str">
            <val>6.30</val>
          </value>
          <value>
            <val>70.8</val>
          </value>
          <value>
            <val>1.1399999999999999</val>
          </value>
          <value t="str">
            <val>37.48%</val>
          </value>
          <value t="str">
            <val>5093萬</val>
          </value>
          <value t="str">
            <val>-21.10</val>
          </value>
          <value t="str">
            <val>-0.98</val>
          </value>
          <value t="str">
            <val>-7.21</val>
          </value>
          <value>
            <val>-119</val>
          </value>
          <value>
            <val>0</val>
          </value>
        </values>
      </ddeItem>
      <ddeItem name="1537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20</val>
          </value>
          <value t="str">
            <val>2022/08/17</val>
          </value>
          <value t="str">
            <val>7.00</val>
          </value>
          <value>
            <val>5.1100000000000003</val>
          </value>
          <value t="str">
            <val>11.17</val>
          </value>
          <value t="str">
            <val>3.09</val>
          </value>
          <value t="str">
            <val>廣隆</val>
          </value>
          <value t="str">
            <val>上市電機機械</val>
          </value>
          <value t="str">
            <val>鉛酸蓄電池專業製造商</val>
          </value>
        </values>
      </ddeItem>
      <ddeItem name="1537.TW-CName,InvestorConferenceDate,DateofMeetingofShareHolders,TradingDate" advise="1">
        <values cols="4">
          <value t="str">
            <val>廣隆</val>
          </value>
          <value t="str">
            <val>--</val>
          </value>
          <value t="str">
            <val>2022/06/17</val>
          </value>
          <value t="str">
            <val>2022/12/22</val>
          </value>
        </values>
      </ddeItem>
      <ddeItem name="1537.TW-ID,Name,MarketValue,Capital,NetIncomeGrowthRate,OperIncomeGrowthRate,FinancialStatementsTime,TFXRatio,MonthlyNetSalesYoY,RevenueMonth" advise="1">
        <values cols="10">
          <value t="str">
            <val>1537</val>
          </value>
          <value t="str">
            <val>廣隆</val>
          </value>
          <value t="str">
            <val>112.4</val>
          </value>
          <value t="str">
            <val>8.21</val>
          </value>
          <value t="str">
            <val>61.16</val>
          </value>
          <value t="str">
            <val>26.13</val>
          </value>
          <value t="str">
            <val>2022/09</val>
          </value>
          <value t="str">
            <val>-27.11</val>
          </value>
          <value t="str">
            <val>-12.41</val>
          </value>
          <value t="str">
            <val>2022/11</val>
          </value>
        </values>
      </ddeItem>
      <ddeItem name="1537.TW-OperatingProfitRatio,Price,PriceChangeRatio,InOutRatioNumber,Value,YearReturn,MonthReturn,WeekReturn,FinanceBalanceDif,ChipsField2" advise="1">
        <values cols="10">
          <value t="str">
            <val>13.54</val>
          </value>
          <value>
            <val>137</val>
          </value>
          <value>
            <val>0</val>
          </value>
          <value t="str">
            <val>61.76%</val>
          </value>
          <value t="str">
            <val>481萬</val>
          </value>
          <value t="str">
            <val>+4.29</val>
          </value>
          <value t="str">
            <val>+0.37</val>
          </value>
          <value t="str">
            <val>0.00</val>
          </value>
          <value>
            <val>-1</val>
          </value>
          <value>
            <val>0</val>
          </value>
        </values>
      </ddeItem>
      <ddeItem name="153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-3.95</val>
          </value>
          <value t="str">
            <val>-0.16</val>
          </value>
          <value t="str">
            <val>正峰</val>
          </value>
          <value t="str">
            <val>上市電機機械</val>
          </value>
          <value t="str">
            <val>以生產電動工具機、汽車燈具為主的廠商</val>
          </value>
        </values>
      </ddeItem>
      <ddeItem name="1538.TW-CName,InvestorConferenceDate,DateofMeetingofShareHolders,TradingDate" advise="1">
        <values cols="4">
          <value t="str">
            <val>正峰</val>
          </value>
          <value t="str">
            <val>2022/10/12</val>
          </value>
          <value t="str">
            <val>2022/06/29</val>
          </value>
          <value t="str">
            <val>2022/12/22</val>
          </value>
        </values>
      </ddeItem>
      <ddeItem name="1538.TW-ID,Name,MarketValue,Capital,NetIncomeGrowthRate,OperIncomeGrowthRate,FinancialStatementsTime,TFXRatio,MonthlyNetSalesYoY,RevenueMonth" advise="1">
        <values cols="10">
          <value t="str">
            <val>1538</val>
          </value>
          <value t="str">
            <val>正峰</val>
          </value>
          <value t="str">
            <val>1.6</val>
          </value>
          <value t="str">
            <val>3.39</val>
          </value>
          <value t="str">
            <val>42.70</val>
          </value>
          <value t="str">
            <val>51.61</val>
          </value>
          <value t="str">
            <val>2022/09</val>
          </value>
          <value t="str">
            <val>-24.16</val>
          </value>
          <value t="str">
            <val>-6.86</val>
          </value>
          <value t="str">
            <val>2022/11</val>
          </value>
        </values>
      </ddeItem>
      <ddeItem name="1538.TW-OperatingProfitRatio,Price,PriceChangeRatio,InOutRatioNumber,Value,YearReturn,MonthReturn,WeekReturn,FinanceBalanceDif,ChipsField2" advise="1">
        <values cols="10">
          <value t="str">
            <val>-13.64</val>
          </value>
          <value>
            <val>7.5</val>
          </value>
          <value>
            <val>4.17</val>
          </value>
          <value t="str">
            <val>20.00%</val>
          </value>
          <value t="str">
            <val>11.0萬</val>
          </value>
          <value t="str">
            <val>-33.33</val>
          </value>
          <value t="str">
            <val>+22.95</val>
          </value>
          <value t="str">
            <val>+24.17</val>
          </value>
          <value>
            <val>0</val>
          </value>
          <value>
            <val>0</val>
          </value>
        </values>
      </ddeItem>
      <ddeItem name="153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84</val>
          </value>
          <value t="str">
            <val>2022/08/29</val>
          </value>
          <value t="str">
            <val>0.80</val>
          </value>
          <value>
            <val>2.68</val>
          </value>
          <value t="str">
            <val>6.54</val>
          </value>
          <value t="str">
            <val>1.73</val>
          </value>
          <value t="str">
            <val>巨庭</val>
          </value>
          <value t="str">
            <val>上市電機機械</val>
          </value>
          <value t="str">
            <val>台灣木工具機製造廠</val>
          </value>
        </values>
      </ddeItem>
      <ddeItem name="1539.TW-CName,InvestorConferenceDate,DateofMeetingofShareHolders,TradingDate" advise="1">
        <values cols="4">
          <value t="str">
            <val>巨庭</val>
          </value>
          <value t="str">
            <val>2022/12/07</val>
          </value>
          <value t="str">
            <val>2022/06/22</val>
          </value>
          <value t="str">
            <val>2022/12/22</val>
          </value>
        </values>
      </ddeItem>
      <ddeItem name="1539.TW-ID,Name,MarketValue,Capital,NetIncomeGrowthRate,OperIncomeGrowthRate,FinancialStatementsTime,TFXRatio,MonthlyNetSalesYoY,RevenueMonth" advise="1">
        <values cols="10">
          <value t="str">
            <val>1539</val>
          </value>
          <value t="str">
            <val>巨庭</val>
          </value>
          <value t="str">
            <val>19.5</val>
          </value>
          <value t="str">
            <val>6.54</val>
          </value>
          <value t="str">
            <val>469.56</val>
          </value>
          <value t="str">
            <val>20.81</val>
          </value>
          <value t="str">
            <val>2022/09</val>
          </value>
          <value t="str">
            <val>-7.55</val>
          </value>
          <value t="str">
            <val>-68.11</val>
          </value>
          <value t="str">
            <val>2022/11</val>
          </value>
        </values>
      </ddeItem>
      <ddeItem name="1539.TW-OperatingProfitRatio,Price,PriceChangeRatio,InOutRatioNumber,Value,YearReturn,MonthReturn,WeekReturn,FinanceBalanceDif,ChipsField2" advise="1">
        <values cols="10">
          <value t="str">
            <val>8.26</val>
          </value>
          <value>
            <val>29.9</val>
          </value>
          <value>
            <val>2.4</val>
          </value>
          <value t="str">
            <val>49.58%</val>
          </value>
          <value t="str">
            <val>8941萬</val>
          </value>
          <value t="str">
            <val>+38.80</val>
          </value>
          <value t="str">
            <val>-5.38</val>
          </value>
          <value t="str">
            <val>-2.76</val>
          </value>
          <value>
            <val>-23</val>
          </value>
          <value>
            <val>0</val>
          </value>
        </values>
      </ddeItem>
      <ddeItem name="154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11</val>
          </value>
          <value t="str">
            <val>2022/08/02</val>
          </value>
          <value t="str">
            <val>0.30</val>
          </value>
          <value>
            <val>1.97</val>
          </value>
          <value t="str">
            <val>1.22</val>
          </value>
          <value t="str">
            <val>0.59</val>
          </value>
          <value t="str">
            <val>喬福</val>
          </value>
          <value t="str">
            <val>上市電機機械</val>
          </value>
          <value t="str">
            <val>客製化工具機生產廠商，核心產品為切削中心機</val>
          </value>
        </values>
      </ddeItem>
      <ddeItem name="1540.TW-CName,InvestorConferenceDate,DateofMeetingofShareHolders,TradingDate" advise="1">
        <values cols="4">
          <value t="str">
            <val>喬福</val>
          </value>
          <value t="str">
            <val>2022/10/31</val>
          </value>
          <value t="str">
            <val>2022/06/29</val>
          </value>
          <value t="str">
            <val>2022/12/22</val>
          </value>
        </values>
      </ddeItem>
      <ddeItem name="1540.TW-ID,Name,MarketValue,Capital,NetIncomeGrowthRate,OperIncomeGrowthRate,FinancialStatementsTime,TFXRatio,MonthlyNetSalesYoY,RevenueMonth" advise="1">
        <values cols="10">
          <value t="str">
            <val>1540</val>
          </value>
          <value t="str">
            <val>喬福</val>
          </value>
          <value t="str">
            <val>13.0</val>
          </value>
          <value t="str">
            <val>8.55</val>
          </value>
          <value t="str">
            <val>3347.00</val>
          </value>
          <value t="str">
            <val>781.58</val>
          </value>
          <value t="str">
            <val>2022/09</val>
          </value>
          <value t="str">
            <val>-44.67</val>
          </value>
          <value t="str">
            <val>-28.23</val>
          </value>
          <value t="str">
            <val>2022/11</val>
          </value>
        </values>
      </ddeItem>
      <ddeItem name="1540.TW-OperatingProfitRatio,Price,PriceChangeRatio,InOutRatioNumber,Value,YearReturn,MonthReturn,WeekReturn,FinanceBalanceDif,ChipsField2" advise="1">
        <values cols="10">
          <value t="str">
            <val>19.30</val>
          </value>
          <value>
            <val>15.25</val>
          </value>
          <value>
            <val>0.66</val>
          </value>
          <value t="str">
            <val>34.91%</val>
          </value>
          <value t="str">
            <val>165萬</val>
          </value>
          <value t="str">
            <val>+2.48</val>
          </value>
          <value t="str">
            <val>-4.98</val>
          </value>
          <value t="str">
            <val>-2.24</val>
          </value>
          <value>
            <val>-237</val>
          </value>
          <value>
            <val>0</val>
          </value>
        </values>
      </ddeItem>
      <ddeItem name="154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2022/08/25</val>
          </value>
          <value t="str">
            <val>2.50</val>
          </value>
          <value>
            <val>7.41</val>
          </value>
          <value t="str">
            <val>5.95</val>
          </value>
          <value t="str">
            <val>1.24</val>
          </value>
          <value t="str">
            <val>錩泰</val>
          </value>
          <value t="str">
            <val>上市電機機械</val>
          </value>
          <value t="str">
            <val>主要代工生產圓鋸機、線鋸機等桌上型木工機廠商</val>
          </value>
        </values>
      </ddeItem>
      <ddeItem name="1541.TW-CName,InvestorConferenceDate,DateofMeetingofShareHolders,TradingDate" advise="1">
        <values cols="4">
          <value t="str">
            <val>錩泰</val>
          </value>
          <value t="str">
            <val>2022/11/18</val>
          </value>
          <value t="str">
            <val>2022/06/27</val>
          </value>
          <value t="str">
            <val>2022/12/22</val>
          </value>
        </values>
      </ddeItem>
      <ddeItem name="1541.TW-ID,Name,MarketValue,Capital,NetIncomeGrowthRate,OperIncomeGrowthRate,FinancialStatementsTime,TFXRatio,MonthlyNetSalesYoY,RevenueMonth" advise="1">
        <values cols="10">
          <value t="str">
            <val>1541</val>
          </value>
          <value t="str">
            <val>錩泰</val>
          </value>
          <value t="str">
            <val>26.6</val>
          </value>
          <value t="str">
            <val>7.88</val>
          </value>
          <value t="str">
            <val>82.03</val>
          </value>
          <value t="str">
            <val>-63.24</val>
          </value>
          <value t="str">
            <val>2022/09</val>
          </value>
          <value t="str">
            <val>-5.28</val>
          </value>
          <value t="str">
            <val>-61.40</val>
          </value>
          <value t="str">
            <val>2022/11</val>
          </value>
        </values>
      </ddeItem>
      <ddeItem name="1541.TW-OperatingProfitRatio,Price,PriceChangeRatio,InOutRatioNumber,Value,YearReturn,MonthReturn,WeekReturn,FinanceBalanceDif,ChipsField2" advise="1">
        <values cols="10">
          <value t="str">
            <val>3.13</val>
          </value>
          <value>
            <val>33.75</val>
          </value>
          <value>
            <val>0.15</val>
          </value>
          <value t="str">
            <val>6.67%</val>
          </value>
          <value t="str">
            <val>57.1萬</val>
          </value>
          <value t="str">
            <val>-18.37</val>
          </value>
          <value t="str">
            <val>+2.27</val>
          </value>
          <value t="str">
            <val>-1.46</val>
          </value>
          <value>
            <val>0</val>
          </value>
          <value>
            <val>0</val>
          </value>
        </values>
      </ddeItem>
      <ddeItem name="1558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-12</val>
          </value>
          <value t="str">
            <val>2022/07/28</val>
          </value>
          <value t="str">
            <val>8.50</val>
          </value>
          <value>
            <val>7.08</val>
          </value>
          <value t="str">
            <val>7.66</val>
          </value>
          <value t="str">
            <val>2.06</val>
          </value>
          <value t="str">
            <val>伸興</val>
          </value>
          <value t="str">
            <val>上市電機機械</val>
          </value>
          <value t="str">
            <val>全球最大家用縫紉機ODM廠，主要客戶為Singer</val>
          </value>
        </values>
      </ddeItem>
      <ddeItem name="1558.TW-CName,InvestorConferenceDate,DateofMeetingofShareHolders,TradingDate" advise="1">
        <values cols="4">
          <value t="str">
            <val>伸興</val>
          </value>
          <value t="str">
            <val>2022/11/25</val>
          </value>
          <value t="str">
            <val>2022/06/15</val>
          </value>
          <value t="str">
            <val>2022/12/22</val>
          </value>
        </values>
      </ddeItem>
      <ddeItem name="1558.TW-ID,Name,MarketValue,Capital,NetIncomeGrowthRate,OperIncomeGrowthRate,FinancialStatementsTime,TFXRatio,MonthlyNetSalesYoY,RevenueMonth" advise="1">
        <values cols="10">
          <value t="str">
            <val>1558</val>
          </value>
          <value t="str">
            <val>伸興</val>
          </value>
          <value t="str">
            <val>79.8</val>
          </value>
          <value t="str">
            <val>6.65</val>
          </value>
          <value t="str">
            <val>-2.44</val>
          </value>
          <value t="str">
            <val>-68.10</val>
          </value>
          <value t="str">
            <val>2022/09</val>
          </value>
          <value t="str">
            <val>-1.45</val>
          </value>
          <value t="str">
            <val>43.42</val>
          </value>
          <value t="str">
            <val>2022/11</val>
          </value>
        </values>
      </ddeItem>
      <ddeItem name="1558.TW-OperatingProfitRatio,Price,PriceChangeRatio,InOutRatioNumber,Value,YearReturn,MonthReturn,WeekReturn,FinanceBalanceDif,ChipsField2" advise="1">
        <values cols="10">
          <value t="str">
            <val>4.22</val>
          </value>
          <value>
            <val>120</val>
          </value>
          <value>
            <val>-0.41</val>
          </value>
          <value t="str">
            <val>33.33%</val>
          </value>
          <value t="str">
            <val>505萬</val>
          </value>
          <value t="str">
            <val>-10.93</val>
          </value>
          <value t="str">
            <val>+6.67</val>
          </value>
          <value t="str">
            <val>-1.64</val>
          </value>
          <value>
            <val>1</val>
          </value>
          <value>
            <val>0</val>
          </value>
        </values>
      </ddeItem>
      <ddeItem name="1560.TW-ChipsField3,ChipsField1,ChipsField25,CashAndStockDividend,CashDividendYieldRate,ProfitFourSeason,ProfitSingle,CName,ExchangeIndustry,CompanyPos" advise="1">
        <values cols="10">
          <value>
            <val>-10</val>
          </value>
          <value>
            <val>-124</val>
          </value>
          <value t="str">
            <val>2022/07/14</val>
          </value>
          <value t="str">
            <val>2.80</val>
          </value>
          <value>
            <val>2.52</val>
          </value>
          <value t="str">
            <val>8.97</val>
          </value>
          <value t="str">
            <val>2.44</val>
          </value>
          <value t="str">
            <val>中砂</val>
          </value>
          <value t="str">
            <val>上市電機機械</val>
          </value>
          <value t="str">
            <val>台灣從事砂輪及再生晶圓生產製造廠商</val>
          </value>
        </values>
      </ddeItem>
      <ddeItem name="1560.TW-CName,InvestorConferenceDate,DateofMeetingofShareHolders,TradingDate" advise="1">
        <values cols="4">
          <value t="str">
            <val>中砂</val>
          </value>
          <value t="str">
            <val>2022/10/28</val>
          </value>
          <value t="str">
            <val>2022/06/22</val>
          </value>
          <value t="str">
            <val>2022/12/22</val>
          </value>
        </values>
      </ddeItem>
      <ddeItem name="1560.TW-ID,Name,MarketValue,Capital,NetIncomeGrowthRate,OperIncomeGrowthRate,FinancialStatementsTime,TFXRatio,MonthlyNetSalesYoY,RevenueMonth" advise="1">
        <values cols="10">
          <value t="str">
            <val>1560</val>
          </value>
          <value t="str">
            <val>中砂</val>
          </value>
          <value t="str">
            <val>159.5</val>
          </value>
          <value t="str">
            <val>14.37</val>
          </value>
          <value t="str">
            <val>122.45</val>
          </value>
          <value t="str">
            <val>78.06</val>
          </value>
          <value t="str">
            <val>2022/09</val>
          </value>
          <value t="str">
            <val>-0.62</val>
          </value>
          <value t="str">
            <val>1.72</val>
          </value>
          <value t="str">
            <val>2022/11</val>
          </value>
        </values>
      </ddeItem>
      <ddeItem name="1560.TW-OperatingProfitRatio,Price,PriceChangeRatio,InOutRatioNumber,Value,YearReturn,MonthReturn,WeekReturn,FinanceBalanceDif,ChipsField2" advise="1">
        <values cols="10">
          <value t="str">
            <val>22.07</val>
          </value>
          <value>
            <val>111</val>
          </value>
          <value>
            <val>0</val>
          </value>
          <value t="str">
            <val>34.65%</val>
          </value>
          <value t="str">
            <val>1.78億</val>
          </value>
          <value t="str">
            <val>+23.88</val>
          </value>
          <value t="str">
            <val>+0.91</val>
          </value>
          <value t="str">
            <val>-6.72</val>
          </value>
          <value>
            <val>-10</val>
          </value>
          <value>
            <val>0</val>
          </value>
        </values>
      </ddeItem>
      <ddeItem name="156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-8</val>
          </value>
          <value t="str">
            <val>2022/06/09</val>
          </value>
          <value t="str">
            <val>0.30</val>
          </value>
          <value>
            <val>1.3</val>
          </value>
          <value t="str">
            <val>1.62</val>
          </value>
          <value t="str">
            <val>0.47</val>
          </value>
          <value t="str">
            <val>倉佑</val>
          </value>
          <value t="str">
            <val>上市汽車</val>
          </value>
          <value t="str">
            <val>汽車自動變速箱零組件製造商</val>
          </value>
        </values>
      </ddeItem>
      <ddeItem name="1568.TW-CName,InvestorConferenceDate,DateofMeetingofShareHolders,TradingDate" advise="1">
        <values cols="4">
          <value t="str">
            <val>倉佑</val>
          </value>
          <value t="str">
            <val>2021/11/17</val>
          </value>
          <value t="str">
            <val>2022/06/09</val>
          </value>
          <value t="str">
            <val>2022/12/22</val>
          </value>
        </values>
      </ddeItem>
      <ddeItem name="1568.TW-ID,Name,MarketValue,Capital,NetIncomeGrowthRate,OperIncomeGrowthRate,FinancialStatementsTime,TFXRatio,MonthlyNetSalesYoY,RevenueMonth" advise="1">
        <values cols="10">
          <value t="str">
            <val>1568</val>
          </value>
          <value t="str">
            <val>倉佑</val>
          </value>
          <value t="str">
            <val>23.7</val>
          </value>
          <value t="str">
            <val>10.31</val>
          </value>
          <value t="str">
            <val>6146.67</val>
          </value>
          <value t="str">
            <val>843.24</val>
          </value>
          <value t="str">
            <val>2022/09</val>
          </value>
          <value t="str">
            <val>14.44</val>
          </value>
          <value t="str">
            <val>-7.17</val>
          </value>
          <value t="str">
            <val>2022/11</val>
          </value>
        </values>
      </ddeItem>
      <ddeItem name="1568.TW-OperatingProfitRatio,Price,PriceChangeRatio,InOutRatioNumber,Value,YearReturn,MonthReturn,WeekReturn,FinanceBalanceDif,ChipsField2" advise="1">
        <values cols="10">
          <value t="str">
            <val>8.31</val>
          </value>
          <value>
            <val>23</val>
          </value>
          <value>
            <val>0.66</val>
          </value>
          <value t="str">
            <val>24.53%</val>
          </value>
          <value t="str">
            <val>244萬</val>
          </value>
          <value t="str">
            <val>+11.87</val>
          </value>
          <value t="str">
            <val>-4.17</val>
          </value>
          <value t="str">
            <val>-6.50</val>
          </value>
          <value>
            <val>-25</val>
          </value>
          <value>
            <val>0</val>
          </value>
        </values>
      </ddeItem>
      <ddeItem name="1582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-17</val>
          </value>
          <value t="str">
            <val>2022/07/08</val>
          </value>
          <value t="str">
            <val>5.30</val>
          </value>
          <value>
            <val>9.06</val>
          </value>
          <value t="str">
            <val>2.99</val>
          </value>
          <value t="str">
            <val>1.31</val>
          </value>
          <value t="str">
            <val>信錦</val>
          </value>
          <value t="str">
            <val>上市電子零組件</val>
          </value>
          <value t="str">
            <val>全球最大監視器軸承及底座廠商</val>
          </value>
        </values>
      </ddeItem>
      <ddeItem name="1582.TW-CName,InvestorConferenceDate,DateofMeetingofShareHolders,TradingDate" advise="1">
        <values cols="4">
          <value t="str">
            <val>信錦</val>
          </value>
          <value t="str">
            <val>2022/09/23</val>
          </value>
          <value t="str">
            <val>2022/06/10</val>
          </value>
          <value t="str">
            <val>2022/12/22</val>
          </value>
        </values>
      </ddeItem>
      <ddeItem name="1582.TW-ID,Name,MarketValue,Capital,NetIncomeGrowthRate,OperIncomeGrowthRate,FinancialStatementsTime,TFXRatio,MonthlyNetSalesYoY,RevenueMonth" advise="1">
        <values cols="10">
          <value t="str">
            <val>1582</val>
          </value>
          <value t="str">
            <val>信錦</val>
          </value>
          <value t="str">
            <val>72.4</val>
          </value>
          <value t="str">
            <val>12.37</val>
          </value>
          <value t="str">
            <val>59.74</val>
          </value>
          <value t="str">
            <val>-18.04</val>
          </value>
          <value t="str">
            <val>2022/09</val>
          </value>
          <value t="str">
            <val>8.14</val>
          </value>
          <value t="str">
            <val>-28.28</val>
          </value>
          <value t="str">
            <val>2022/11</val>
          </value>
        </values>
      </ddeItem>
      <ddeItem name="1582.TW-OperatingProfitRatio,Price,PriceChangeRatio,InOutRatioNumber,Value,YearReturn,MonthReturn,WeekReturn,FinanceBalanceDif,ChipsField2" advise="1">
        <values cols="10">
          <value t="str">
            <val>3.24</val>
          </value>
          <value>
            <val>58.5</val>
          </value>
          <value>
            <val>0</val>
          </value>
          <value t="str">
            <val>27.14%</val>
          </value>
          <value t="str">
            <val>444萬</val>
          </value>
          <value t="str">
            <val>-8.88</val>
          </value>
          <value t="str">
            <val>-0.68</val>
          </value>
          <value t="str">
            <val>-0.17</val>
          </value>
          <value>
            <val>-1</val>
          </value>
          <value>
            <val>0</val>
          </value>
        </values>
      </ddeItem>
      <ddeItem name="158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2022/08/11</val>
          </value>
          <value t="str">
            <val>2.50</val>
          </value>
          <value>
            <val>4.05</val>
          </value>
          <value t="str">
            <val>6.09</val>
          </value>
          <value t="str">
            <val>2.20</val>
          </value>
          <value t="str">
            <val>程泰</val>
          </value>
          <value t="str">
            <val>上市電機機械</val>
          </value>
          <value t="str">
            <val>台灣規模最大的CNC車床製造商，並轉投資亞崴</val>
          </value>
        </values>
      </ddeItem>
      <ddeItem name="1583.TW-CName,InvestorConferenceDate,DateofMeetingofShareHolders,TradingDate" advise="1">
        <values cols="4">
          <value t="str">
            <val>程泰</val>
          </value>
          <value t="str">
            <val>2022/11/25</val>
          </value>
          <value t="str">
            <val>2022/06/17</val>
          </value>
          <value t="str">
            <val>2022/12/22</val>
          </value>
        </values>
      </ddeItem>
      <ddeItem name="1583.TW-ID,Name,MarketValue,Capital,NetIncomeGrowthRate,OperIncomeGrowthRate,FinancialStatementsTime,TFXRatio,MonthlyNetSalesYoY,RevenueMonth" advise="1">
        <values cols="10">
          <value t="str">
            <val>1583</val>
          </value>
          <value t="str">
            <val>程泰</val>
          </value>
          <value t="str">
            <val>68.2</val>
          </value>
          <value t="str">
            <val>11.04</val>
          </value>
          <value t="str">
            <val>121.44</val>
          </value>
          <value t="str">
            <val>28.90</val>
          </value>
          <value t="str">
            <val>2022/09</val>
          </value>
          <value t="str">
            <val>5.14</val>
          </value>
          <value t="str">
            <val>-13.17</val>
          </value>
          <value t="str">
            <val>2022/11</val>
          </value>
        </values>
      </ddeItem>
      <ddeItem name="1583.TW-OperatingProfitRatio,Price,PriceChangeRatio,InOutRatioNumber,Value,YearReturn,MonthReturn,WeekReturn,FinanceBalanceDif,ChipsField2" advise="1">
        <values cols="10">
          <value t="str">
            <val>11.85</val>
          </value>
          <value>
            <val>61.8</val>
          </value>
          <value>
            <val>0.65</val>
          </value>
          <value t="str">
            <val>100.00%</val>
          </value>
          <value t="str">
            <val>6.18萬</val>
          </value>
          <value t="str">
            <val>+2.54</val>
          </value>
          <value t="str">
            <val>+0.98</val>
          </value>
          <value t="str">
            <val>0.00</val>
          </value>
          <value>
            <val>0</val>
          </value>
          <value>
            <val>0</val>
          </value>
        </values>
      </ddeItem>
      <ddeItem name="158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</val>
          </value>
          <value t="str">
            <val>2022/07/06</val>
          </value>
          <value t="str">
            <val>1.00</val>
          </value>
          <value>
            <val>4.6500000000000004</val>
          </value>
          <value t="str">
            <val>2.00</val>
          </value>
          <value t="str">
            <val>0.64</val>
          </value>
          <value t="str">
            <val>吉茂</val>
          </value>
          <value t="str">
            <val>上市汽車</val>
          </value>
          <value t="str">
            <val>台灣最大汽車水箱製造廠</val>
          </value>
        </values>
      </ddeItem>
      <ddeItem name="1587.TW-CName,InvestorConferenceDate,DateofMeetingofShareHolders,TradingDate" advise="1">
        <values cols="4">
          <value t="str">
            <val>吉茂</val>
          </value>
          <value t="str">
            <val>2022/10/05</val>
          </value>
          <value t="str">
            <val>2022/05/27</val>
          </value>
          <value t="str">
            <val>2022/12/22</val>
          </value>
        </values>
      </ddeItem>
      <ddeItem name="1587.TW-ID,Name,MarketValue,Capital,NetIncomeGrowthRate,OperIncomeGrowthRate,FinancialStatementsTime,TFXRatio,MonthlyNetSalesYoY,RevenueMonth" advise="1">
        <values cols="10">
          <value t="str">
            <val>1587</val>
          </value>
          <value t="str">
            <val>吉茂</val>
          </value>
          <value t="str">
            <val>14.8</val>
          </value>
          <value t="str">
            <val>6.86</val>
          </value>
          <value t="str">
            <val>40.23</val>
          </value>
          <value t="str">
            <val>-5.31</val>
          </value>
          <value t="str">
            <val>2022/09</val>
          </value>
          <value t="str">
            <val>-21.24</val>
          </value>
          <value t="str">
            <val>-14.93</val>
          </value>
          <value t="str">
            <val>2022/11</val>
          </value>
        </values>
      </ddeItem>
      <ddeItem name="1587.TW-OperatingProfitRatio,Price,PriceChangeRatio,InOutRatioNumber,Value,YearReturn,MonthReturn,WeekReturn,FinanceBalanceDif,ChipsField2" advise="1">
        <values cols="10">
          <value t="str">
            <val>6.55</val>
          </value>
          <value>
            <val>21.5</val>
          </value>
          <value>
            <val>0.94</val>
          </value>
          <value t="str">
            <val>40.91%</val>
          </value>
          <value t="str">
            <val>47.4萬</val>
          </value>
          <value t="str">
            <val>-12.90</val>
          </value>
          <value t="str">
            <val>-0.69</val>
          </value>
          <value t="str">
            <val>-2.27</val>
          </value>
          <value>
            <val>0</val>
          </value>
          <value>
            <val>0</val>
          </value>
        </values>
      </ddeItem>
      <ddeItem name="1589.TW-ChipsField3,ChipsField1,ChipsField25,CashAndStockDividend,CashDividendYieldRate,ProfitFourSeason,ProfitSingle,CName,ExchangeIndustry,CompanyPos" advise="1">
        <values cols="10">
          <value>
            <val>-7</val>
          </value>
          <value>
            <val>52</val>
          </value>
          <value t="str">
            <val>2022/08/04</val>
          </value>
          <value t="str">
            <val>0.60</val>
          </value>
          <value>
            <val>1.07</val>
          </value>
          <value t="str">
            <val>-4.50</val>
          </value>
          <value t="str">
            <val>-1.21</val>
          </value>
          <value t="str">
            <val>永冠-KY</val>
          </value>
          <value t="str">
            <val>上市電機機械</val>
          </value>
          <value t="str">
            <val>全球知名的金屬二次加工廠商</val>
          </value>
        </values>
      </ddeItem>
      <ddeItem name="1589.TW-CName,InvestorConferenceDate,DateofMeetingofShareHolders,TradingDate" advise="1">
        <values cols="4">
          <value t="str">
            <val>永冠-KY</val>
          </value>
          <value t="str">
            <val>2022/03/23</val>
          </value>
          <value t="str">
            <val>2022/06/17</val>
          </value>
          <value t="str">
            <val>2022/12/22</val>
          </value>
        </values>
      </ddeItem>
      <ddeItem name="1589.TW-ID,Name,MarketValue,Capital,NetIncomeGrowthRate,OperIncomeGrowthRate,FinancialStatementsTime,TFXRatio,MonthlyNetSalesYoY,RevenueMonth" advise="1">
        <values cols="10">
          <value t="str">
            <val>1589</val>
          </value>
          <value t="str">
            <val>永冠-KY</val>
          </value>
          <value t="str">
            <val>62.2</val>
          </value>
          <value t="str">
            <val>11.06</val>
          </value>
          <value t="str">
            <val>-243.08</val>
          </value>
          <value t="str">
            <val>-124.04</val>
          </value>
          <value t="str">
            <val>2022/09</val>
          </value>
          <value t="str">
            <val>4.33</val>
          </value>
          <value t="str">
            <val>16.59</val>
          </value>
          <value t="str">
            <val>2022/11</val>
          </value>
        </values>
      </ddeItem>
      <ddeItem name="1589.TW-OperatingProfitRatio,Price,PriceChangeRatio,InOutRatioNumber,Value,YearReturn,MonthReturn,WeekReturn,FinanceBalanceDif,ChipsField2" advise="1">
        <values cols="10">
          <value t="str">
            <val>-1.15</val>
          </value>
          <value>
            <val>56.2</val>
          </value>
          <value>
            <val>2</val>
          </value>
          <value t="str">
            <val>63.70%</val>
          </value>
          <value t="str">
            <val>804萬</val>
          </value>
          <value t="str">
            <val>-7.91</val>
          </value>
          <value t="str">
            <val>+4.85</val>
          </value>
          <value t="str">
            <val>-2.26</val>
          </value>
          <value>
            <val>-9</val>
          </value>
          <value>
            <val>0</val>
          </value>
        </values>
      </ddeItem>
      <ddeItem name="159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-48</val>
          </value>
          <value t="str">
            <val>2022/09/07</val>
          </value>
          <value t="str">
            <val>13.38</val>
          </value>
          <value>
            <val>1.47</val>
          </value>
          <value t="str">
            <val>31.73</val>
          </value>
          <value t="str">
            <val>6.96</val>
          </value>
          <value t="str">
            <val>亞德客-KY</val>
          </value>
          <value t="str">
            <val>上市電機機械</val>
          </value>
          <value t="str">
            <val>大陸前三大氣動元件供應商</val>
          </value>
        </values>
      </ddeItem>
      <ddeItem name="1590.TW-CName,InvestorConferenceDate,DateofMeetingofShareHolders,TradingDate" advise="1">
        <values cols="4">
          <value t="str">
            <val>亞德客-KY</val>
          </value>
          <value t="str">
            <val>2022/04/07</val>
          </value>
          <value t="str">
            <val>2022/06/16</val>
          </value>
          <value t="str">
            <val>2022/12/22</val>
          </value>
        </values>
      </ddeItem>
      <ddeItem name="1590.TW-ID,Name,MarketValue,Capital,NetIncomeGrowthRate,OperIncomeGrowthRate,FinancialStatementsTime,TFXRatio,MonthlyNetSalesYoY,RevenueMonth" advise="1">
        <values cols="10">
          <value t="str">
            <val>1590</val>
          </value>
          <value t="str">
            <val>亞德客-KY</val>
          </value>
          <value t="str">
            <val>1822.0</val>
          </value>
          <value t="str">
            <val>20.00</val>
          </value>
          <value t="str">
            <val>-3.41</val>
          </value>
          <value t="str">
            <val>-11.05</val>
          </value>
          <value t="str">
            <val>2022/09</val>
          </value>
          <value t="str">
            <val>11.99</val>
          </value>
          <value t="str">
            <val>14.84</val>
          </value>
          <value t="str">
            <val>2022/11</val>
          </value>
        </values>
      </ddeItem>
      <ddeItem name="1590.TW-OperatingProfitRatio,Price,PriceChangeRatio,InOutRatioNumber,Value,YearReturn,MonthReturn,WeekReturn,FinanceBalanceDif,ChipsField2" advise="1">
        <values cols="10">
          <value t="str">
            <val>28.81</val>
          </value>
          <value>
            <val>911</val>
          </value>
          <value>
            <val>-0.55000000000000004</val>
          </value>
          <value t="str">
            <val>39.08%</val>
          </value>
          <value t="str">
            <val>2.22億</val>
          </value>
          <value t="str">
            <val>-0.35</val>
          </value>
          <value t="str">
            <val>+7.56</val>
          </value>
          <value t="str">
            <val>-3.90</val>
          </value>
          <value>
            <val>-10</val>
          </value>
          <value>
            <val>101</val>
          </value>
        </values>
      </ddeItem>
      <ddeItem name="159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2022/06/14</val>
          </value>
          <value t="str">
            <val>2.50</val>
          </value>
          <value>
            <val>3.51</val>
          </value>
          <value t="str">
            <val>3.80</val>
          </value>
          <value t="str">
            <val>1.01</val>
          </value>
          <value t="str">
            <val>直得</val>
          </value>
          <value t="str">
            <val>上市電機機械</val>
          </value>
          <value t="str">
            <val>全球前3大微型線性滑軌元件廠商</val>
          </value>
        </values>
      </ddeItem>
      <ddeItem name="1597.TW-CName,InvestorConferenceDate,DateofMeetingofShareHolders,TradingDate" advise="1">
        <values cols="4">
          <value t="str">
            <val>直得</val>
          </value>
          <value t="str">
            <val>2022/11/29</val>
          </value>
          <value t="str">
            <val>2022/05/27</val>
          </value>
          <value t="str">
            <val>2022/12/22</val>
          </value>
        </values>
      </ddeItem>
      <ddeItem name="1597.TW-ID,Name,MarketValue,Capital,NetIncomeGrowthRate,OperIncomeGrowthRate,FinancialStatementsTime,TFXRatio,MonthlyNetSalesYoY,RevenueMonth" advise="1">
        <values cols="10">
          <value t="str">
            <val>1597</val>
          </value>
          <value t="str">
            <val>直得</val>
          </value>
          <value t="str">
            <val>63.6</val>
          </value>
          <value t="str">
            <val>8.93</val>
          </value>
          <value t="str">
            <val>2.33</val>
          </value>
          <value t="str">
            <val>-21.15</val>
          </value>
          <value t="str">
            <val>2022/09</val>
          </value>
          <value t="str">
            <val>-3.71</val>
          </value>
          <value t="str">
            <val>-16.41</val>
          </value>
          <value t="str">
            <val>2022/11</val>
          </value>
        </values>
      </ddeItem>
      <ddeItem name="1597.TW-OperatingProfitRatio,Price,PriceChangeRatio,InOutRatioNumber,Value,YearReturn,MonthReturn,WeekReturn,FinanceBalanceDif,ChipsField2" advise="1">
        <values cols="10">
          <value t="str">
            <val>22.03</val>
          </value>
          <value>
            <val>71.3</val>
          </value>
          <value>
            <val>0</val>
          </value>
          <value t="str">
            <val>36.36%</val>
          </value>
          <value t="str">
            <val>243萬</val>
          </value>
          <value t="str">
            <val>-6.24</val>
          </value>
          <value t="str">
            <val>-6.06</val>
          </value>
          <value t="str">
            <val>-3.12</val>
          </value>
          <value>
            <val>-4</val>
          </value>
          <value>
            <val>0</val>
          </value>
        </values>
      </ddeItem>
      <ddeItem name="1598.TW-ChipsField3,ChipsField1,ChipsField25,CashAndStockDividend,CashDividendYieldRate,ProfitFourSeason,ProfitSingle,CName,ExchangeIndustry,CompanyPos" advise="1">
        <values cols="10">
          <value>
            <val>-10</val>
          </value>
          <value>
            <val>109</val>
          </value>
          <value t="str">
            <val>2022/06/27</val>
          </value>
          <value t="str">
            <val>2.51</val>
          </value>
          <value>
            <val>5.8</val>
          </value>
          <value t="str">
            <val>-0.11</val>
          </value>
          <value t="str">
            <val>0.61</val>
          </value>
          <value t="str">
            <val>岱宇</val>
          </value>
          <value t="str">
            <val>上市生技醫療</val>
          </value>
          <value t="str">
            <val>台灣健身器材出口業者</val>
          </value>
        </values>
      </ddeItem>
      <ddeItem name="1598.TW-CName,InvestorConferenceDate,DateofMeetingofShareHolders,TradingDate" advise="1">
        <values cols="4">
          <value t="str">
            <val>岱宇</val>
          </value>
          <value t="str">
            <val>2022/11/23</val>
          </value>
          <value t="str">
            <val>2022/05/27</val>
          </value>
          <value t="str">
            <val>2022/12/22</val>
          </value>
        </values>
      </ddeItem>
      <ddeItem name="1598.TW-ID,Name,MarketValue,Capital,NetIncomeGrowthRate,OperIncomeGrowthRate,FinancialStatementsTime,TFXRatio,MonthlyNetSalesYoY,RevenueMonth" advise="1">
        <values cols="10">
          <value t="str">
            <val>1598</val>
          </value>
          <value t="str">
            <val>岱宇</val>
          </value>
          <value t="str">
            <val>58.1</val>
          </value>
          <value t="str">
            <val>13.41</val>
          </value>
          <value t="str">
            <val>-110.65</val>
          </value>
          <value t="str">
            <val>-171.78</val>
          </value>
          <value t="str">
            <val>2022/09</val>
          </value>
          <value t="str">
            <val>62.32</val>
          </value>
          <value t="str">
            <val>2.54</val>
          </value>
          <value t="str">
            <val>2022/11</val>
          </value>
        </values>
      </ddeItem>
      <ddeItem name="1598.TW-OperatingProfitRatio,Price,PriceChangeRatio,InOutRatioNumber,Value,YearReturn,MonthReturn,WeekReturn,FinanceBalanceDif,ChipsField2" advise="1">
        <values cols="10">
          <value t="str">
            <val>-10.13</val>
          </value>
          <value>
            <val>43.3</val>
          </value>
          <value>
            <val>0.46</val>
          </value>
          <value t="str">
            <val>47.64%</val>
          </value>
          <value t="str">
            <val>1038萬</val>
          </value>
          <value t="str">
            <val>-16.12</val>
          </value>
          <value t="str">
            <val>+9.21</val>
          </value>
          <value t="str">
            <val>-1.37</val>
          </value>
          <value>
            <val>-35</val>
          </value>
          <value>
            <val>0</val>
          </value>
        </values>
      </ddeItem>
      <ddeItem name="160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74</val>
          </value>
          <value t="str">
            <val>2022/08/29</val>
          </value>
          <value t="str">
            <val>0.50</val>
          </value>
          <value>
            <val>1.89</val>
          </value>
          <value t="str">
            <val>2.04</val>
          </value>
          <value t="str">
            <val>1.07</val>
          </value>
          <value t="str">
            <val>華電</val>
          </value>
          <value t="str">
            <val>上市電器電纜</val>
          </value>
          <value t="str">
            <val>台灣老牌電線電纜業者，並跨入鋁門窗生產</val>
          </value>
        </values>
      </ddeItem>
      <ddeItem name="1603.TW-CName,InvestorConferenceDate,DateofMeetingofShareHolders,TradingDate" advise="1">
        <values cols="4">
          <value t="str">
            <val>華電</val>
          </value>
          <value t="str">
            <val>2022/12/02</val>
          </value>
          <value t="str">
            <val>2022/06/24</val>
          </value>
          <value t="str">
            <val>2022/12/22</val>
          </value>
        </values>
      </ddeItem>
      <ddeItem name="1603.TW-ID,Name,MarketValue,Capital,NetIncomeGrowthRate,OperIncomeGrowthRate,FinancialStatementsTime,TFXRatio,MonthlyNetSalesYoY,RevenueMonth" advise="1">
        <values cols="10">
          <value t="str">
            <val>1603</val>
          </value>
          <value t="str">
            <val>華電</val>
          </value>
          <value t="str">
            <val>50.8</val>
          </value>
          <value t="str">
            <val>19.17</val>
          </value>
          <value t="str">
            <val>18.80</val>
          </value>
          <value t="str">
            <val>17.22</val>
          </value>
          <value t="str">
            <val>2022/09</val>
          </value>
          <value t="str">
            <val>84.85</val>
          </value>
          <value t="str">
            <val>84.33</val>
          </value>
          <value t="str">
            <val>2022/11</val>
          </value>
        </values>
      </ddeItem>
      <ddeItem name="1603.TW-OperatingProfitRatio,Price,PriceChangeRatio,InOutRatioNumber,Value,YearReturn,MonthReturn,WeekReturn,FinanceBalanceDif,ChipsField2" advise="1">
        <values cols="10">
          <value t="str">
            <val>10.36</val>
          </value>
          <value>
            <val>26.5</val>
          </value>
          <value>
            <val>1.34</val>
          </value>
          <value t="str">
            <val>76.17%</val>
          </value>
          <value t="str">
            <val>731萬</val>
          </value>
          <value t="str">
            <val>+0.77</val>
          </value>
          <value t="str">
            <val>+0.38</val>
          </value>
          <value t="str">
            <val>-0.75</val>
          </value>
          <value>
            <val>107</val>
          </value>
          <value>
            <val>0</val>
          </value>
        </values>
      </ddeItem>
      <ddeItem name="1604.TW-ChipsField3,ChipsField1,ChipsField25,CashAndStockDividend,CashDividendYieldRate,ProfitFourSeason,ProfitSingle,CName,ExchangeIndustry,CompanyPos" advise="1">
        <values cols="10">
          <value>
            <val>-16</val>
          </value>
          <value>
            <val>8</val>
          </value>
          <value t="str">
            <val>2022/07/05</val>
          </value>
          <value t="str">
            <val>2.70</val>
          </value>
          <value>
            <val>10.55</val>
          </value>
          <value t="str">
            <val>1.82</val>
          </value>
          <value t="str">
            <val>0.60</val>
          </value>
          <value t="str">
            <val>聲寶</val>
          </value>
          <value t="str">
            <val>上市電器電纜</val>
          </value>
          <value t="str">
            <val>台灣知名家電品牌</val>
          </value>
        </values>
      </ddeItem>
      <ddeItem name="1604.TW-CName,InvestorConferenceDate,DateofMeetingofShareHolders,TradingDate" advise="1">
        <values cols="4">
          <value t="str">
            <val>聲寶</val>
          </value>
          <value t="str">
            <val>2022/09/13</val>
          </value>
          <value t="str">
            <val>2022/06/17</val>
          </value>
          <value t="str">
            <val>2022/12/22</val>
          </value>
        </values>
      </ddeItem>
      <ddeItem name="1604.TW-ID,Name,MarketValue,Capital,NetIncomeGrowthRate,OperIncomeGrowthRate,FinancialStatementsTime,TFXRatio,MonthlyNetSalesYoY,RevenueMonth" advise="1">
        <values cols="10">
          <value t="str">
            <val>1604</val>
          </value>
          <value t="str">
            <val>聲寶</val>
          </value>
          <value t="str">
            <val>98.4</val>
          </value>
          <value t="str">
            <val>38.42</val>
          </value>
          <value t="str">
            <val>-61.16</val>
          </value>
          <value t="str">
            <val>2.06</val>
          </value>
          <value t="str">
            <val>2022/09</val>
          </value>
          <value t="str">
            <val>10.57</val>
          </value>
          <value t="str">
            <val>-11.97</val>
          </value>
          <value t="str">
            <val>2022/11</val>
          </value>
        </values>
      </ddeItem>
      <ddeItem name="1604.TW-OperatingProfitRatio,Price,PriceChangeRatio,InOutRatioNumber,Value,YearReturn,MonthReturn,WeekReturn,FinanceBalanceDif,ChipsField2" advise="1">
        <values cols="10">
          <value t="str">
            <val>7.34</val>
          </value>
          <value>
            <val>25.6</val>
          </value>
          <value>
            <val>0.79</val>
          </value>
          <value t="str">
            <val>63.08%</val>
          </value>
          <value t="str">
            <val>332萬</val>
          </value>
          <value t="str">
            <val>-4.06</val>
          </value>
          <value t="str">
            <val>+1.19</val>
          </value>
          <value t="str">
            <val>-1.54</val>
          </value>
          <value>
            <val>-6</val>
          </value>
          <value>
            <val>0</val>
          </value>
        </values>
      </ddeItem>
      <ddeItem name="1605.TW-ChipsField3,ChipsField1,ChipsField25,CashAndStockDividend,CashDividendYieldRate,ProfitFourSeason,ProfitSingle,CName,ExchangeIndustry,CompanyPos" advise="1">
        <values cols="10">
          <value>
            <val>-94</val>
          </value>
          <value>
            <val>9138</val>
          </value>
          <value t="str">
            <val>2022/06/21</val>
          </value>
          <value t="str">
            <val>1.60</val>
          </value>
          <value>
            <val>3.36</val>
          </value>
          <value t="str">
            <val>6.74</val>
          </value>
          <value t="str">
            <val>2.63</val>
          </value>
          <value t="str">
            <val>華新</val>
          </value>
          <value t="str">
            <val>上市電器電纜</val>
          </value>
          <value t="str">
            <val>大中華區電線電纜及不鏽鋼領導廠商</val>
          </value>
        </values>
      </ddeItem>
      <ddeItem name="1605.TW-CName,InvestorConferenceDate,DateofMeetingofShareHolders,TradingDate" advise="1">
        <values cols="4">
          <value t="str">
            <val>華新</val>
          </value>
          <value t="str">
            <val>2022/11/04</val>
          </value>
          <value t="str">
            <val>2022/05/13</val>
          </value>
          <value t="str">
            <val>2022/12/22</val>
          </value>
        </values>
      </ddeItem>
      <ddeItem name="1605.TW-ID,Name,MarketValue,Capital,NetIncomeGrowthRate,OperIncomeGrowthRate,FinancialStatementsTime,TFXRatio,MonthlyNetSalesYoY,RevenueMonth" advise="1">
        <values cols="10">
          <value t="str">
            <val>1605</val>
          </value>
          <value t="str">
            <val>華新</val>
          </value>
          <value t="str">
            <val>1774.2</val>
          </value>
          <value t="str">
            <val>373.13</val>
          </value>
          <value t="str">
            <val>83.69</val>
          </value>
          <value t="str">
            <val>18.97</val>
          </value>
          <value t="str">
            <val>2022/09</val>
          </value>
          <value t="str">
            <val>2.79</val>
          </value>
          <value t="str">
            <val>-1.15</val>
          </value>
          <value t="str">
            <val>2022/11</val>
          </value>
        </values>
      </ddeItem>
      <ddeItem name="1605.TW-OperatingProfitRatio,Price,PriceChangeRatio,InOutRatioNumber,Value,YearReturn,MonthReturn,WeekReturn,FinanceBalanceDif,ChipsField2" advise="1">
        <values cols="10">
          <value t="str">
            <val>5.98</val>
          </value>
          <value>
            <val>47.55</val>
          </value>
          <value>
            <val>-0.42</val>
          </value>
          <value t="str">
            <val>37.79%</val>
          </value>
          <value t="str">
            <val>41.4億</val>
          </value>
          <value t="str">
            <val>+89.29</val>
          </value>
          <value t="str">
            <val>+10.07</val>
          </value>
          <value t="str">
            <val>-0.63</val>
          </value>
          <value>
            <val>-535</val>
          </value>
          <value>
            <val>4367</val>
          </value>
        </values>
      </ddeItem>
      <ddeItem name="1608.TW-ChipsField3,ChipsField1,ChipsField25,CashAndStockDividend,CashDividendYieldRate,ProfitFourSeason,ProfitSingle,CName,ExchangeIndustry,CompanyPos" advise="1">
        <values cols="10">
          <value>
            <val>-48</val>
          </value>
          <value>
            <val>179</val>
          </value>
          <value t="str">
            <val>2022/07/07</val>
          </value>
          <value t="str">
            <val>1.50</val>
          </value>
          <value>
            <val>10.64</val>
          </value>
          <value t="str">
            <val>0.23</val>
          </value>
          <value t="str">
            <val>0.03</val>
          </value>
          <value t="str">
            <val>華榮</val>
          </value>
          <value t="str">
            <val>上市電器電纜</val>
          </value>
          <value t="str">
            <val>台灣超高壓電力電纜線路統包工程知名業者</val>
          </value>
        </values>
      </ddeItem>
      <ddeItem name="1608.TW-CName,InvestorConferenceDate,DateofMeetingofShareHolders,TradingDate" advise="1">
        <values cols="4">
          <value t="str">
            <val>華榮</val>
          </value>
          <value t="str">
            <val>2022/11/10</val>
          </value>
          <value t="str">
            <val>2022/06/16</val>
          </value>
          <value t="str">
            <val>2022/12/22</val>
          </value>
        </values>
      </ddeItem>
      <ddeItem name="1608.TW-ID,Name,MarketValue,Capital,NetIncomeGrowthRate,OperIncomeGrowthRate,FinancialStatementsTime,TFXRatio,MonthlyNetSalesYoY,RevenueMonth" advise="1">
        <values cols="10">
          <value t="str">
            <val>1608</val>
          </value>
          <value t="str">
            <val>華榮</val>
          </value>
          <value t="str">
            <val>89.2</val>
          </value>
          <value t="str">
            <val>63.28</val>
          </value>
          <value t="str">
            <val>-107.47</val>
          </value>
          <value t="str">
            <val>-62.24</val>
          </value>
          <value t="str">
            <val>2022/09</val>
          </value>
          <value t="str">
            <val>13.69</val>
          </value>
          <value t="str">
            <val>-7.70</val>
          </value>
          <value t="str">
            <val>2022/11</val>
          </value>
        </values>
      </ddeItem>
      <ddeItem name="1608.TW-OperatingProfitRatio,Price,PriceChangeRatio,InOutRatioNumber,Value,YearReturn,MonthReturn,WeekReturn,FinanceBalanceDif,ChipsField2" advise="1">
        <values cols="10">
          <value t="str">
            <val>2.72</val>
          </value>
          <value>
            <val>14.1</val>
          </value>
          <value>
            <val>1.81</val>
          </value>
          <value t="str">
            <val>55.49%</val>
          </value>
          <value t="str">
            <val>680萬</val>
          </value>
          <value t="str">
            <val>-29.18</val>
          </value>
          <value t="str">
            <val>-0.35</val>
          </value>
          <value t="str">
            <val>-4.08</val>
          </value>
          <value>
            <val>-44</val>
          </value>
          <value>
            <val>0</val>
          </value>
        </values>
      </ddeItem>
      <ddeItem name="1609.TW-ChipsField3,ChipsField1,ChipsField25,CashAndStockDividend,CashDividendYieldRate,ProfitFourSeason,ProfitSingle,CName,ExchangeIndustry,CompanyPos" advise="1">
        <values cols="10">
          <value>
            <val>-22</val>
          </value>
          <value>
            <val>672</val>
          </value>
          <value t="str">
            <val>2022/08/29</val>
          </value>
          <value t="str">
            <val>0.95</val>
          </value>
          <value>
            <val>4.66</val>
          </value>
          <value t="str">
            <val>1.64</val>
          </value>
          <value t="str">
            <val>0.42</val>
          </value>
          <value t="str">
            <val>大亞</val>
          </value>
          <value t="str">
            <val>上市電器電纜</val>
          </value>
          <value t="str">
            <val>國內漆包線、電力電纜指標廠商及第一大銅銲線供應商</val>
          </value>
        </values>
      </ddeItem>
      <ddeItem name="1609.TW-CName,InvestorConferenceDate,DateofMeetingofShareHolders,TradingDate" advise="1">
        <values cols="4">
          <value t="str">
            <val>大亞</val>
          </value>
          <value t="str">
            <val>2022/09/06</val>
          </value>
          <value t="str">
            <val>2022/06/10</val>
          </value>
          <value t="str">
            <val>2022/12/22</val>
          </value>
        </values>
      </ddeItem>
      <ddeItem name="1609.TW-ID,Name,MarketValue,Capital,NetIncomeGrowthRate,OperIncomeGrowthRate,FinancialStatementsTime,TFXRatio,MonthlyNetSalesYoY,RevenueMonth" advise="1">
        <values cols="10">
          <value t="str">
            <val>1609</val>
          </value>
          <value t="str">
            <val>大亞</val>
          </value>
          <value t="str">
            <val>139.7</val>
          </value>
          <value t="str">
            <val>68.46</val>
          </value>
          <value t="str">
            <val>-38.77</val>
          </value>
          <value t="str">
            <val>-46.66</val>
          </value>
          <value t="str">
            <val>2022/09</val>
          </value>
          <value t="str">
            <val>5.94</val>
          </value>
          <value t="str">
            <val>-11.99</val>
          </value>
          <value t="str">
            <val>2022/11</val>
          </value>
        </values>
      </ddeItem>
      <ddeItem name="1609.TW-OperatingProfitRatio,Price,PriceChangeRatio,InOutRatioNumber,Value,YearReturn,MonthReturn,WeekReturn,FinanceBalanceDif,ChipsField2" advise="1">
        <values cols="10">
          <value t="str">
            <val>2.96</val>
          </value>
          <value>
            <val>20.399999999999999</val>
          </value>
          <value>
            <val>0.74</val>
          </value>
          <value t="str">
            <val>50.83%</val>
          </value>
          <value t="str">
            <val>5806萬</val>
          </value>
          <value t="str">
            <val>-12.36</val>
          </value>
          <value t="str">
            <val>+9.97</val>
          </value>
          <value t="str">
            <val>-1.69</val>
          </value>
          <value>
            <val>-6</val>
          </value>
          <value>
            <val>0</val>
          </value>
        </values>
      </ddeItem>
      <ddeItem name="1611.TW-ChipsField3,ChipsField1,ChipsField25,CashAndStockDividend,CashDividendYieldRate,ProfitFourSeason,ProfitSingle,CName,ExchangeIndustry,CompanyPos" advise="1">
        <values cols="10">
          <value>
            <val>-19</val>
          </value>
          <value>
            <val>29</val>
          </value>
          <value t="str">
            <val>2022/07/21</val>
          </value>
          <value t="str">
            <val>0.80</val>
          </value>
          <value>
            <val>5.9</val>
          </value>
          <value t="str">
            <val>0.95</val>
          </value>
          <value t="str">
            <val>0.05</val>
          </value>
          <value t="str">
            <val>中電</val>
          </value>
          <value t="str">
            <val>上市電器電纜</val>
          </value>
          <value t="str">
            <val>以東亞照明品牌銷售燈具及LED照明產品</val>
          </value>
        </values>
      </ddeItem>
      <ddeItem name="1611.TW-CName,InvestorConferenceDate,DateofMeetingofShareHolders,TradingDate" advise="1">
        <values cols="4">
          <value t="str">
            <val>中電</val>
          </value>
          <value t="str">
            <val>2022/11/24</val>
          </value>
          <value t="str">
            <val>2022/05/31</val>
          </value>
          <value t="str">
            <val>2022/12/22</val>
          </value>
        </values>
      </ddeItem>
      <ddeItem name="1611.TW-ID,Name,MarketValue,Capital,NetIncomeGrowthRate,OperIncomeGrowthRate,FinancialStatementsTime,TFXRatio,MonthlyNetSalesYoY,RevenueMonth" advise="1">
        <values cols="10">
          <value t="str">
            <val>1611</val>
          </value>
          <value t="str">
            <val>中電</val>
          </value>
          <value t="str">
            <val>43.7</val>
          </value>
          <value t="str">
            <val>32.27</val>
          </value>
          <value t="str">
            <val>83.55</val>
          </value>
          <value t="str">
            <val>91.98</val>
          </value>
          <value t="str">
            <val>2022/09</val>
          </value>
          <value t="str">
            <val>2.89</val>
          </value>
          <value t="str">
            <val>-23.45</val>
          </value>
          <value t="str">
            <val>2022/11</val>
          </value>
        </values>
      </ddeItem>
      <ddeItem name="1611.TW-OperatingProfitRatio,Price,PriceChangeRatio,InOutRatioNumber,Value,YearReturn,MonthReturn,WeekReturn,FinanceBalanceDif,ChipsField2" advise="1">
        <values cols="10">
          <value t="str">
            <val>4.95</val>
          </value>
          <value>
            <val>13.55</val>
          </value>
          <value>
            <val>1.88</val>
          </value>
          <value t="str">
            <val>60.80%</val>
          </value>
          <value t="str">
            <val>856萬</val>
          </value>
          <value t="str">
            <val>-33.72</val>
          </value>
          <value t="str">
            <val>-3.90</val>
          </value>
          <value t="str">
            <val>-3.21</val>
          </value>
          <value>
            <val>-107</val>
          </value>
          <value>
            <val>0</val>
          </value>
        </values>
      </ddeItem>
      <ddeItem name="1612.TW-ChipsField3,ChipsField1,ChipsField25,CashAndStockDividend,CashDividendYieldRate,ProfitFourSeason,ProfitSingle,CName,ExchangeIndustry,CompanyPos" advise="1">
        <values cols="10">
          <value>
            <val>-22</val>
          </value>
          <value>
            <val>200</val>
          </value>
          <value t="str">
            <val>2022/07/08</val>
          </value>
          <value t="str">
            <val>2.80</val>
          </value>
          <value>
            <val>16.77</val>
          </value>
          <value t="str">
            <val>7.74</val>
          </value>
          <value t="str">
            <val>0.26</val>
          </value>
          <value t="str">
            <val>宏泰</val>
          </value>
          <value t="str">
            <val>上市電器電纜</val>
          </value>
          <value t="str">
            <val>橫跨銅箔基板及電力電纜業者</val>
          </value>
        </values>
      </ddeItem>
      <ddeItem name="1612.TW-CName,InvestorConferenceDate,DateofMeetingofShareHolders,TradingDate" advise="1">
        <values cols="4">
          <value t="str">
            <val>宏泰</val>
          </value>
          <value t="str">
            <val>2022/12/02</val>
          </value>
          <value t="str">
            <val>2022/06/21</val>
          </value>
          <value t="str">
            <val>2022/12/22</val>
          </value>
        </values>
      </ddeItem>
      <ddeItem name="1612.TW-ID,Name,MarketValue,Capital,NetIncomeGrowthRate,OperIncomeGrowthRate,FinancialStatementsTime,TFXRatio,MonthlyNetSalesYoY,RevenueMonth" advise="1">
        <values cols="10">
          <value t="str">
            <val>1612</val>
          </value>
          <value t="str">
            <val>宏泰</val>
          </value>
          <value t="str">
            <val>52.8</val>
          </value>
          <value t="str">
            <val>31.61</val>
          </value>
          <value t="str">
            <val>-53.27</val>
          </value>
          <value t="str">
            <val>-11.16</val>
          </value>
          <value t="str">
            <val>2022/09</val>
          </value>
          <value t="str">
            <val>14.77</val>
          </value>
          <value t="str">
            <val>-2.32</val>
          </value>
          <value t="str">
            <val>2022/11</val>
          </value>
        </values>
      </ddeItem>
      <ddeItem name="1612.TW-OperatingProfitRatio,Price,PriceChangeRatio,InOutRatioNumber,Value,YearReturn,MonthReturn,WeekReturn,FinanceBalanceDif,ChipsField2" advise="1">
        <values cols="10">
          <value t="str">
            <val>8.54</val>
          </value>
          <value>
            <val>16.7</val>
          </value>
          <value>
            <val>1.52</val>
          </value>
          <value t="str">
            <val>65.48%</val>
          </value>
          <value t="str">
            <val>764萬</val>
          </value>
          <value t="str">
            <val>-28.84</val>
          </value>
          <value t="str">
            <val>+5.70</val>
          </value>
          <value t="str">
            <val>-1.18</val>
          </value>
          <value>
            <val>-41</val>
          </value>
          <value>
            <val>0</val>
          </value>
        </values>
      </ddeItem>
      <ddeItem name="1614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1</val>
          </value>
          <value t="str">
            <val>2022/07/07</val>
          </value>
          <value t="str">
            <val>1.23</val>
          </value>
          <value>
            <val>3.46</val>
          </value>
          <value t="str">
            <val>1.24</val>
          </value>
          <value t="str">
            <val>0.35</val>
          </value>
          <value t="str">
            <val>三洋電</val>
          </value>
          <value t="str">
            <val>上市電器電纜</val>
          </value>
          <value t="str">
            <val>台灣知名家電品牌</val>
          </value>
        </values>
      </ddeItem>
      <ddeItem name="1614.TW-CName,InvestorConferenceDate,DateofMeetingofShareHolders,TradingDate" advise="1">
        <values cols="4">
          <value t="str">
            <val>三洋電</val>
          </value>
          <value t="str">
            <val>2022/07/01</val>
          </value>
          <value t="str">
            <val>2022/06/16</val>
          </value>
          <value t="str">
            <val>2022/12/22</val>
          </value>
        </values>
      </ddeItem>
      <ddeItem name="1614.TW-ID,Name,MarketValue,Capital,NetIncomeGrowthRate,OperIncomeGrowthRate,FinancialStatementsTime,TFXRatio,MonthlyNetSalesYoY,RevenueMonth" advise="1">
        <values cols="10">
          <value t="str">
            <val>1614</val>
          </value>
          <value t="str">
            <val>三洋電</val>
          </value>
          <value t="str">
            <val>95.8</val>
          </value>
          <value t="str">
            <val>26.91</val>
          </value>
          <value t="str">
            <val>-16.44</val>
          </value>
          <value t="str">
            <val>-14.67</val>
          </value>
          <value t="str">
            <val>2022/09</val>
          </value>
          <value t="str">
            <val>-7.71</val>
          </value>
          <value t="str">
            <val>-16.45</val>
          </value>
          <value t="str">
            <val>2022/11</val>
          </value>
        </values>
      </ddeItem>
      <ddeItem name="1614.TW-OperatingProfitRatio,Price,PriceChangeRatio,InOutRatioNumber,Value,YearReturn,MonthReturn,WeekReturn,FinanceBalanceDif,ChipsField2" advise="1">
        <values cols="10">
          <value t="str">
            <val>5.85</val>
          </value>
          <value>
            <val>35.6</val>
          </value>
          <value>
            <val>0.71</val>
          </value>
          <value t="str">
            <val>66.67%</val>
          </value>
          <value t="str">
            <val>10.7萬</val>
          </value>
          <value t="str">
            <val>+3.16</val>
          </value>
          <value t="str">
            <val>-0.84</val>
          </value>
          <value t="str">
            <val>-0.97</val>
          </value>
          <value>
            <val>0</val>
          </value>
          <value>
            <val>0</val>
          </value>
        </values>
      </ddeItem>
      <ddeItem name="1615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0</val>
          </value>
          <value t="str">
            <val>2022/07/19</val>
          </value>
          <value t="str">
            <val>2.80</val>
          </value>
          <value>
            <val>9.89</val>
          </value>
          <value t="str">
            <val>2.86</val>
          </value>
          <value t="str">
            <val>0.47</val>
          </value>
          <value t="str">
            <val>大山</val>
          </value>
          <value t="str">
            <val>上市電器電纜</val>
          </value>
          <value t="str">
            <val>為台灣中部地區最大之電力電纜專業廠</val>
          </value>
        </values>
      </ddeItem>
      <ddeItem name="1615.TW-CName,InvestorConferenceDate,DateofMeetingofShareHolders,TradingDate" advise="1">
        <values cols="4">
          <value t="str">
            <val>大山</val>
          </value>
          <value t="str">
            <val>2021/12/22</val>
          </value>
          <value t="str">
            <val>2022/06/27</val>
          </value>
          <value t="str">
            <val>2022/12/22</val>
          </value>
        </values>
      </ddeItem>
      <ddeItem name="1615.TW-ID,Name,MarketValue,Capital,NetIncomeGrowthRate,OperIncomeGrowthRate,FinancialStatementsTime,TFXRatio,MonthlyNetSalesYoY,RevenueMonth" advise="1">
        <values cols="10">
          <value t="str">
            <val>1615</val>
          </value>
          <value t="str">
            <val>大山</val>
          </value>
          <value t="str">
            <val>42.1</val>
          </value>
          <value t="str">
            <val>14.88</val>
          </value>
          <value t="str">
            <val>-15.77</val>
          </value>
          <value t="str">
            <val>-25.45</val>
          </value>
          <value t="str">
            <val>2022/09</val>
          </value>
          <value t="str">
            <val>-1.19</val>
          </value>
          <value t="str">
            <val>16.39</val>
          </value>
          <value t="str">
            <val>2022/11</val>
          </value>
        </values>
      </ddeItem>
      <ddeItem name="1615.TW-OperatingProfitRatio,Price,PriceChangeRatio,InOutRatioNumber,Value,YearReturn,MonthReturn,WeekReturn,FinanceBalanceDif,ChipsField2" advise="1">
        <values cols="10">
          <value t="str">
            <val>8.84</val>
          </value>
          <value>
            <val>28.3</val>
          </value>
          <value>
            <val>0.71</val>
          </value>
          <value t="str">
            <val>50.00%</val>
          </value>
          <value t="str">
            <val>17.0萬</val>
          </value>
          <value t="str">
            <val>+1.23</val>
          </value>
          <value t="str">
            <val>0.00</val>
          </value>
          <value t="str">
            <val>-1.39</val>
          </value>
          <value>
            <val>-3</val>
          </value>
          <value>
            <val>0</val>
          </value>
        </values>
      </ddeItem>
      <ddeItem name="161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--</val>
          </value>
          <value t="str">
            <val>0.00</val>
          </value>
          <value>
            <val>0</val>
          </value>
          <value t="str">
            <val>-0.10</val>
          </value>
          <value t="str">
            <val>-0.28</val>
          </value>
          <value t="str">
            <val>億泰</val>
          </value>
          <value t="str">
            <val>上市電器電纜</val>
          </value>
          <value t="str">
            <val>國內電力電纜業者</val>
          </value>
        </values>
      </ddeItem>
      <ddeItem name="1616.TW-CName,InvestorConferenceDate,DateofMeetingofShareHolders,TradingDate" advise="1">
        <values cols="4">
          <value t="str">
            <val>億泰</val>
          </value>
          <value t="str">
            <val>2022/12/20</val>
          </value>
          <value t="str">
            <val>2022/06/14</val>
          </value>
          <value t="str">
            <val>2022/12/22</val>
          </value>
        </values>
      </ddeItem>
      <ddeItem name="1616.TW-ID,Name,MarketValue,Capital,NetIncomeGrowthRate,OperIncomeGrowthRate,FinancialStatementsTime,TFXRatio,MonthlyNetSalesYoY,RevenueMonth" advise="1">
        <values cols="10">
          <value t="str">
            <val>1616</val>
          </value>
          <value t="str">
            <val>億泰</val>
          </value>
          <value t="str">
            <val>14.5</val>
          </value>
          <value t="str">
            <val>19.41</val>
          </value>
          <value t="str">
            <val>-174.02</val>
          </value>
          <value t="str">
            <val>12.59</val>
          </value>
          <value t="str">
            <val>2022/09</val>
          </value>
          <value t="str">
            <val>3.31</val>
          </value>
          <value t="str">
            <val>-5.36</val>
          </value>
          <value t="str">
            <val>2022/11</val>
          </value>
        </values>
      </ddeItem>
      <ddeItem name="1616.TW-OperatingProfitRatio,Price,PriceChangeRatio,InOutRatioNumber,Value,YearReturn,MonthReturn,WeekReturn,FinanceBalanceDif,ChipsField2" advise="1">
        <values cols="10">
          <value t="str">
            <val>2.35</val>
          </value>
          <value>
            <val>7.49</val>
          </value>
          <value>
            <val>0</val>
          </value>
          <value t="str">
            <val>25.33%</val>
          </value>
          <value t="str">
            <val>57.6萬</val>
          </value>
          <value t="str">
            <val>-35.15</val>
          </value>
          <value t="str">
            <val>+2.46</val>
          </value>
          <value t="str">
            <val>-0.93</val>
          </value>
          <value>
            <val>0</val>
          </value>
          <value>
            <val>0</val>
          </value>
        </values>
      </ddeItem>
      <ddeItem name="161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2022/07/28</val>
          </value>
          <value t="str">
            <val>0.82</val>
          </value>
          <value>
            <val>5.47</val>
          </value>
          <value t="str">
            <val>0.66</val>
          </value>
          <value t="str">
            <val>0.05</val>
          </value>
          <value t="str">
            <val>榮星</val>
          </value>
          <value t="str">
            <val>上市電器電纜</val>
          </value>
          <value t="str">
            <val>專業漆包線及電子用線大廠</val>
          </value>
        </values>
      </ddeItem>
      <ddeItem name="1617.TW-CName,InvestorConferenceDate,DateofMeetingofShareHolders,TradingDate" advise="1">
        <values cols="4">
          <value t="str">
            <val>榮星</val>
          </value>
          <value t="str">
            <val>2022/11/30</val>
          </value>
          <value t="str">
            <val>2022/06/14</val>
          </value>
          <value t="str">
            <val>2022/12/22</val>
          </value>
        </values>
      </ddeItem>
      <ddeItem name="1617.TW-ID,Name,MarketValue,Capital,NetIncomeGrowthRate,OperIncomeGrowthRate,FinancialStatementsTime,TFXRatio,MonthlyNetSalesYoY,RevenueMonth" advise="1">
        <values cols="10">
          <value t="str">
            <val>1617</val>
          </value>
          <value t="str">
            <val>榮星</val>
          </value>
          <value t="str">
            <val>23.7</val>
          </value>
          <value t="str">
            <val>15.77</val>
          </value>
          <value t="str">
            <val>-64.58</val>
          </value>
          <value t="str">
            <val>-109.02</val>
          </value>
          <value t="str">
            <val>2022/09</val>
          </value>
          <value t="str">
            <val>-1.86</val>
          </value>
          <value t="str">
            <val>-21.27</val>
          </value>
          <value t="str">
            <val>2022/11</val>
          </value>
        </values>
      </ddeItem>
      <ddeItem name="1617.TW-OperatingProfitRatio,Price,PriceChangeRatio,InOutRatioNumber,Value,YearReturn,MonthReturn,WeekReturn,FinanceBalanceDif,ChipsField2" advise="1">
        <values cols="10">
          <value t="str">
            <val>-0.75</val>
          </value>
          <value>
            <val>15</val>
          </value>
          <value>
            <val>0.33</val>
          </value>
          <value t="str">
            <val>80.00%</val>
          </value>
          <value t="str">
            <val>15.0萬</val>
          </value>
          <value t="str">
            <val>-12.15</val>
          </value>
          <value t="str">
            <val>+0.33</val>
          </value>
          <value t="str">
            <val>-0.33</val>
          </value>
          <value>
            <val>0</val>
          </value>
          <value>
            <val>0</val>
          </value>
        </values>
      </ddeItem>
      <ddeItem name="1618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136</val>
          </value>
          <value t="str">
            <val>2022/07/12</val>
          </value>
          <value t="str">
            <val>0.50</val>
          </value>
          <value>
            <val>3.47</val>
          </value>
          <value t="str">
            <val>1.12</val>
          </value>
          <value t="str">
            <val>0.20</val>
          </value>
          <value t="str">
            <val>合機</val>
          </value>
          <value t="str">
            <val>上市電器電纜</val>
          </value>
          <value t="str">
            <val>台灣主要電力電纜廠</val>
          </value>
        </values>
      </ddeItem>
      <ddeItem name="1618.TW-CName,InvestorConferenceDate,DateofMeetingofShareHolders,TradingDate" advise="1">
        <values cols="4">
          <value t="str">
            <val>合機</val>
          </value>
          <value t="str">
            <val>2022/11/28</val>
          </value>
          <value t="str">
            <val>2022/06/27</val>
          </value>
          <value t="str">
            <val>2022/12/22</val>
          </value>
        </values>
      </ddeItem>
      <ddeItem name="1618.TW-ID,Name,MarketValue,Capital,NetIncomeGrowthRate,OperIncomeGrowthRate,FinancialStatementsTime,TFXRatio,MonthlyNetSalesYoY,RevenueMonth" advise="1">
        <values cols="10">
          <value t="str">
            <val>1618</val>
          </value>
          <value t="str">
            <val>合機</val>
          </value>
          <value t="str">
            <val>27.7</val>
          </value>
          <value t="str">
            <val>19.27</val>
          </value>
          <value t="str">
            <val>-5.34</val>
          </value>
          <value t="str">
            <val>-30.22</val>
          </value>
          <value t="str">
            <val>2022/09</val>
          </value>
          <value t="str">
            <val>-5.97</val>
          </value>
          <value t="str">
            <val>146.80</val>
          </value>
          <value t="str">
            <val>2022/11</val>
          </value>
        </values>
      </ddeItem>
      <ddeItem name="1618.TW-OperatingProfitRatio,Price,PriceChangeRatio,InOutRatioNumber,Value,YearReturn,MonthReturn,WeekReturn,FinanceBalanceDif,ChipsField2" advise="1">
        <values cols="10">
          <value t="str">
            <val>6.15</val>
          </value>
          <value>
            <val>14.4</val>
          </value>
          <value>
            <val>0.7</val>
          </value>
          <value t="str">
            <val>51.47%</val>
          </value>
          <value t="str">
            <val>644萬</val>
          </value>
          <value t="str">
            <val>+4.29</val>
          </value>
          <value t="str">
            <val>+5.49</val>
          </value>
          <value t="str">
            <val>-1.37</val>
          </value>
          <value>
            <val>-64</val>
          </value>
          <value>
            <val>0</val>
          </value>
        </values>
      </ddeItem>
      <ddeItem name="162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--</val>
          </value>
          <value t="str">
            <val>0.00</val>
          </value>
          <value>
            <val>0</val>
          </value>
          <value t="str">
            <val>3.68</val>
          </value>
          <value t="str">
            <val>-0.17</val>
          </value>
          <value t="str">
            <val>艾美特-KY</val>
          </value>
          <value t="str">
            <val>上市電器電纜</val>
          </value>
          <value t="str">
            <val>大陸「艾美特AIRMATE」品牌小家電生產商</val>
          </value>
        </values>
      </ddeItem>
      <ddeItem name="1626.TW-CName,InvestorConferenceDate,DateofMeetingofShareHolders,TradingDate" advise="1">
        <values cols="4">
          <value t="str">
            <val>艾美特-KY</val>
          </value>
          <value t="str">
            <val>2022/08/09</val>
          </value>
          <value t="str">
            <val>2022/06/10</val>
          </value>
          <value t="str">
            <val>2022/12/22</val>
          </value>
        </values>
      </ddeItem>
      <ddeItem name="1626.TW-ID,Name,MarketValue,Capital,NetIncomeGrowthRate,OperIncomeGrowthRate,FinancialStatementsTime,TFXRatio,MonthlyNetSalesYoY,RevenueMonth" advise="1">
        <values cols="10">
          <value t="str">
            <val>1626</val>
          </value>
          <value t="str">
            <val>艾美特-KY</val>
          </value>
          <value t="str">
            <val>24.2</val>
          </value>
          <value t="str">
            <val>14.55</val>
          </value>
          <value t="str">
            <val>380.83</val>
          </value>
          <value t="str">
            <val>58.45</val>
          </value>
          <value t="str">
            <val>2022/09</val>
          </value>
          <value t="str">
            <val>-9.52</val>
          </value>
          <value t="str">
            <val>-14.00</val>
          </value>
          <value t="str">
            <val>2022/11</val>
          </value>
        </values>
      </ddeItem>
      <ddeItem name="1626.TW-OperatingProfitRatio,Price,PriceChangeRatio,InOutRatioNumber,Value,YearReturn,MonthReturn,WeekReturn,FinanceBalanceDif,ChipsField2" advise="1">
        <values cols="10">
          <value t="str">
            <val>-1.12</val>
          </value>
          <value>
            <val>16.649999999999999</val>
          </value>
          <value>
            <val>0.6</val>
          </value>
          <value t="str">
            <val>46.15%</val>
          </value>
          <value t="str">
            <val>23.4萬</val>
          </value>
          <value t="str">
            <val>-12.37</val>
          </value>
          <value t="str">
            <val>+1.83</val>
          </value>
          <value t="str">
            <val>-3.76</val>
          </value>
          <value>
            <val>-1</val>
          </value>
          <value>
            <val>0</val>
          </value>
        </values>
      </ddeItem>
      <ddeItem name="1701.TW-ChipsField3,ChipsField1,ChipsField25,CashAndStockDividend,CashDividendYieldRate,ProfitFourSeason,ProfitSingle,CName,ExchangeIndustry,CompanyPos" advise="1">
        <values cols="10">
          <value>
            <val>-11</val>
          </value>
          <value>
            <val>158</val>
          </value>
          <value t="str">
            <val>2022/07/25</val>
          </value>
          <value t="str">
            <val>0.90</val>
          </value>
          <value>
            <val>2.91</val>
          </value>
          <value t="str">
            <val>1.77</val>
          </value>
          <value t="str">
            <val>0.43</val>
          </value>
          <value t="str">
            <val>中化</val>
          </value>
          <value t="str">
            <val>上市生技醫療</val>
          </value>
          <value t="str">
            <val>台灣學名藥製劑龍頭廠</val>
          </value>
        </values>
      </ddeItem>
      <ddeItem name="1701.TW-CName,InvestorConferenceDate,DateofMeetingofShareHolders,TradingDate" advise="1">
        <values cols="4">
          <value t="str">
            <val>中化</val>
          </value>
          <value t="str">
            <val>2022/12/02</val>
          </value>
          <value t="str">
            <val>2022/05/26</val>
          </value>
          <value t="str">
            <val>2022/12/22</val>
          </value>
        </values>
      </ddeItem>
      <ddeItem name="1701.TW-ID,Name,MarketValue,Capital,NetIncomeGrowthRate,OperIncomeGrowthRate,FinancialStatementsTime,TFXRatio,MonthlyNetSalesYoY,RevenueMonth" advise="1">
        <values cols="10">
          <value t="str">
            <val>1701</val>
          </value>
          <value t="str">
            <val>中化</val>
          </value>
          <value t="str">
            <val>92.1</val>
          </value>
          <value t="str">
            <val>29.81</val>
          </value>
          <value t="str">
            <val>2.64</val>
          </value>
          <value t="str">
            <val>-3.61</val>
          </value>
          <value t="str">
            <val>2022/09</val>
          </value>
          <value t="str">
            <val>4.33</val>
          </value>
          <value t="str">
            <val>6.77</val>
          </value>
          <value t="str">
            <val>2022/11</val>
          </value>
        </values>
      </ddeItem>
      <ddeItem name="1701.TW-OperatingProfitRatio,Price,PriceChangeRatio,InOutRatioNumber,Value,YearReturn,MonthReturn,WeekReturn,FinanceBalanceDif,ChipsField2" advise="1">
        <values cols="10">
          <value t="str">
            <val>4.82</val>
          </value>
          <value>
            <val>30.9</val>
          </value>
          <value>
            <val>0.65</val>
          </value>
          <value t="str">
            <val>59.49%</val>
          </value>
          <value t="str">
            <val>2.26億</val>
          </value>
          <value t="str">
            <val>+42.87</val>
          </value>
          <value t="str">
            <val>+48.56</val>
          </value>
          <value t="str">
            <val>+6.00</val>
          </value>
          <value>
            <val>-309</val>
          </value>
          <value>
            <val>0</val>
          </value>
        </values>
      </ddeItem>
      <ddeItem name="1702.TW-ChipsField3,ChipsField1,ChipsField25,CashAndStockDividend,CashDividendYieldRate,ProfitFourSeason,ProfitSingle,CName,ExchangeIndustry,CompanyPos" advise="1">
        <values cols="10">
          <value>
            <val>-9</val>
          </value>
          <value>
            <val>-93</val>
          </value>
          <value t="str">
            <val>2022/06/02</val>
          </value>
          <value t="str">
            <val>2.20</val>
          </value>
          <value>
            <val>4.87</val>
          </value>
          <value t="str">
            <val>2.92</val>
          </value>
          <value t="str">
            <val>0.40</val>
          </value>
          <value t="str">
            <val>南僑</val>
          </value>
          <value t="str">
            <val>上市食品</val>
          </value>
          <value t="str">
            <val>台灣最大烘焙用油脂廠，轉投資餐飲事業眾多品牌</val>
          </value>
        </values>
      </ddeItem>
      <ddeItem name="1702.TW-CName,InvestorConferenceDate,DateofMeetingofShareHolders,TradingDate" advise="1">
        <values cols="4">
          <value t="str">
            <val>南僑</val>
          </value>
          <value t="str">
            <val>2022/06/22</val>
          </value>
          <value t="str">
            <val>2022/06/02</val>
          </value>
          <value t="str">
            <val>2022/12/22</val>
          </value>
        </values>
      </ddeItem>
      <ddeItem name="1702.TW-ID,Name,MarketValue,Capital,NetIncomeGrowthRate,OperIncomeGrowthRate,FinancialStatementsTime,TFXRatio,MonthlyNetSalesYoY,RevenueMonth" advise="1">
        <values cols="10">
          <value t="str">
            <val>1702</val>
          </value>
          <value t="str">
            <val>南僑</val>
          </value>
          <value t="str">
            <val>132.9</val>
          </value>
          <value t="str">
            <val>29.41</val>
          </value>
          <value t="str">
            <val>-37.03</val>
          </value>
          <value t="str">
            <val>-46.62</val>
          </value>
          <value t="str">
            <val>2022/09</val>
          </value>
          <value t="str">
            <val>7.52</val>
          </value>
          <value t="str">
            <val>11.18</val>
          </value>
          <value t="str">
            <val>2022/11</val>
          </value>
        </values>
      </ddeItem>
      <ddeItem name="1702.TW-OperatingProfitRatio,Price,PriceChangeRatio,InOutRatioNumber,Value,YearReturn,MonthReturn,WeekReturn,FinanceBalanceDif,ChipsField2" advise="1">
        <values cols="10">
          <value t="str">
            <val>4.74</val>
          </value>
          <value>
            <val>45.2</val>
          </value>
          <value>
            <val>0.89</val>
          </value>
          <value t="str">
            <val>45.24%</val>
          </value>
          <value t="str">
            <val>379萬</val>
          </value>
          <value t="str">
            <val>-4.17</val>
          </value>
          <value t="str">
            <val>+2.38</val>
          </value>
          <value t="str">
            <val>+0.67</val>
          </value>
          <value>
            <val>8</val>
          </value>
          <value>
            <val>0</val>
          </value>
        </values>
      </ddeItem>
      <ddeItem name="1707.TW-ChipsField3,ChipsField1,ChipsField25,CashAndStockDividend,CashDividendYieldRate,ProfitFourSeason,ProfitSingle,CName,ExchangeIndustry,CompanyPos" advise="1">
        <values cols="10">
          <value>
            <val>7</val>
          </value>
          <value>
            <val>486</val>
          </value>
          <value t="str">
            <val>2022/06/15</val>
          </value>
          <value t="str">
            <val>6.10</val>
          </value>
          <value>
            <val>3.75</val>
          </value>
          <value t="str">
            <val>9.63</val>
          </value>
          <value t="str">
            <val>2.46</val>
          </value>
          <value t="str">
            <val>葡萄王</val>
          </value>
          <value t="str">
            <val>上市生技醫療</val>
          </value>
          <value t="str">
            <val>台灣保健食品製造領導廠商</val>
          </value>
        </values>
      </ddeItem>
      <ddeItem name="1707.TW-CName,InvestorConferenceDate,DateofMeetingofShareHolders,TradingDate" advise="1">
        <values cols="4">
          <value t="str">
            <val>葡萄王</val>
          </value>
          <value t="str">
            <val>2022/02/17</val>
          </value>
          <value t="str">
            <val>2022/05/27</val>
          </value>
          <value t="str">
            <val>2022/12/22</val>
          </value>
        </values>
      </ddeItem>
      <ddeItem name="1707.TW-ID,Name,MarketValue,Capital,NetIncomeGrowthRate,OperIncomeGrowthRate,FinancialStatementsTime,TFXRatio,MonthlyNetSalesYoY,RevenueMonth" advise="1">
        <values cols="10">
          <value t="str">
            <val>1707</val>
          </value>
          <value t="str">
            <val>葡萄王</val>
          </value>
          <value t="str">
            <val>221.5</val>
          </value>
          <value t="str">
            <val>14.81</val>
          </value>
          <value t="str">
            <val>13.21</val>
          </value>
          <value t="str">
            <val>12.00</val>
          </value>
          <value t="str">
            <val>2022/09</val>
          </value>
          <value t="str">
            <val>36.56</val>
          </value>
          <value t="str">
            <val>9.86</val>
          </value>
          <value t="str">
            <val>2022/11</val>
          </value>
        </values>
      </ddeItem>
      <ddeItem name="1707.TW-OperatingProfitRatio,Price,PriceChangeRatio,InOutRatioNumber,Value,YearReturn,MonthReturn,WeekReturn,FinanceBalanceDif,ChipsField2" advise="1">
        <values cols="10">
          <value t="str">
            <val>23.80</val>
          </value>
          <value>
            <val>162.5</val>
          </value>
          <value>
            <val>0.62</val>
          </value>
          <value t="str">
            <val>50.44%</val>
          </value>
          <value t="str">
            <val>1.97億</val>
          </value>
          <value t="str">
            <val>+5.74</val>
          </value>
          <value t="str">
            <val>+23.11</val>
          </value>
          <value t="str">
            <val>+2.85</val>
          </value>
          <value>
            <val>-121</val>
          </value>
          <value>
            <val>363</val>
          </value>
        </values>
      </ddeItem>
      <ddeItem name="1708.TW-ChipsField3,ChipsField1,ChipsField25,CashAndStockDividend,CashDividendYieldRate,ProfitFourSeason,ProfitSingle,CName,ExchangeIndustry,CompanyPos" advise="1">
        <values cols="10">
          <value>
            <val>-31</val>
          </value>
          <value>
            <val>-92</val>
          </value>
          <value t="str">
            <val>2022/07/21</val>
          </value>
          <value t="str">
            <val>2.00</val>
          </value>
          <value>
            <val>4.84</val>
          </value>
          <value t="str">
            <val>6.03</val>
          </value>
          <value t="str">
            <val>1.72</val>
          </value>
          <value t="str">
            <val>東鹼</val>
          </value>
          <value t="str">
            <val>上市化工</val>
          </value>
          <value t="str">
            <val>台灣主要肥料及純鹼大廠</val>
          </value>
        </values>
      </ddeItem>
      <ddeItem name="1708.TW-CName,InvestorConferenceDate,DateofMeetingofShareHolders,TradingDate" advise="1">
        <values cols="4">
          <value t="str">
            <val>東鹼</val>
          </value>
          <value t="str">
            <val>2022/11/23</val>
          </value>
          <value t="str">
            <val>2022/05/20</val>
          </value>
          <value t="str">
            <val>2022/12/22</val>
          </value>
        </values>
      </ddeItem>
      <ddeItem name="1708.TW-ID,Name,MarketValue,Capital,NetIncomeGrowthRate,OperIncomeGrowthRate,FinancialStatementsTime,TFXRatio,MonthlyNetSalesYoY,RevenueMonth" advise="1">
        <values cols="10">
          <value t="str">
            <val>1708</val>
          </value>
          <value t="str">
            <val>東鹼</val>
          </value>
          <value t="str">
            <val>102.8</val>
          </value>
          <value t="str">
            <val>24.90</val>
          </value>
          <value t="str">
            <val>252.04</val>
          </value>
          <value t="str">
            <val>292.53</val>
          </value>
          <value t="str">
            <val>2022/09</val>
          </value>
          <value t="str">
            <val>-5.85</val>
          </value>
          <value t="str">
            <val>9.42</val>
          </value>
          <value t="str">
            <val>2022/11</val>
          </value>
        </values>
      </ddeItem>
      <ddeItem name="1708.TW-OperatingProfitRatio,Price,PriceChangeRatio,InOutRatioNumber,Value,YearReturn,MonthReturn,WeekReturn,FinanceBalanceDif,ChipsField2" advise="1">
        <values cols="10">
          <value t="str">
            <val>25.08</val>
          </value>
          <value>
            <val>41.3</val>
          </value>
          <value>
            <val>1.72</val>
          </value>
          <value t="str">
            <val>56.67%</val>
          </value>
          <value t="str">
            <val>7403萬</val>
          </value>
          <value t="str">
            <val>+26.19</val>
          </value>
          <value t="str">
            <val>-4.95</val>
          </value>
          <value t="str">
            <val>-3.50</val>
          </value>
          <value>
            <val>9</val>
          </value>
          <value>
            <val>0</val>
          </value>
        </values>
      </ddeItem>
      <ddeItem name="1709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51</val>
          </value>
          <value t="str">
            <val>2022/08/24</val>
          </value>
          <value t="str">
            <val>1.70</val>
          </value>
          <value>
            <val>7.57</val>
          </value>
          <value t="str">
            <val>2.25</val>
          </value>
          <value t="str">
            <val>0.54</val>
          </value>
          <value t="str">
            <val>和益</val>
          </value>
          <value t="str">
            <val>上市化工</val>
          </value>
          <value t="str">
            <val>台灣烷化品大廠、且為唯一氫化石油樹脂商</val>
          </value>
        </values>
      </ddeItem>
      <ddeItem name="1709.TW-CName,InvestorConferenceDate,DateofMeetingofShareHolders,TradingDate" advise="1">
        <values cols="4">
          <value t="str">
            <val>和益</val>
          </value>
          <value t="str">
            <val>2022/12/15</val>
          </value>
          <value t="str">
            <val>2022/06/17</val>
          </value>
          <value t="str">
            <val>2022/12/22</val>
          </value>
        </values>
      </ddeItem>
      <ddeItem name="1709.TW-ID,Name,MarketValue,Capital,NetIncomeGrowthRate,OperIncomeGrowthRate,FinancialStatementsTime,TFXRatio,MonthlyNetSalesYoY,RevenueMonth" advise="1">
        <values cols="10">
          <value t="str">
            <val>1709</val>
          </value>
          <value t="str">
            <val>和益</val>
          </value>
          <value t="str">
            <val>107.1</val>
          </value>
          <value t="str">
            <val>47.70</val>
          </value>
          <value t="str">
            <val>15.00</val>
          </value>
          <value t="str">
            <val>-6.09</val>
          </value>
          <value t="str">
            <val>2022/09</val>
          </value>
          <value t="str">
            <val>-31.05</val>
          </value>
          <value t="str">
            <val>-2.73</val>
          </value>
          <value t="str">
            <val>2022/11</val>
          </value>
        </values>
      </ddeItem>
      <ddeItem name="1709.TW-OperatingProfitRatio,Price,PriceChangeRatio,InOutRatioNumber,Value,YearReturn,MonthReturn,WeekReturn,FinanceBalanceDif,ChipsField2" advise="1">
        <values cols="10">
          <value t="str">
            <val>11.45</val>
          </value>
          <value>
            <val>22.45</val>
          </value>
          <value>
            <val>1.1299999999999999</val>
          </value>
          <value t="str">
            <val>56.57%</val>
          </value>
          <value t="str">
            <val>1159萬</val>
          </value>
          <value t="str">
            <val>+5.79</val>
          </value>
          <value t="str">
            <val>-0.44</val>
          </value>
          <value t="str">
            <val>-2.18</val>
          </value>
          <value>
            <val>-20</val>
          </value>
          <value>
            <val>0</val>
          </value>
        </values>
      </ddeItem>
      <ddeItem name="1710.TW-ChipsField3,ChipsField1,ChipsField25,CashAndStockDividend,CashDividendYieldRate,ProfitFourSeason,ProfitSingle,CName,ExchangeIndustry,CompanyPos" advise="1">
        <values cols="10">
          <value>
            <val>-60</val>
          </value>
          <value>
            <val>31</val>
          </value>
          <value t="str">
            <val>2022/07/01</val>
          </value>
          <value t="str">
            <val>0.70</val>
          </value>
          <value>
            <val>3.83</val>
          </value>
          <value t="str">
            <val>-0.52</val>
          </value>
          <value t="str">
            <val>-0.29</val>
          </value>
          <value t="str">
            <val>東聯</val>
          </value>
          <value t="str">
            <val>上市化工</val>
          </value>
          <value t="str">
            <val>遠東集團旗下EG大廠</val>
          </value>
        </values>
      </ddeItem>
      <ddeItem name="1710.TW-CName,InvestorConferenceDate,DateofMeetingofShareHolders,TradingDate" advise="1">
        <values cols="4">
          <value t="str">
            <val>東聯</val>
          </value>
          <value t="str">
            <val>2022/09/16</val>
          </value>
          <value t="str">
            <val>2022/06/09</val>
          </value>
          <value t="str">
            <val>2022/12/22</val>
          </value>
        </values>
      </ddeItem>
      <ddeItem name="1710.TW-ID,Name,MarketValue,Capital,NetIncomeGrowthRate,OperIncomeGrowthRate,FinancialStatementsTime,TFXRatio,MonthlyNetSalesYoY,RevenueMonth" advise="1">
        <values cols="10">
          <value t="str">
            <val>1710</val>
          </value>
          <value t="str">
            <val>東聯</val>
          </value>
          <value t="str">
            <val>162.1</val>
          </value>
          <value t="str">
            <val>88.57</val>
          </value>
          <value t="str">
            <val>-198.72</val>
          </value>
          <value t="str">
            <val>-172.22</val>
          </value>
          <value t="str">
            <val>2022/09</val>
          </value>
          <value t="str">
            <val>-0.13</val>
          </value>
          <value t="str">
            <val>-15.50</val>
          </value>
          <value t="str">
            <val>2022/11</val>
          </value>
        </values>
      </ddeItem>
      <ddeItem name="1710.TW-OperatingProfitRatio,Price,PriceChangeRatio,InOutRatioNumber,Value,YearReturn,MonthReturn,WeekReturn,FinanceBalanceDif,ChipsField2" advise="1">
        <values cols="10">
          <value t="str">
            <val>-5.22</val>
          </value>
          <value>
            <val>18.3</val>
          </value>
          <value>
            <val>1.39</val>
          </value>
          <value t="str">
            <val>44.53%</val>
          </value>
          <value t="str">
            <val>942萬</val>
          </value>
          <value t="str">
            <val>-12.19</val>
          </value>
          <value t="str">
            <val>+3.68</val>
          </value>
          <value t="str">
            <val>-3.43</val>
          </value>
          <value>
            <val>34</val>
          </value>
          <value>
            <val>0</val>
          </value>
        </values>
      </ddeItem>
      <ddeItem name="1711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-207</val>
          </value>
          <value t="str">
            <val>--</val>
          </value>
          <value t="str">
            <val>--</val>
          </value>
          <value>
            <val>0</val>
          </value>
          <value t="str">
            <val>0.73</val>
          </value>
          <value t="str">
            <val>0.15</val>
          </value>
          <value t="str">
            <val>永光</val>
          </value>
          <value t="str">
            <val>上市化工</val>
          </value>
          <value t="str">
            <val>全球前五大、亞洲最大染料廠</val>
          </value>
        </values>
      </ddeItem>
      <ddeItem name="1711.TW-CName,InvestorConferenceDate,DateofMeetingofShareHolders,TradingDate" advise="1">
        <values cols="4">
          <value t="str">
            <val>永光</val>
          </value>
          <value t="str">
            <val>2022/08/26</val>
          </value>
          <value t="str">
            <val>2023/05/25</val>
          </value>
          <value t="str">
            <val>2022/12/22</val>
          </value>
        </values>
      </ddeItem>
      <ddeItem name="1711.TW-ID,Name,MarketValue,Capital,NetIncomeGrowthRate,OperIncomeGrowthRate,FinancialStatementsTime,TFXRatio,MonthlyNetSalesYoY,RevenueMonth" advise="1">
        <values cols="10">
          <value t="str">
            <val>1711</val>
          </value>
          <value t="str">
            <val>永光</val>
          </value>
          <value t="str">
            <val>101.9</val>
          </value>
          <value t="str">
            <val>54.78</val>
          </value>
          <value t="str">
            <val>-15.23</val>
          </value>
          <value t="str">
            <val>-33.45</val>
          </value>
          <value t="str">
            <val>2022/09</val>
          </value>
          <value t="str">
            <val>7.00</val>
          </value>
          <value t="str">
            <val>-18.66</val>
          </value>
          <value t="str">
            <val>2022/11</val>
          </value>
        </values>
      </ddeItem>
      <ddeItem name="1711.TW-OperatingProfitRatio,Price,PriceChangeRatio,InOutRatioNumber,Value,YearReturn,MonthReturn,WeekReturn,FinanceBalanceDif,ChipsField2" advise="1">
        <values cols="10">
          <value t="str">
            <val>4.62</val>
          </value>
          <value>
            <val>18.600000000000001</val>
          </value>
          <value>
            <val>1.0900000000000001</val>
          </value>
          <value t="str">
            <val>57.01%</val>
          </value>
          <value t="str">
            <val>2029萬</val>
          </value>
          <value t="str">
            <val>-29.41</val>
          </value>
          <value t="str">
            <val>+4.20</val>
          </value>
          <value t="str">
            <val>-6.77</val>
          </value>
          <value>
            <val>46</val>
          </value>
          <value>
            <val>0</val>
          </value>
        </values>
      </ddeItem>
      <ddeItem name="1712.TW-ChipsField3,ChipsField1,ChipsField25,CashAndStockDividend,CashDividendYieldRate,ProfitFourSeason,ProfitSingle,CName,ExchangeIndustry,CompanyPos" advise="1">
        <values cols="10">
          <value>
            <val>-23</val>
          </value>
          <value>
            <val>185</val>
          </value>
          <value t="str">
            <val>2022/04/07</val>
          </value>
          <value t="str">
            <val>1.80</val>
          </value>
          <value>
            <val>4.88</val>
          </value>
          <value t="str">
            <val>3.83</val>
          </value>
          <value t="str">
            <val>1.26</val>
          </value>
          <value t="str">
            <val>興農</val>
          </value>
          <value t="str">
            <val>上市化工</val>
          </value>
          <value t="str">
            <val>台灣農藥第一大廠,在中部經營連鎖超市</val>
          </value>
        </values>
      </ddeItem>
      <ddeItem name="1712.TW-CName,InvestorConferenceDate,DateofMeetingofShareHolders,TradingDate" advise="1">
        <values cols="4">
          <value t="str">
            <val>興農</val>
          </value>
          <value t="str">
            <val>2022/11/24</val>
          </value>
          <value t="str">
            <val>2022/06/24</val>
          </value>
          <value t="str">
            <val>2022/12/22</val>
          </value>
        </values>
      </ddeItem>
      <ddeItem name="1712.TW-ID,Name,MarketValue,Capital,NetIncomeGrowthRate,OperIncomeGrowthRate,FinancialStatementsTime,TFXRatio,MonthlyNetSalesYoY,RevenueMonth" advise="1">
        <values cols="10">
          <value t="str">
            <val>1712</val>
          </value>
          <value t="str">
            <val>興農</val>
          </value>
          <value t="str">
            <val>155.2</val>
          </value>
          <value t="str">
            <val>42.05</val>
          </value>
          <value t="str">
            <val>92.56</val>
          </value>
          <value t="str">
            <val>67.92</val>
          </value>
          <value t="str">
            <val>2022/09</val>
          </value>
          <value t="str">
            <val>-27.15</val>
          </value>
          <value t="str">
            <val>2.85</val>
          </value>
          <value t="str">
            <val>2022/11</val>
          </value>
        </values>
      </ddeItem>
      <ddeItem name="1712.TW-OperatingProfitRatio,Price,PriceChangeRatio,InOutRatioNumber,Value,YearReturn,MonthReturn,WeekReturn,FinanceBalanceDif,ChipsField2" advise="1">
        <values cols="10">
          <value t="str">
            <val>8.77</val>
          </value>
          <value>
            <val>36.9</val>
          </value>
          <value>
            <val>1.23</val>
          </value>
          <value t="str">
            <val>40.16%</val>
          </value>
          <value t="str">
            <val>2499萬</val>
          </value>
          <value t="str">
            <val>+43.67</val>
          </value>
          <value t="str">
            <val>-1.99</val>
          </value>
          <value t="str">
            <val>-1.20</val>
          </value>
          <value>
            <val>-16</val>
          </value>
          <value>
            <val>0</val>
          </value>
        </values>
      </ddeItem>
      <ddeItem name="171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2022/08/04</val>
          </value>
          <value t="str">
            <val>0.85</val>
          </value>
          <value>
            <val>3.41</val>
          </value>
          <value t="str">
            <val>1.64</val>
          </value>
          <value t="str">
            <val>0.77</val>
          </value>
          <value t="str">
            <val>國化</val>
          </value>
          <value t="str">
            <val>上市化工</val>
          </value>
          <value t="str">
            <val>保險粉生產商，在高雄擁有資產土地</val>
          </value>
        </values>
      </ddeItem>
      <ddeItem name="1713.TW-CName,InvestorConferenceDate,DateofMeetingofShareHolders,TradingDate" advise="1">
        <values cols="4">
          <value t="str">
            <val>國化</val>
          </value>
          <value t="str">
            <val>2022/04/01</val>
          </value>
          <value t="str">
            <val>2022/05/31</val>
          </value>
          <value t="str">
            <val>2022/12/22</val>
          </value>
        </values>
      </ddeItem>
      <ddeItem name="1713.TW-ID,Name,MarketValue,Capital,NetIncomeGrowthRate,OperIncomeGrowthRate,FinancialStatementsTime,TFXRatio,MonthlyNetSalesYoY,RevenueMonth" advise="1">
        <values cols="10">
          <value t="str">
            <val>1713</val>
          </value>
          <value t="str">
            <val>國化</val>
          </value>
          <value t="str">
            <val>37.7</val>
          </value>
          <value t="str">
            <val>15.10</val>
          </value>
          <value t="str">
            <val>76.11</val>
          </value>
          <value t="str">
            <val>-45.87</val>
          </value>
          <value t="str">
            <val>2022/09</val>
          </value>
          <value t="str">
            <val>13.15</val>
          </value>
          <value t="str">
            <val>-45.81</val>
          </value>
          <value t="str">
            <val>2022/11</val>
          </value>
        </values>
      </ddeItem>
      <ddeItem name="1713.TW-OperatingProfitRatio,Price,PriceChangeRatio,InOutRatioNumber,Value,YearReturn,MonthReturn,WeekReturn,FinanceBalanceDif,ChipsField2" advise="1">
        <values cols="10">
          <value t="str">
            <val>1.89</val>
          </value>
          <value>
            <val>24.95</val>
          </value>
          <value>
            <val>-0.6</val>
          </value>
          <value t="str">
            <val>61.54%</val>
          </value>
          <value t="str">
            <val>97.8萬</val>
          </value>
          <value t="str">
            <val>+6.62</val>
          </value>
          <value t="str">
            <val>+3.96</val>
          </value>
          <value t="str">
            <val>-1.19</val>
          </value>
          <value>
            <val>-2</val>
          </value>
          <value>
            <val>0</val>
          </value>
        </values>
      </ddeItem>
      <ddeItem name="1714.TW-ChipsField3,ChipsField1,ChipsField25,CashAndStockDividend,CashDividendYieldRate,ProfitFourSeason,ProfitSingle,CName,ExchangeIndustry,CompanyPos" advise="1">
        <values cols="10">
          <value>
            <val>-16</val>
          </value>
          <value>
            <val>-31</val>
          </value>
          <value t="str">
            <val>2022/08/04</val>
          </value>
          <value t="str">
            <val>0.42</val>
          </value>
          <value>
            <val>4.82</val>
          </value>
          <value t="str">
            <val>0.35</val>
          </value>
          <value t="str">
            <val>0.11</val>
          </value>
          <value t="str">
            <val>和桐</val>
          </value>
          <value t="str">
            <val>上市化工</val>
          </value>
          <value t="str">
            <val>亞洲最大正烷屬烴供應商</val>
          </value>
        </values>
      </ddeItem>
      <ddeItem name="1714.TW-CName,InvestorConferenceDate,DateofMeetingofShareHolders,TradingDate" advise="1">
        <values cols="4">
          <value t="str">
            <val>和桐</val>
          </value>
          <value t="str">
            <val>2022/11/28</val>
          </value>
          <value t="str">
            <val>2022/06/23</val>
          </value>
          <value t="str">
            <val>2022/12/22</val>
          </value>
        </values>
      </ddeItem>
      <ddeItem name="1714.TW-ID,Name,MarketValue,Capital,NetIncomeGrowthRate,OperIncomeGrowthRate,FinancialStatementsTime,TFXRatio,MonthlyNetSalesYoY,RevenueMonth" advise="1">
        <values cols="10">
          <value t="str">
            <val>1714</val>
          </value>
          <value t="str">
            <val>和桐</val>
          </value>
          <value t="str">
            <val>88.6</val>
          </value>
          <value t="str">
            <val>101.68</val>
          </value>
          <value t="str">
            <val>-59.57</val>
          </value>
          <value t="str">
            <val>-61.44</val>
          </value>
          <value t="str">
            <val>2022/09</val>
          </value>
          <value t="str">
            <val>2.11</val>
          </value>
          <value t="str">
            <val>13.10</val>
          </value>
          <value t="str">
            <val>2022/11</val>
          </value>
        </values>
      </ddeItem>
      <ddeItem name="1714.TW-OperatingProfitRatio,Price,PriceChangeRatio,InOutRatioNumber,Value,YearReturn,MonthReturn,WeekReturn,FinanceBalanceDif,ChipsField2" advise="1">
        <values cols="10">
          <value t="str">
            <val>3.60</val>
          </value>
          <value>
            <val>8.7100000000000009</val>
          </value>
          <value>
            <val>1.04</val>
          </value>
          <value t="str">
            <val>42.42%</val>
          </value>
          <value t="str">
            <val>432萬</val>
          </value>
          <value t="str">
            <val>-15.93</val>
          </value>
          <value t="str">
            <val>+5.19</val>
          </value>
          <value t="str">
            <val>-0.23</val>
          </value>
          <value>
            <val>-168</val>
          </value>
          <value>
            <val>0</val>
          </value>
        </values>
      </ddeItem>
      <ddeItem name="1717.TW-ChipsField3,ChipsField1,ChipsField25,CashAndStockDividend,CashDividendYieldRate,ProfitFourSeason,ProfitSingle,CName,ExchangeIndustry,CompanyPos" advise="1">
        <values cols="10">
          <value>
            <val>-34</val>
          </value>
          <value>
            <val>899</val>
          </value>
          <value t="str">
            <val>2022/07/28</val>
          </value>
          <value t="str">
            <val>1.50</val>
          </value>
          <value>
            <val>4.7</val>
          </value>
          <value t="str">
            <val>2.39</val>
          </value>
          <value t="str">
            <val>0.41</val>
          </value>
          <value t="str">
            <val>長興</val>
          </value>
          <value t="str">
            <val>上市化工</val>
          </value>
          <value t="str">
            <val>全球最大乾膜光阻劑廠商之一、前三大UV光固化樹脂廠</val>
          </value>
        </values>
      </ddeItem>
      <ddeItem name="1717.TW-CName,InvestorConferenceDate,DateofMeetingofShareHolders,TradingDate" advise="1">
        <values cols="4">
          <value t="str">
            <val>長興</val>
          </value>
          <value t="str">
            <val>2022/11/18</val>
          </value>
          <value t="str">
            <val>2022/06/23</val>
          </value>
          <value t="str">
            <val>2022/12/22</val>
          </value>
        </values>
      </ddeItem>
      <ddeItem name="1717.TW-ID,Name,MarketValue,Capital,NetIncomeGrowthRate,OperIncomeGrowthRate,FinancialStatementsTime,TFXRatio,MonthlyNetSalesYoY,RevenueMonth" advise="1">
        <values cols="10">
          <value t="str">
            <val>1717</val>
          </value>
          <value t="str">
            <val>長興</val>
          </value>
          <value t="str">
            <val>375.9</val>
          </value>
          <value t="str">
            <val>117.83</val>
          </value>
          <value t="str">
            <val>-21.03</val>
          </value>
          <value t="str">
            <val>-19.90</val>
          </value>
          <value t="str">
            <val>2022/09</val>
          </value>
          <value t="str">
            <val>-0.86</val>
          </value>
          <value t="str">
            <val>-7.78</val>
          </value>
          <value t="str">
            <val>2022/11</val>
          </value>
        </values>
      </ddeItem>
      <ddeItem name="1717.TW-OperatingProfitRatio,Price,PriceChangeRatio,InOutRatioNumber,Value,YearReturn,MonthReturn,WeekReturn,FinanceBalanceDif,ChipsField2" advise="1">
        <values cols="10">
          <value t="str">
            <val>7.18</val>
          </value>
          <value>
            <val>31.9</val>
          </value>
          <value>
            <val>1.92</val>
          </value>
          <value t="str">
            <val>43.76%</val>
          </value>
          <value t="str">
            <val>1.15億</val>
          </value>
          <value t="str">
            <val>-12.20</val>
          </value>
          <value t="str">
            <val>0.00</val>
          </value>
          <value t="str">
            <val>+0.79</val>
          </value>
          <value>
            <val>211</val>
          </value>
          <value>
            <val>-1607</val>
          </value>
        </values>
      </ddeItem>
      <ddeItem name="171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369</val>
          </value>
          <value t="str">
            <val>--</val>
          </value>
          <value t="str">
            <val>0.00</val>
          </value>
          <value>
            <val>0</val>
          </value>
          <value t="str">
            <val>-0.61</val>
          </value>
          <value t="str">
            <val>-0.27</val>
          </value>
          <value t="str">
            <val>中纖</val>
          </value>
          <value t="str">
            <val>上市化工</val>
          </value>
          <value t="str">
            <val>台灣化纖及EG重要供應商</val>
          </value>
        </values>
      </ddeItem>
      <ddeItem name="1718.TW-CName,InvestorConferenceDate,DateofMeetingofShareHolders,TradingDate" advise="1">
        <values cols="4">
          <value t="str">
            <val>中纖</val>
          </value>
          <value t="str">
            <val>2022/06/16</val>
          </value>
          <value t="str">
            <val>2022/06/16</val>
          </value>
          <value t="str">
            <val>2022/12/22</val>
          </value>
        </values>
      </ddeItem>
      <ddeItem name="1718.TW-ID,Name,MarketValue,Capital,NetIncomeGrowthRate,OperIncomeGrowthRate,FinancialStatementsTime,TFXRatio,MonthlyNetSalesYoY,RevenueMonth" advise="1">
        <values cols="10">
          <value t="str">
            <val>1718</val>
          </value>
          <value t="str">
            <val>中纖</val>
          </value>
          <value t="str">
            <val>141.8</val>
          </value>
          <value t="str">
            <val>168.62</val>
          </value>
          <value t="str">
            <val>-17.46</val>
          </value>
          <value t="str">
            <val>2.08</val>
          </value>
          <value t="str">
            <val>2022/09</val>
          </value>
          <value t="str">
            <val>7.42</val>
          </value>
          <value t="str">
            <val>11.62</val>
          </value>
          <value t="str">
            <val>2022/11</val>
          </value>
        </values>
      </ddeItem>
      <ddeItem name="1718.TW-OperatingProfitRatio,Price,PriceChangeRatio,InOutRatioNumber,Value,YearReturn,MonthReturn,WeekReturn,FinanceBalanceDif,ChipsField2" advise="1">
        <values cols="10">
          <value t="str">
            <val>13.75</val>
          </value>
          <value>
            <val>8.41</val>
          </value>
          <value>
            <val>2.94</val>
          </value>
          <value t="str">
            <val>64.34%</val>
          </value>
          <value t="str">
            <val>2673萬</val>
          </value>
          <value t="str">
            <val>-15.39</val>
          </value>
          <value t="str">
            <val>+5.65</val>
          </value>
          <value t="str">
            <val>-4.00</val>
          </value>
          <value>
            <val>-1457</val>
          </value>
          <value>
            <val>0</val>
          </value>
        </values>
      </ddeItem>
      <ddeItem name="1720.TW-ChipsField3,ChipsField1,ChipsField25,CashAndStockDividend,CashDividendYieldRate,ProfitFourSeason,ProfitSingle,CName,ExchangeIndustry,CompanyPos" advise="1">
        <values cols="10">
          <value>
            <val>-11</val>
          </value>
          <value>
            <val>999</val>
          </value>
          <value t="str">
            <val>2022/07/28</val>
          </value>
          <value t="str">
            <val>2.50</val>
          </value>
          <value>
            <val>4.24</val>
          </value>
          <value t="str">
            <val>4.55</val>
          </value>
          <value t="str">
            <val>1.34</val>
          </value>
          <value t="str">
            <val>生達</val>
          </value>
          <value t="str">
            <val>上市生技醫療</val>
          </value>
          <value t="str">
            <val>台灣第三大學名藥廠</val>
          </value>
        </values>
      </ddeItem>
      <ddeItem name="1720.TW-CName,InvestorConferenceDate,DateofMeetingofShareHolders,TradingDate" advise="1">
        <values cols="4">
          <value t="str">
            <val>生達</val>
          </value>
          <value t="str">
            <val>2022/11/17</val>
          </value>
          <value t="str">
            <val>2022/06/21</val>
          </value>
          <value t="str">
            <val>2022/12/22</val>
          </value>
        </values>
      </ddeItem>
      <ddeItem name="1720.TW-ID,Name,MarketValue,Capital,NetIncomeGrowthRate,OperIncomeGrowthRate,FinancialStatementsTime,TFXRatio,MonthlyNetSalesYoY,RevenueMonth" advise="1">
        <values cols="10">
          <value t="str">
            <val>1720</val>
          </value>
          <value t="str">
            <val>生達</val>
          </value>
          <value t="str">
            <val>105.4</val>
          </value>
          <value t="str">
            <val>17.87</val>
          </value>
          <value t="str">
            <val>48.32</val>
          </value>
          <value t="str">
            <val>28.49</val>
          </value>
          <value t="str">
            <val>2022/09</val>
          </value>
          <value t="str">
            <val>2.67</val>
          </value>
          <value t="str">
            <val>36.73</val>
          </value>
          <value t="str">
            <val>2022/11</val>
          </value>
        </values>
      </ddeItem>
      <ddeItem name="1720.TW-OperatingProfitRatio,Price,PriceChangeRatio,InOutRatioNumber,Value,YearReturn,MonthReturn,WeekReturn,FinanceBalanceDif,ChipsField2" advise="1">
        <values cols="10">
          <value t="str">
            <val>19.09</val>
          </value>
          <value>
            <val>59</val>
          </value>
          <value>
            <val>2.61</val>
          </value>
          <value t="str">
            <val>55.16%</val>
          </value>
          <value t="str">
            <val>5.04億</val>
          </value>
          <value t="str">
            <val>+45.44</val>
          </value>
          <value t="str">
            <val>+25.00</val>
          </value>
          <value t="str">
            <val>-2.96</val>
          </value>
          <value>
            <val>-243</val>
          </value>
          <value>
            <val>0</val>
          </value>
        </values>
      </ddeItem>
      <ddeItem name="1721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153</val>
          </value>
          <value t="str">
            <val>--</val>
          </value>
          <value t="str">
            <val>0.00</val>
          </value>
          <value>
            <val>0</val>
          </value>
          <value t="str">
            <val>0.67</val>
          </value>
          <value t="str">
            <val>0.04</val>
          </value>
          <value t="str">
            <val>三晃</val>
          </value>
          <value t="str">
            <val>上市化工</val>
          </value>
          <value t="str">
            <val>油墨、表面處理劑、PU樹脂生產企業</val>
          </value>
        </values>
      </ddeItem>
      <ddeItem name="1721.TW-CName,InvestorConferenceDate,DateofMeetingofShareHolders,TradingDate" advise="1">
        <values cols="4">
          <value t="str">
            <val>三晃</val>
          </value>
          <value t="str">
            <val>2022/09/08</val>
          </value>
          <value t="str">
            <val>2022/06/15</val>
          </value>
          <value t="str">
            <val>2022/12/22</val>
          </value>
        </values>
      </ddeItem>
      <ddeItem name="1721.TW-ID,Name,MarketValue,Capital,NetIncomeGrowthRate,OperIncomeGrowthRate,FinancialStatementsTime,TFXRatio,MonthlyNetSalesYoY,RevenueMonth" advise="1">
        <values cols="10">
          <value t="str">
            <val>1721</val>
          </value>
          <value t="str">
            <val>三晃</val>
          </value>
          <value t="str">
            <val>28.0</val>
          </value>
          <value t="str">
            <val>18.49</val>
          </value>
          <value t="str">
            <val>178.12</val>
          </value>
          <value t="str">
            <val>128.76</val>
          </value>
          <value t="str">
            <val>2022/09</val>
          </value>
          <value t="str">
            <val>24.93</val>
          </value>
          <value t="str">
            <val>-19.60</val>
          </value>
          <value t="str">
            <val>2022/11</val>
          </value>
        </values>
      </ddeItem>
      <ddeItem name="1721.TW-OperatingProfitRatio,Price,PriceChangeRatio,InOutRatioNumber,Value,YearReturn,MonthReturn,WeekReturn,FinanceBalanceDif,ChipsField2" advise="1">
        <values cols="10">
          <value t="str">
            <val>1.76</val>
          </value>
          <value>
            <val>15.15</val>
          </value>
          <value>
            <val>1.34</val>
          </value>
          <value t="str">
            <val>44.34%</val>
          </value>
          <value t="str">
            <val>815萬</val>
          </value>
          <value t="str">
            <val>-44.61</val>
          </value>
          <value t="str">
            <val>+8.21</val>
          </value>
          <value t="str">
            <val>-3.81</val>
          </value>
          <value>
            <val>3</val>
          </value>
          <value>
            <val>0</val>
          </value>
        </values>
      </ddeItem>
      <ddeItem name="1722.TW-ChipsField3,ChipsField1,ChipsField25,CashAndStockDividend,CashDividendYieldRate,ProfitFourSeason,ProfitSingle,CName,ExchangeIndustry,CompanyPos" advise="1">
        <values cols="10">
          <value>
            <val>-37</val>
          </value>
          <value>
            <val>-351</val>
          </value>
          <value t="str">
            <val>2022/08/26</val>
          </value>
          <value t="str">
            <val>2.80</val>
          </value>
          <value>
            <val>5.24</val>
          </value>
          <value t="str">
            <val>2.98</val>
          </value>
          <value t="str">
            <val>0.64</val>
          </value>
          <value t="str">
            <val>台肥</val>
          </value>
          <value t="str">
            <val>上市化工</val>
          </value>
          <value t="str">
            <val>台灣最大肥料及化學廠商</val>
          </value>
        </values>
      </ddeItem>
      <ddeItem name="1722.TW-CName,InvestorConferenceDate,DateofMeetingofShareHolders,TradingDate" advise="1">
        <values cols="4">
          <value t="str">
            <val>台肥</val>
          </value>
          <value t="str">
            <val>2022/11/29</val>
          </value>
          <value t="str">
            <val>2022/06/29</val>
          </value>
          <value t="str">
            <val>2022/12/22</val>
          </value>
        </values>
      </ddeItem>
      <ddeItem name="1722.TW-ID,Name,MarketValue,Capital,NetIncomeGrowthRate,OperIncomeGrowthRate,FinancialStatementsTime,TFXRatio,MonthlyNetSalesYoY,RevenueMonth" advise="1">
        <values cols="10">
          <value t="str">
            <val>1722</val>
          </value>
          <value t="str">
            <val>台肥</val>
          </value>
          <value t="str">
            <val>523.3</val>
          </value>
          <value t="str">
            <val>98.00</val>
          </value>
          <value t="str">
            <val>-5.11</val>
          </value>
          <value t="str">
            <val>-187.28</val>
          </value>
          <value t="str">
            <val>2022/09</val>
          </value>
          <value t="str">
            <val>9.72</val>
          </value>
          <value t="str">
            <val>-34.04</val>
          </value>
          <value t="str">
            <val>2022/11</val>
          </value>
        </values>
      </ddeItem>
      <ddeItem name="1722.TW-OperatingProfitRatio,Price,PriceChangeRatio,InOutRatioNumber,Value,YearReturn,MonthReturn,WeekReturn,FinanceBalanceDif,ChipsField2" advise="1">
        <values cols="10">
          <value t="str">
            <val>-5.68</val>
          </value>
          <value>
            <val>53.4</val>
          </value>
          <value>
            <val>0.38</val>
          </value>
          <value t="str">
            <val>41.56%</val>
          </value>
          <value t="str">
            <val>6401萬</val>
          </value>
          <value t="str">
            <val>-20.33</val>
          </value>
          <value t="str">
            <val>-3.09</val>
          </value>
          <value t="str">
            <val>-1.48</val>
          </value>
          <value>
            <val>27</val>
          </value>
          <value>
            <val>3</val>
          </value>
        </values>
      </ddeItem>
      <ddeItem name="1723.TW-ChipsField3,ChipsField1,ChipsField25,CashAndStockDividend,CashDividendYieldRate,ProfitFourSeason,ProfitSingle,CName,ExchangeIndustry,CompanyPos" advise="1">
        <values cols="10">
          <value>
            <val>-12</val>
          </value>
          <value>
            <val>-2</val>
          </value>
          <value t="str">
            <val>2022/07/05</val>
          </value>
          <value t="str">
            <val>4.00</val>
          </value>
          <value>
            <val>3.77</val>
          </value>
          <value t="str">
            <val>6.87</val>
          </value>
          <value t="str">
            <val>1.93</val>
          </value>
          <value t="str">
            <val>中碳</val>
          </value>
          <value t="str">
            <val>上市化工</val>
          </value>
          <value t="str">
            <val>中鋼集團旗下，台灣唯一煤化工製造商</val>
          </value>
        </values>
      </ddeItem>
      <ddeItem name="1723.TW-CName,InvestorConferenceDate,DateofMeetingofShareHolders,TradingDate" advise="1">
        <values cols="4">
          <value t="str">
            <val>中碳</val>
          </value>
          <value t="str">
            <val>2022/12/21</val>
          </value>
          <value t="str">
            <val>2022/06/15</val>
          </value>
          <value t="str">
            <val>2022/12/22</val>
          </value>
        </values>
      </ddeItem>
      <ddeItem name="1723.TW-ID,Name,MarketValue,Capital,NetIncomeGrowthRate,OperIncomeGrowthRate,FinancialStatementsTime,TFXRatio,MonthlyNetSalesYoY,RevenueMonth" advise="1">
        <values cols="10">
          <value t="str">
            <val>1723</val>
          </value>
          <value t="str">
            <val>中碳</val>
          </value>
          <value t="str">
            <val>251.1</val>
          </value>
          <value t="str">
            <val>23.69</val>
          </value>
          <value t="str">
            <val>58.34</val>
          </value>
          <value t="str">
            <val>50.18</val>
          </value>
          <value t="str">
            <val>2022/09</val>
          </value>
          <value t="str">
            <val>-46.01</val>
          </value>
          <value t="str">
            <val>-25.84</val>
          </value>
          <value t="str">
            <val>2022/11</val>
          </value>
        </values>
      </ddeItem>
      <ddeItem name="1723.TW-OperatingProfitRatio,Price,PriceChangeRatio,InOutRatioNumber,Value,YearReturn,MonthReturn,WeekReturn,FinanceBalanceDif,ChipsField2" advise="1">
        <values cols="10">
          <value t="str">
            <val>17.01</val>
          </value>
          <value>
            <val>106</val>
          </value>
          <value>
            <val>0.47</val>
          </value>
          <value t="str">
            <val>71.92%</val>
          </value>
          <value t="str">
            <val>2760萬</val>
          </value>
          <value t="str">
            <val>-5.36</val>
          </value>
          <value t="str">
            <val>-0.93</val>
          </value>
          <value t="str">
            <val>0.00</val>
          </value>
          <value>
            <val>6</val>
          </value>
          <value>
            <val>0</val>
          </value>
        </values>
      </ddeItem>
      <ddeItem name="172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</val>
          </value>
          <value t="str">
            <val>2022/07/25</val>
          </value>
          <value t="str">
            <val>1.23</val>
          </value>
          <value>
            <val>6.06</val>
          </value>
          <value t="str">
            <val>1.73</val>
          </value>
          <value t="str">
            <val>0.99</val>
          </value>
          <value t="str">
            <val>元禎</val>
          </value>
          <value t="str">
            <val>上市化工</val>
          </value>
          <value t="str">
            <val>石化原料之專業代理商</val>
          </value>
        </values>
      </ddeItem>
      <ddeItem name="1725.TW-CName,InvestorConferenceDate,DateofMeetingofShareHolders,TradingDate" advise="1">
        <values cols="4">
          <value t="str">
            <val>元禎</val>
          </value>
          <value t="str">
            <val>2022/09/21</val>
          </value>
          <value t="str">
            <val>2022/06/09</val>
          </value>
          <value t="str">
            <val>2022/12/22</val>
          </value>
        </values>
      </ddeItem>
      <ddeItem name="1725.TW-ID,Name,MarketValue,Capital,NetIncomeGrowthRate,OperIncomeGrowthRate,FinancialStatementsTime,TFXRatio,MonthlyNetSalesYoY,RevenueMonth" advise="1">
        <values cols="10">
          <value t="str">
            <val>1725</val>
          </value>
          <value t="str">
            <val>元禎</val>
          </value>
          <value t="str">
            <val>36.9</val>
          </value>
          <value t="str">
            <val>18.18</val>
          </value>
          <value t="str">
            <val>-1.94</val>
          </value>
          <value t="str">
            <val>-16.99</val>
          </value>
          <value t="str">
            <val>2022/09</val>
          </value>
          <value t="str">
            <val>4.36</val>
          </value>
          <value t="str">
            <val>-31.08</val>
          </value>
          <value t="str">
            <val>2022/11</val>
          </value>
        </values>
      </ddeItem>
      <ddeItem name="1725.TW-OperatingProfitRatio,Price,PriceChangeRatio,InOutRatioNumber,Value,YearReturn,MonthReturn,WeekReturn,FinanceBalanceDif,ChipsField2" advise="1">
        <values cols="10">
          <value t="str">
            <val>2.14</val>
          </value>
          <value>
            <val>20.3</val>
          </value>
          <value>
            <val>1</val>
          </value>
          <value t="str">
            <val>42.86%</val>
          </value>
          <value t="str">
            <val>28.4萬</val>
          </value>
          <value t="str">
            <val>-39.66</val>
          </value>
          <value t="str">
            <val>+3.84</val>
          </value>
          <value t="str">
            <val>-3.33</val>
          </value>
          <value>
            <val>-3</val>
          </value>
          <value>
            <val>0</val>
          </value>
        </values>
      </ddeItem>
      <ddeItem name="172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2022/08/24</val>
          </value>
          <value t="str">
            <val>3.50</val>
          </value>
          <value>
            <val>4.96</val>
          </value>
          <value t="str">
            <val>4.75</val>
          </value>
          <value t="str">
            <val>1.07</val>
          </value>
          <value t="str">
            <val>永記</val>
          </value>
          <value t="str">
            <val>上市化工</val>
          </value>
          <value t="str">
            <val>台灣最大油漆廠，主要生產防火漆</val>
          </value>
        </values>
      </ddeItem>
      <ddeItem name="1726.TW-CName,InvestorConferenceDate,DateofMeetingofShareHolders,TradingDate" advise="1">
        <values cols="4">
          <value t="str">
            <val>永記</val>
          </value>
          <value t="str">
            <val>2022/12/16</val>
          </value>
          <value t="str">
            <val>2022/06/22</val>
          </value>
          <value t="str">
            <val>2022/12/22</val>
          </value>
        </values>
      </ddeItem>
      <ddeItem name="1726.TW-ID,Name,MarketValue,Capital,NetIncomeGrowthRate,OperIncomeGrowthRate,FinancialStatementsTime,TFXRatio,MonthlyNetSalesYoY,RevenueMonth" advise="1">
        <values cols="10">
          <value t="str">
            <val>1726</val>
          </value>
          <value t="str">
            <val>永記</val>
          </value>
          <value t="str">
            <val>114.4</val>
          </value>
          <value t="str">
            <val>16.20</val>
          </value>
          <value t="str">
            <val>-15.94</val>
          </value>
          <value t="str">
            <val>-27.62</val>
          </value>
          <value t="str">
            <val>2022/09</val>
          </value>
          <value t="str">
            <val>9.04</val>
          </value>
          <value t="str">
            <val>14.35</val>
          </value>
          <value t="str">
            <val>2022/11</val>
          </value>
        </values>
      </ddeItem>
      <ddeItem name="1726.TW-OperatingProfitRatio,Price,PriceChangeRatio,InOutRatioNumber,Value,YearReturn,MonthReturn,WeekReturn,FinanceBalanceDif,ChipsField2" advise="1">
        <values cols="10">
          <value t="str">
            <val>8.34</val>
          </value>
          <value>
            <val>70.599999999999994</val>
          </value>
          <value>
            <val>-0.28000000000000003</val>
          </value>
          <value t="str">
            <val>33.33%</val>
          </value>
          <value t="str">
            <val>21.2萬</val>
          </value>
          <value t="str">
            <val>+0.70</val>
          </value>
          <value t="str">
            <val>+0.57</val>
          </value>
          <value t="str">
            <val>-0.42</val>
          </value>
          <value>
            <val>0</val>
          </value>
          <value>
            <val>0</val>
          </value>
        </values>
      </ddeItem>
      <ddeItem name="1727.TW-ChipsField3,ChipsField1,ChipsField25,CashAndStockDividend,CashDividendYieldRate,ProfitFourSeason,ProfitSingle,CName,ExchangeIndustry,CompanyPos" advise="1">
        <values cols="10">
          <value>
            <val>-7</val>
          </value>
          <value>
            <val>4</val>
          </value>
          <value t="str">
            <val>2022/06/14</val>
          </value>
          <value t="str">
            <val>0.52</val>
          </value>
          <value>
            <val>2.02</val>
          </value>
          <value t="str">
            <val>1.18</val>
          </value>
          <value t="str">
            <val>-0.09</val>
          </value>
          <value t="str">
            <val>中華化</val>
          </value>
          <value t="str">
            <val>上市化工</val>
          </value>
          <value t="str">
            <val>台灣主要生產硫酸產品之廠商</val>
          </value>
        </values>
      </ddeItem>
      <ddeItem name="1727.TW-CName,InvestorConferenceDate,DateofMeetingofShareHolders,TradingDate" advise="1">
        <values cols="4">
          <value t="str">
            <val>中華化</val>
          </value>
          <value t="str">
            <val>2022/12/07</val>
          </value>
          <value t="str">
            <val>2022/05/27</val>
          </value>
          <value t="str">
            <val>2022/12/22</val>
          </value>
        </values>
      </ddeItem>
      <ddeItem name="1727.TW-ID,Name,MarketValue,Capital,NetIncomeGrowthRate,OperIncomeGrowthRate,FinancialStatementsTime,TFXRatio,MonthlyNetSalesYoY,RevenueMonth" advise="1">
        <values cols="10">
          <value t="str">
            <val>1727</val>
          </value>
          <value t="str">
            <val>中華化</val>
          </value>
          <value t="str">
            <val>27.9</val>
          </value>
          <value t="str">
            <val>10.83</val>
          </value>
          <value t="str">
            <val>-52.13</val>
          </value>
          <value t="str">
            <val>-69.05</val>
          </value>
          <value t="str">
            <val>2022/09</val>
          </value>
          <value t="str">
            <val>13.99</val>
          </value>
          <value t="str">
            <val>8.20</val>
          </value>
          <value t="str">
            <val>2022/11</val>
          </value>
        </values>
      </ddeItem>
      <ddeItem name="1727.TW-OperatingProfitRatio,Price,PriceChangeRatio,InOutRatioNumber,Value,YearReturn,MonthReturn,WeekReturn,FinanceBalanceDif,ChipsField2" advise="1">
        <values cols="10">
          <value t="str">
            <val>1.99</val>
          </value>
          <value>
            <val>25.8</val>
          </value>
          <value>
            <val>0.39</val>
          </value>
          <value t="str">
            <val>39.01%</val>
          </value>
          <value t="str">
            <val>474萬</val>
          </value>
          <value t="str">
            <val>-49.00</val>
          </value>
          <value t="str">
            <val>+2.79</val>
          </value>
          <value t="str">
            <val>-7.36</val>
          </value>
          <value>
            <val>10</val>
          </value>
          <value>
            <val>0</val>
          </value>
        </values>
      </ddeItem>
      <ddeItem name="173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2022/07/28</val>
          </value>
          <value t="str">
            <val>3.00</val>
          </value>
          <value>
            <val>5.44</val>
          </value>
          <value t="str">
            <val>4.13</val>
          </value>
          <value t="str">
            <val>1.05</val>
          </value>
          <value t="str">
            <val>花仙子</val>
          </value>
          <value t="str">
            <val>上市化工</val>
          </value>
          <value t="str">
            <val>台灣最大家庭日用品廠商</val>
          </value>
        </values>
      </ddeItem>
      <ddeItem name="1730.TW-CName,InvestorConferenceDate,DateofMeetingofShareHolders,TradingDate" advise="1">
        <values cols="4">
          <value t="str">
            <val>花仙子</val>
          </value>
          <value t="str">
            <val>2022/12/01</val>
          </value>
          <value t="str">
            <val>2022/06/15</val>
          </value>
          <value t="str">
            <val>2022/12/22</val>
          </value>
        </values>
      </ddeItem>
      <ddeItem name="1730.TW-ID,Name,MarketValue,Capital,NetIncomeGrowthRate,OperIncomeGrowthRate,FinancialStatementsTime,TFXRatio,MonthlyNetSalesYoY,RevenueMonth" advise="1">
        <values cols="10">
          <value t="str">
            <val>1730</val>
          </value>
          <value t="str">
            <val>花仙子</val>
          </value>
          <value t="str">
            <val>34.8</val>
          </value>
          <value t="str">
            <val>6.32</val>
          </value>
          <value t="str">
            <val>-1.94</val>
          </value>
          <value t="str">
            <val>-2.83</val>
          </value>
          <value t="str">
            <val>2022/09</val>
          </value>
          <value t="str">
            <val>-4.04</val>
          </value>
          <value t="str">
            <val>-27.47</val>
          </value>
          <value t="str">
            <val>2022/11</val>
          </value>
        </values>
      </ddeItem>
      <ddeItem name="1730.TW-OperatingProfitRatio,Price,PriceChangeRatio,InOutRatioNumber,Value,YearReturn,MonthReturn,WeekReturn,FinanceBalanceDif,ChipsField2" advise="1">
        <values cols="10">
          <value t="str">
            <val>12.08</val>
          </value>
          <value>
            <val>55.1</val>
          </value>
          <value>
            <val>-0.36</val>
          </value>
          <value t="str">
            <val>0.00%</val>
          </value>
          <value t="str">
            <val>55.1萬</val>
          </value>
          <value t="str">
            <val>-8.00</val>
          </value>
          <value t="str">
            <val>+0.18</val>
          </value>
          <value t="str">
            <val>-0.18</val>
          </value>
          <value>
            <val>0</val>
          </value>
          <value>
            <val>0</val>
          </value>
        </values>
      </ddeItem>
      <ddeItem name="1731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14</val>
          </value>
          <value t="str">
            <val>2022/06/28</val>
          </value>
          <value t="str">
            <val>1.17</val>
          </value>
          <value>
            <val>6.03</val>
          </value>
          <value t="str">
            <val>1.20</val>
          </value>
          <value t="str">
            <val>0.34</val>
          </value>
          <value t="str">
            <val>美吾華</val>
          </value>
          <value t="str">
            <val>上市生技醫療</val>
          </value>
          <value t="str">
            <val>藥品代理並生產自有品牌染髮劑及沐浴用品</val>
          </value>
        </values>
      </ddeItem>
      <ddeItem name="1731.TW-CName,InvestorConferenceDate,DateofMeetingofShareHolders,TradingDate" advise="1">
        <values cols="4">
          <value t="str">
            <val>美吾華</val>
          </value>
          <value t="str">
            <val>2022/07/19</val>
          </value>
          <value t="str">
            <val>2022/05/25</val>
          </value>
          <value t="str">
            <val>2022/12/22</val>
          </value>
        </values>
      </ddeItem>
      <ddeItem name="1731.TW-ID,Name,MarketValue,Capital,NetIncomeGrowthRate,OperIncomeGrowthRate,FinancialStatementsTime,TFXRatio,MonthlyNetSalesYoY,RevenueMonth" advise="1">
        <values cols="10">
          <value t="str">
            <val>1731</val>
          </value>
          <value t="str">
            <val>美吾華</val>
          </value>
          <value t="str">
            <val>25.8</val>
          </value>
          <value t="str">
            <val>13.29</val>
          </value>
          <value t="str">
            <val>-3.40</val>
          </value>
          <value t="str">
            <val>0.14</val>
          </value>
          <value t="str">
            <val>2022/09</val>
          </value>
          <value t="str">
            <val>-8.90</val>
          </value>
          <value t="str">
            <val>-17.99</val>
          </value>
          <value t="str">
            <val>2022/11</val>
          </value>
        </values>
      </ddeItem>
      <ddeItem name="1731.TW-OperatingProfitRatio,Price,PriceChangeRatio,InOutRatioNumber,Value,YearReturn,MonthReturn,WeekReturn,FinanceBalanceDif,ChipsField2" advise="1">
        <values cols="10">
          <value t="str">
            <val>17.88</val>
          </value>
          <value>
            <val>19.399999999999999</val>
          </value>
          <value>
            <val>-0.26</val>
          </value>
          <value t="str">
            <val>53.54%</val>
          </value>
          <value t="str">
            <val>699萬</val>
          </value>
          <value t="str">
            <val>+6.54</val>
          </value>
          <value t="str">
            <val>+7.48</val>
          </value>
          <value t="str">
            <val>+1.31</val>
          </value>
          <value>
            <val>24</val>
          </value>
          <value>
            <val>0</val>
          </value>
        </values>
      </ddeItem>
      <ddeItem name="173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-718</val>
          </value>
          <value t="str">
            <val>2022/09/06</val>
          </value>
          <value t="str">
            <val>0.35</val>
          </value>
          <value>
            <val>1.1100000000000001</val>
          </value>
          <value t="str">
            <val>0.31</val>
          </value>
          <value t="str">
            <val>0.05</val>
          </value>
          <value t="str">
            <val>毛寶</val>
          </value>
          <value t="str">
            <val>上市化工</val>
          </value>
          <value t="str">
            <val>台灣主要清潔用品大廠</val>
          </value>
        </values>
      </ddeItem>
      <ddeItem name="1732.TW-CName,InvestorConferenceDate,DateofMeetingofShareHolders,TradingDate" advise="1">
        <values cols="4">
          <value t="str">
            <val>毛寶</val>
          </value>
          <value t="str">
            <val>2022/12/06</val>
          </value>
          <value t="str">
            <val>2022/06/16</val>
          </value>
          <value t="str">
            <val>2022/12/22</val>
          </value>
        </values>
      </ddeItem>
      <ddeItem name="1732.TW-ID,Name,MarketValue,Capital,NetIncomeGrowthRate,OperIncomeGrowthRate,FinancialStatementsTime,TFXRatio,MonthlyNetSalesYoY,RevenueMonth" advise="1">
        <values cols="10">
          <value t="str">
            <val>1732</val>
          </value>
          <value t="str">
            <val>毛寶</val>
          </value>
          <value t="str">
            <val>13.4</val>
          </value>
          <value t="str">
            <val>4.24</val>
          </value>
          <value t="str">
            <val>-38.07</val>
          </value>
          <value t="str">
            <val>-91.39</val>
          </value>
          <value t="str">
            <val>2022/09</val>
          </value>
          <value t="str">
            <val>1.92</val>
          </value>
          <value t="str">
            <val>-10.87</val>
          </value>
          <value t="str">
            <val>2022/11</val>
          </value>
        </values>
      </ddeItem>
      <ddeItem name="1732.TW-OperatingProfitRatio,Price,PriceChangeRatio,InOutRatioNumber,Value,YearReturn,MonthReturn,WeekReturn,FinanceBalanceDif,ChipsField2" advise="1">
        <values cols="10">
          <value t="str">
            <val>0.29</val>
          </value>
          <value>
            <val>31.6</val>
          </value>
          <value>
            <val>-0.78</val>
          </value>
          <value t="str">
            <val>55.20%</val>
          </value>
          <value t="str">
            <val>2827萬</val>
          </value>
          <value t="str">
            <val>-1.86</val>
          </value>
          <value t="str">
            <val>+7.12</val>
          </value>
          <value t="str">
            <val>0.00</val>
          </value>
          <value>
            <val>68</val>
          </value>
          <value>
            <val>0</val>
          </value>
        </values>
      </ddeItem>
      <ddeItem name="173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51</val>
          </value>
          <value t="str">
            <val>2022/06/16</val>
          </value>
          <value t="str">
            <val>1.30</val>
          </value>
          <value>
            <val>5.0599999999999996</val>
          </value>
          <value t="str">
            <val>2.20</val>
          </value>
          <value t="str">
            <val>0.64</val>
          </value>
          <value t="str">
            <val>五鼎</val>
          </value>
          <value t="str">
            <val>上市生技醫療</val>
          </value>
          <value t="str">
            <val>以血糖儀為主之OEM大廠</val>
          </value>
        </values>
      </ddeItem>
      <ddeItem name="1733.TW-CName,InvestorConferenceDate,DateofMeetingofShareHolders,TradingDate" advise="1">
        <values cols="4">
          <value t="str">
            <val>五鼎</val>
          </value>
          <value t="str">
            <val>2022/11/17</val>
          </value>
          <value t="str">
            <val>2022/05/27</val>
          </value>
          <value t="str">
            <val>2022/12/22</val>
          </value>
        </values>
      </ddeItem>
      <ddeItem name="1733.TW-ID,Name,MarketValue,Capital,NetIncomeGrowthRate,OperIncomeGrowthRate,FinancialStatementsTime,TFXRatio,MonthlyNetSalesYoY,RevenueMonth" advise="1">
        <values cols="10">
          <value t="str">
            <val>1733</val>
          </value>
          <value t="str">
            <val>五鼎</val>
          </value>
          <value t="str">
            <val>25.7</val>
          </value>
          <value t="str">
            <val>10.00</val>
          </value>
          <value t="str">
            <val>14.76</val>
          </value>
          <value t="str">
            <val>-19.68</val>
          </value>
          <value t="str">
            <val>2022/09</val>
          </value>
          <value t="str">
            <val>14.84</val>
          </value>
          <value t="str">
            <val>-5.76</val>
          </value>
          <value t="str">
            <val>2022/11</val>
          </value>
        </values>
      </ddeItem>
      <ddeItem name="1733.TW-OperatingProfitRatio,Price,PriceChangeRatio,InOutRatioNumber,Value,YearReturn,MonthReturn,WeekReturn,FinanceBalanceDif,ChipsField2" advise="1">
        <values cols="10">
          <value t="str">
            <val>7.25</val>
          </value>
          <value>
            <val>25.7</val>
          </value>
          <value>
            <val>1.18</val>
          </value>
          <value t="str">
            <val>50.54%</val>
          </value>
          <value t="str">
            <val>488萬</val>
          </value>
          <value t="str">
            <val>+9.10</val>
          </value>
          <value t="str">
            <val>+5.33</val>
          </value>
          <value t="str">
            <val>-0.77</val>
          </value>
          <value>
            <val>0</val>
          </value>
          <value>
            <val>0</val>
          </value>
        </values>
      </ddeItem>
      <ddeItem name="173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-184</val>
          </value>
          <value t="str">
            <val>2022/07/21</val>
          </value>
          <value t="str">
            <val>0.20</val>
          </value>
          <value>
            <val>0.6</val>
          </value>
          <value t="str">
            <val>1.18</val>
          </value>
          <value t="str">
            <val>0.41</val>
          </value>
          <value t="str">
            <val>杏輝</val>
          </value>
          <value t="str">
            <val>上市生技醫療</val>
          </value>
          <value t="str">
            <val>台灣老牌學名藥製造商，並跨足保健食品及中草藥原料開發</val>
          </value>
        </values>
      </ddeItem>
      <ddeItem name="1734.TW-CName,InvestorConferenceDate,DateofMeetingofShareHolders,TradingDate" advise="1">
        <values cols="4">
          <value t="str">
            <val>杏輝</val>
          </value>
          <value t="str">
            <val>2022/08/18</val>
          </value>
          <value t="str">
            <val>2022/06/21</val>
          </value>
          <value t="str">
            <val>2022/12/22</val>
          </value>
        </values>
      </ddeItem>
      <ddeItem name="1734.TW-ID,Name,MarketValue,Capital,NetIncomeGrowthRate,OperIncomeGrowthRate,FinancialStatementsTime,TFXRatio,MonthlyNetSalesYoY,RevenueMonth" advise="1">
        <values cols="10">
          <value t="str">
            <val>1734</val>
          </value>
          <value t="str">
            <val>杏輝</val>
          </value>
          <value t="str">
            <val>55.6</val>
          </value>
          <value t="str">
            <val>16.77</val>
          </value>
          <value t="str">
            <val>213.97</val>
          </value>
          <value t="str">
            <val>227.74</val>
          </value>
          <value t="str">
            <val>2022/09</val>
          </value>
          <value t="str">
            <val>0.97</val>
          </value>
          <value t="str">
            <val>18.49</val>
          </value>
          <value t="str">
            <val>2022/11</val>
          </value>
        </values>
      </ddeItem>
      <ddeItem name="1734.TW-OperatingProfitRatio,Price,PriceChangeRatio,InOutRatioNumber,Value,YearReturn,MonthReturn,WeekReturn,FinanceBalanceDif,ChipsField2" advise="1">
        <values cols="10">
          <value t="str">
            <val>10.36</val>
          </value>
          <value>
            <val>33.15</val>
          </value>
          <value>
            <val>0.45</val>
          </value>
          <value t="str">
            <val>45.50%</val>
          </value>
          <value t="str">
            <val>9832萬</val>
          </value>
          <value t="str">
            <val>+16.12</val>
          </value>
          <value t="str">
            <val>+11.43</val>
          </value>
          <value t="str">
            <val>-4.74</val>
          </value>
          <value>
            <val>-93</val>
          </value>
          <value>
            <val>0</val>
          </value>
        </values>
      </ddeItem>
      <ddeItem name="173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0.13</val>
          </value>
          <value t="str">
            <val>0.04</val>
          </value>
          <value t="str">
            <val>日勝化</val>
          </value>
          <value t="str">
            <val>上市化工</val>
          </value>
          <value t="str">
            <val>專業合成皮用PU樹脂製造商</val>
          </value>
        </values>
      </ddeItem>
      <ddeItem name="1735.TW-CName,InvestorConferenceDate,DateofMeetingofShareHolders,TradingDate" advise="1">
        <values cols="4">
          <value t="str">
            <val>日勝化</val>
          </value>
          <value t="str">
            <val>2022/11/29</val>
          </value>
          <value t="str">
            <val>2022/06/28</val>
          </value>
          <value t="str">
            <val>2022/12/22</val>
          </value>
        </values>
      </ddeItem>
      <ddeItem name="1735.TW-ID,Name,MarketValue,Capital,NetIncomeGrowthRate,OperIncomeGrowthRate,FinancialStatementsTime,TFXRatio,MonthlyNetSalesYoY,RevenueMonth" advise="1">
        <values cols="10">
          <value t="str">
            <val>1735</val>
          </value>
          <value t="str">
            <val>日勝化</val>
          </value>
          <value t="str">
            <val>14.9</val>
          </value>
          <value t="str">
            <val>9.94</val>
          </value>
          <value t="str">
            <val>25.24</val>
          </value>
          <value t="str">
            <val>-176.78</val>
          </value>
          <value t="str">
            <val>2022/09</val>
          </value>
          <value t="str">
            <val>-11.01</val>
          </value>
          <value t="str">
            <val>-27.62</val>
          </value>
          <value t="str">
            <val>2022/11</val>
          </value>
        </values>
      </ddeItem>
      <ddeItem name="1735.TW-OperatingProfitRatio,Price,PriceChangeRatio,InOutRatioNumber,Value,YearReturn,MonthReturn,WeekReturn,FinanceBalanceDif,ChipsField2" advise="1">
        <values cols="10">
          <value t="str">
            <val>-0.93</val>
          </value>
          <value>
            <val>14.95</val>
          </value>
          <value>
            <val>2.4</val>
          </value>
          <value t="str">
            <val>100.00%</val>
          </value>
          <value t="str">
            <val>1.50萬</val>
          </value>
          <value t="str">
            <val>-18.75</val>
          </value>
          <value t="str">
            <val>+3.10</val>
          </value>
          <value t="str">
            <val>-0.99</val>
          </value>
          <value>
            <val>0</val>
          </value>
          <value>
            <val>0</val>
          </value>
        </values>
      </ddeItem>
      <ddeItem name="1736.TW-ChipsField3,ChipsField1,ChipsField25,CashAndStockDividend,CashDividendYieldRate,ProfitFourSeason,ProfitSingle,CName,ExchangeIndustry,CompanyPos" advise="1">
        <values cols="10">
          <value>
            <val>8</val>
          </value>
          <value>
            <val>-192</val>
          </value>
          <value t="str">
            <val>2022/09/07</val>
          </value>
          <value t="str">
            <val>0.50</val>
          </value>
          <value>
            <val>0.66</val>
          </value>
          <value t="str">
            <val>1.22</val>
          </value>
          <value t="str">
            <val>0.74</val>
          </value>
          <value t="str">
            <val>喬山</val>
          </value>
          <value t="str">
            <val>上市生技醫療</val>
          </value>
          <value t="str">
            <val>台灣第一大、全球前四大健身器材廠</val>
          </value>
        </values>
      </ddeItem>
      <ddeItem name="1736.TW-CName,InvestorConferenceDate,DateofMeetingofShareHolders,TradingDate" advise="1">
        <values cols="4">
          <value t="str">
            <val>喬山</val>
          </value>
          <value t="str">
            <val>2021/04/09</val>
          </value>
          <value t="str">
            <val>2022/06/27</val>
          </value>
          <value t="str">
            <val>2022/12/22</val>
          </value>
        </values>
      </ddeItem>
      <ddeItem name="1736.TW-ID,Name,MarketValue,Capital,NetIncomeGrowthRate,OperIncomeGrowthRate,FinancialStatementsTime,TFXRatio,MonthlyNetSalesYoY,RevenueMonth" advise="1">
        <values cols="10">
          <value t="str">
            <val>1736</val>
          </value>
          <value t="str">
            <val>喬山</val>
          </value>
          <value t="str">
            <val>228.9</val>
          </value>
          <value t="str">
            <val>30.36</val>
          </value>
          <value t="str">
            <val>24.67</val>
          </value>
          <value t="str">
            <val>-117.85</val>
          </value>
          <value t="str">
            <val>2022/09</val>
          </value>
          <value t="str">
            <val>14.95</val>
          </value>
          <value t="str">
            <val>37.97</val>
          </value>
          <value t="str">
            <val>2022/11</val>
          </value>
        </values>
      </ddeItem>
      <ddeItem name="1736.TW-OperatingProfitRatio,Price,PriceChangeRatio,InOutRatioNumber,Value,YearReturn,MonthReturn,WeekReturn,FinanceBalanceDif,ChipsField2" advise="1">
        <values cols="10">
          <value t="str">
            <val>-4.71</val>
          </value>
          <value>
            <val>75.400000000000006</val>
          </value>
          <value>
            <val>0.67</val>
          </value>
          <value t="str">
            <val>42.07%</val>
          </value>
          <value t="str">
            <val>7109萬</val>
          </value>
          <value t="str">
            <val>+34.35</val>
          </value>
          <value t="str">
            <val>+2.72</val>
          </value>
          <value t="str">
            <val>-4.31</val>
          </value>
          <value>
            <val>33</val>
          </value>
          <value>
            <val>-100</val>
          </value>
        </values>
      </ddeItem>
      <ddeItem name="1737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26</val>
          </value>
          <value t="str">
            <val>2022/08/23</val>
          </value>
          <value t="str">
            <val>1.50</val>
          </value>
          <value>
            <val>4.67</val>
          </value>
          <value t="str">
            <val>2.10</val>
          </value>
          <value t="str">
            <val>0.81</val>
          </value>
          <value t="str">
            <val>臺鹽</val>
          </value>
          <value t="str">
            <val>上市食品</val>
          </value>
          <value t="str">
            <val>台灣最大製鹽商，並跨足生技及水產品</val>
          </value>
        </values>
      </ddeItem>
      <ddeItem name="1737.TW-CName,InvestorConferenceDate,DateofMeetingofShareHolders,TradingDate" advise="1">
        <values cols="4">
          <value t="str">
            <val>臺鹽</val>
          </value>
          <value t="str">
            <val>2022/08/26</val>
          </value>
          <value t="str">
            <val>2022/06/23</val>
          </value>
          <value t="str">
            <val>2022/12/22</val>
          </value>
        </values>
      </ddeItem>
      <ddeItem name="1737.TW-ID,Name,MarketValue,Capital,NetIncomeGrowthRate,OperIncomeGrowthRate,FinancialStatementsTime,TFXRatio,MonthlyNetSalesYoY,RevenueMonth" advise="1">
        <values cols="10">
          <value t="str">
            <val>1737</val>
          </value>
          <value t="str">
            <val>臺鹽</val>
          </value>
          <value t="str">
            <val>64.3</val>
          </value>
          <value t="str">
            <val>20.00</val>
          </value>
          <value t="str">
            <val>0.85</val>
          </value>
          <value t="str">
            <val>-15.51</val>
          </value>
          <value t="str">
            <val>2022/09</val>
          </value>
          <value t="str">
            <val>-9.09</val>
          </value>
          <value t="str">
            <val>8.15</val>
          </value>
          <value t="str">
            <val>2022/11</val>
          </value>
        </values>
      </ddeItem>
      <ddeItem name="1737.TW-OperatingProfitRatio,Price,PriceChangeRatio,InOutRatioNumber,Value,YearReturn,MonthReturn,WeekReturn,FinanceBalanceDif,ChipsField2" advise="1">
        <values cols="10">
          <value t="str">
            <val>12.67</val>
          </value>
          <value>
            <val>32.15</val>
          </value>
          <value>
            <val>-0.16</val>
          </value>
          <value t="str">
            <val>26.47%</val>
          </value>
          <value t="str">
            <val>109萬</val>
          </value>
          <value t="str">
            <val>+1.42</val>
          </value>
          <value t="str">
            <val>+2.55</val>
          </value>
          <value t="str">
            <val>+0.47</val>
          </value>
          <value>
            <val>0</val>
          </value>
          <value>
            <val>0</val>
          </value>
        </values>
      </ddeItem>
      <ddeItem name="1752.TW-ChipsField3,ChipsField1,ChipsField25,CashAndStockDividend,CashDividendYieldRate,ProfitFourSeason,ProfitSingle,CName,ExchangeIndustry,CompanyPos" advise="1">
        <values cols="10">
          <value>
            <val>-100</val>
          </value>
          <value>
            <val>49</val>
          </value>
          <value t="str">
            <val>2022/06/29</val>
          </value>
          <value t="str">
            <val>1.80</val>
          </value>
          <value>
            <val>3.04</val>
          </value>
          <value t="str">
            <val>2.40</val>
          </value>
          <value t="str">
            <val>0.74</val>
          </value>
          <value t="str">
            <val>南光</val>
          </value>
          <value t="str">
            <val>上市生技醫療</val>
          </value>
          <value t="str">
            <val>台灣最大針劑製造廠</val>
          </value>
        </values>
      </ddeItem>
      <ddeItem name="1752.TW-CName,InvestorConferenceDate,DateofMeetingofShareHolders,TradingDate" advise="1">
        <values cols="4">
          <value t="str">
            <val>南光</val>
          </value>
          <value t="str">
            <val>2021/12/02</val>
          </value>
          <value t="str">
            <val>2022/05/27</val>
          </value>
          <value t="str">
            <val>2022/12/22</val>
          </value>
        </values>
      </ddeItem>
      <ddeItem name="1752.TW-ID,Name,MarketValue,Capital,NetIncomeGrowthRate,OperIncomeGrowthRate,FinancialStatementsTime,TFXRatio,MonthlyNetSalesYoY,RevenueMonth" advise="1">
        <values cols="10">
          <value t="str">
            <val>1752</val>
          </value>
          <value t="str">
            <val>南光</val>
          </value>
          <value t="str">
            <val>59.8</val>
          </value>
          <value t="str">
            <val>10.10</val>
          </value>
          <value t="str">
            <val>31.67</val>
          </value>
          <value t="str">
            <val>4.66</val>
          </value>
          <value t="str">
            <val>2022/09</val>
          </value>
          <value t="str">
            <val>-6.56</val>
          </value>
          <value t="str">
            <val>34.47</val>
          </value>
          <value t="str">
            <val>2022/11</val>
          </value>
        </values>
      </ddeItem>
      <ddeItem name="1752.TW-OperatingProfitRatio,Price,PriceChangeRatio,InOutRatioNumber,Value,YearReturn,MonthReturn,WeekReturn,FinanceBalanceDif,ChipsField2" advise="1">
        <values cols="10">
          <value t="str">
            <val>14.90</val>
          </value>
          <value>
            <val>59.2</val>
          </value>
          <value>
            <val>1.54</val>
          </value>
          <value t="str">
            <val>51.11%</val>
          </value>
          <value t="str">
            <val>32.9億</val>
          </value>
          <value t="str">
            <val>+64.61</val>
          </value>
          <value t="str">
            <val>+68.42</val>
          </value>
          <value t="str">
            <val>+15.18</val>
          </value>
          <value>
            <val>1959</val>
          </value>
          <value>
            <val>658</val>
          </value>
        </values>
      </ddeItem>
      <ddeItem name="1760.TW-ChipsField3,ChipsField1,ChipsField25,CashAndStockDividend,CashDividendYieldRate,ProfitFourSeason,ProfitSingle,CName,ExchangeIndustry,CompanyPos" advise="1">
        <values cols="10">
          <value>
            <val>-38</val>
          </value>
          <value>
            <val>141</val>
          </value>
          <value t="str">
            <val>2022/06/27</val>
          </value>
          <value t="str">
            <val>1.50</val>
          </value>
          <value>
            <val>0.86</val>
          </value>
          <value t="str">
            <val>3.25</val>
          </value>
          <value t="str">
            <val>0.91</val>
          </value>
          <value t="str">
            <val>寶齡富錦</val>
          </value>
          <value t="str">
            <val>上市生技醫療</val>
          </value>
          <value t="str">
            <val>腎臟病新藥Nephoxil取得美FDA藥證</val>
          </value>
        </values>
      </ddeItem>
      <ddeItem name="1760.TW-CName,InvestorConferenceDate,DateofMeetingofShareHolders,TradingDate" advise="1">
        <values cols="4">
          <value t="str">
            <val>寶齡富錦</val>
          </value>
          <value t="str">
            <val>2022/12/12</val>
          </value>
          <value t="str">
            <val>2022/06/08</val>
          </value>
          <value t="str">
            <val>2022/12/22</val>
          </value>
        </values>
      </ddeItem>
      <ddeItem name="1760.TW-ID,Name,MarketValue,Capital,NetIncomeGrowthRate,OperIncomeGrowthRate,FinancialStatementsTime,TFXRatio,MonthlyNetSalesYoY,RevenueMonth" advise="1">
        <values cols="10">
          <value t="str">
            <val>1760</val>
          </value>
          <value t="str">
            <val>寶齡富錦</val>
          </value>
          <value t="str">
            <val>150.0</val>
          </value>
          <value t="str">
            <val>8.57</val>
          </value>
          <value t="str">
            <val>154.73</val>
          </value>
          <value t="str">
            <val>160.40</val>
          </value>
          <value t="str">
            <val>2022/09</val>
          </value>
          <value t="str">
            <val>102.03</val>
          </value>
          <value t="str">
            <val>7.44</val>
          </value>
          <value t="str">
            <val>2022/11</val>
          </value>
        </values>
      </ddeItem>
      <ddeItem name="1760.TW-OperatingProfitRatio,Price,PriceChangeRatio,InOutRatioNumber,Value,YearReturn,MonthReturn,WeekReturn,FinanceBalanceDif,ChipsField2" advise="1">
        <values cols="10">
          <value t="str">
            <val>20.02</val>
          </value>
          <value>
            <val>175</val>
          </value>
          <value>
            <val>2.94</val>
          </value>
          <value t="str">
            <val>55.86%</val>
          </value>
          <value t="str">
            <val>23.4億</val>
          </value>
          <value t="str">
            <val>+152.39</val>
          </value>
          <value t="str">
            <val>-1.13</val>
          </value>
          <value t="str">
            <val>-1.96</val>
          </value>
          <value>
            <val>260</val>
          </value>
          <value>
            <val>0</val>
          </value>
        </values>
      </ddeItem>
      <ddeItem name="1762.TW-ChipsField3,ChipsField1,ChipsField25,CashAndStockDividend,CashDividendYieldRate,ProfitFourSeason,ProfitSingle,CName,ExchangeIndustry,CompanyPos" advise="1">
        <values cols="10">
          <value>
            <val>-68</val>
          </value>
          <value>
            <val>82</val>
          </value>
          <value t="str">
            <val>2022/07/22</val>
          </value>
          <value t="str">
            <val>1.30</val>
          </value>
          <value>
            <val>2.0699999999999998</val>
          </value>
          <value t="str">
            <val>6.29</val>
          </value>
          <value t="str">
            <val>1.56</val>
          </value>
          <value t="str">
            <val>中化生</val>
          </value>
          <value t="str">
            <val>上市生技醫療</val>
          </value>
          <value t="str">
            <val>中化旗下原料藥製造商，MMF與MCB美國市佔第一</val>
          </value>
        </values>
      </ddeItem>
      <ddeItem name="1762.TW-CName,InvestorConferenceDate,DateofMeetingofShareHolders,TradingDate" advise="1">
        <values cols="4">
          <value t="str">
            <val>中化生</val>
          </value>
          <value t="str">
            <val>2022/08/25</val>
          </value>
          <value t="str">
            <val>2022/05/25</val>
          </value>
          <value t="str">
            <val>2022/12/22</val>
          </value>
        </values>
      </ddeItem>
      <ddeItem name="1762.TW-ID,Name,MarketValue,Capital,NetIncomeGrowthRate,OperIncomeGrowthRate,FinancialStatementsTime,TFXRatio,MonthlyNetSalesYoY,RevenueMonth" advise="1">
        <values cols="10">
          <value t="str">
            <val>1762</val>
          </value>
          <value t="str">
            <val>中化生</val>
          </value>
          <value t="str">
            <val>48.7</val>
          </value>
          <value t="str">
            <val>7.76</val>
          </value>
          <value t="str">
            <val>27.98</val>
          </value>
          <value t="str">
            <val>5.28</val>
          </value>
          <value t="str">
            <val>2022/09</val>
          </value>
          <value t="str">
            <val>-20.09</val>
          </value>
          <value t="str">
            <val>35.01</val>
          </value>
          <value t="str">
            <val>2022/11</val>
          </value>
        </values>
      </ddeItem>
      <ddeItem name="1762.TW-OperatingProfitRatio,Price,PriceChangeRatio,InOutRatioNumber,Value,YearReturn,MonthReturn,WeekReturn,FinanceBalanceDif,ChipsField2" advise="1">
        <values cols="10">
          <value t="str">
            <val>24.16</val>
          </value>
          <value>
            <val>62.8</val>
          </value>
          <value>
            <val>2.4500000000000002</val>
          </value>
          <value t="str">
            <val>60.05%</val>
          </value>
          <value t="str">
            <val>9651萬</val>
          </value>
          <value t="str">
            <val>-0.98</val>
          </value>
          <value t="str">
            <val>+7.35</val>
          </value>
          <value t="str">
            <val>+0.48</val>
          </value>
          <value>
            <val>-201</val>
          </value>
          <value>
            <val>-135</val>
          </value>
        </values>
      </ddeItem>
      <ddeItem name="1773.TW-ChipsField3,ChipsField1,ChipsField25,CashAndStockDividend,CashDividendYieldRate,ProfitFourSeason,ProfitSingle,CName,ExchangeIndustry,CompanyPos" advise="1">
        <values cols="10">
          <value>
            <val>-14</val>
          </value>
          <value>
            <val>15</val>
          </value>
          <value t="str">
            <val>2022/06/29</val>
          </value>
          <value t="str">
            <val>5.50</val>
          </value>
          <value>
            <val>4.8</val>
          </value>
          <value t="str">
            <val>8.25</val>
          </value>
          <value t="str">
            <val>1.90</val>
          </value>
          <value t="str">
            <val>勝一</val>
          </value>
          <value t="str">
            <val>上市化工</val>
          </value>
          <value t="str">
            <val>台灣第2大溶劑廠商</val>
          </value>
        </values>
      </ddeItem>
      <ddeItem name="1773.TW-CName,InvestorConferenceDate,DateofMeetingofShareHolders,TradingDate" advise="1">
        <values cols="4">
          <value t="str">
            <val>勝一</val>
          </value>
          <value t="str">
            <val>2021/12/08</val>
          </value>
          <value t="str">
            <val>2022/05/25</val>
          </value>
          <value t="str">
            <val>2022/12/22</val>
          </value>
        </values>
      </ddeItem>
      <ddeItem name="1773.TW-ID,Name,MarketValue,Capital,NetIncomeGrowthRate,OperIncomeGrowthRate,FinancialStatementsTime,TFXRatio,MonthlyNetSalesYoY,RevenueMonth" advise="1">
        <values cols="10">
          <value t="str">
            <val>1773</val>
          </value>
          <value t="str">
            <val>勝一</val>
          </value>
          <value t="str">
            <val>286.2</val>
          </value>
          <value t="str">
            <val>25.00</val>
          </value>
          <value t="str">
            <val>19.86</val>
          </value>
          <value t="str">
            <val>16.20</val>
          </value>
          <value t="str">
            <val>2022/09</val>
          </value>
          <value t="str">
            <val>-0.79</val>
          </value>
          <value t="str">
            <val>-19.67</val>
          </value>
          <value t="str">
            <val>2022/11</val>
          </value>
        </values>
      </ddeItem>
      <ddeItem name="1773.TW-OperatingProfitRatio,Price,PriceChangeRatio,InOutRatioNumber,Value,YearReturn,MonthReturn,WeekReturn,FinanceBalanceDif,ChipsField2" advise="1">
        <values cols="10">
          <value t="str">
            <val>18.91</val>
          </value>
          <value>
            <val>114.5</val>
          </value>
          <value>
            <val>0</val>
          </value>
          <value t="str">
            <val>23.53%</val>
          </value>
          <value t="str">
            <val>990萬</val>
          </value>
          <value t="str">
            <val>+1.91</val>
          </value>
          <value t="str">
            <val>+5.05</val>
          </value>
          <value t="str">
            <val>-3.38</val>
          </value>
          <value>
            <val>-5</val>
          </value>
          <value>
            <val>1</val>
          </value>
        </values>
      </ddeItem>
      <ddeItem name="177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2022/08/26</val>
          </value>
          <value t="str">
            <val>1.50</val>
          </value>
          <value>
            <val>9.09</val>
          </value>
          <value t="str">
            <val>0.11</val>
          </value>
          <value t="str">
            <val>0.00</val>
          </value>
          <value t="str">
            <val>展宇</val>
          </value>
          <value t="str">
            <val>上市化工</val>
          </value>
          <value t="str">
            <val>台灣PU樹脂及硬化劑大廠</val>
          </value>
        </values>
      </ddeItem>
      <ddeItem name="1776.TW-CName,InvestorConferenceDate,DateofMeetingofShareHolders,TradingDate" advise="1">
        <values cols="4">
          <value t="str">
            <val>展宇</val>
          </value>
          <value t="str">
            <val>2021/12/16</val>
          </value>
          <value t="str">
            <val>2022/06/09</val>
          </value>
          <value t="str">
            <val>2022/12/22</val>
          </value>
        </values>
      </ddeItem>
      <ddeItem name="1776.TW-ID,Name,MarketValue,Capital,NetIncomeGrowthRate,OperIncomeGrowthRate,FinancialStatementsTime,TFXRatio,MonthlyNetSalesYoY,RevenueMonth" advise="1">
        <values cols="10">
          <value t="str">
            <val>1776</val>
          </value>
          <value t="str">
            <val>展宇</val>
          </value>
          <value t="str">
            <val>11.6</val>
          </value>
          <value t="str">
            <val>7.03</val>
          </value>
          <value t="str">
            <val>-89.51</val>
          </value>
          <value t="str">
            <val>-75.45</val>
          </value>
          <value t="str">
            <val>2022/09</val>
          </value>
          <value t="str">
            <val>-0.04</val>
          </value>
          <value t="str">
            <val>-10.23</val>
          </value>
          <value t="str">
            <val>2022/11</val>
          </value>
        </values>
      </ddeItem>
      <ddeItem name="1776.TW-OperatingProfitRatio,Price,PriceChangeRatio,InOutRatioNumber,Value,YearReturn,MonthReturn,WeekReturn,FinanceBalanceDif,ChipsField2" advise="1">
        <values cols="10">
          <value t="str">
            <val>1.71</val>
          </value>
          <value>
            <val>16.5</val>
          </value>
          <value>
            <val>0.61</val>
          </value>
          <value t="str">
            <val>28.57%</val>
          </value>
          <value t="str">
            <val>11.5萬</val>
          </value>
          <value t="str">
            <val>-16.50</val>
          </value>
          <value t="str">
            <val>0.00</val>
          </value>
          <value t="str">
            <val>-1.20</val>
          </value>
          <value>
            <val>0</val>
          </value>
          <value>
            <val>0</val>
          </value>
        </values>
      </ddeItem>
      <ddeItem name="1783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840</val>
          </value>
          <value t="str">
            <val>--</val>
          </value>
          <value t="str">
            <val>1.00</val>
          </value>
          <value>
            <val>2.0299999999999998</val>
          </value>
          <value t="str">
            <val>1.45</val>
          </value>
          <value t="str">
            <val>0.55</val>
          </value>
          <value t="str">
            <val>和康生</val>
          </value>
          <value t="str">
            <val>上市生技醫療</val>
          </value>
          <value t="str">
            <val>專注膠原蛋白之高階醫材及醫美保養產品</val>
          </value>
        </values>
      </ddeItem>
      <ddeItem name="1783.TW-CName,InvestorConferenceDate,DateofMeetingofShareHolders,TradingDate" advise="1">
        <values cols="4">
          <value t="str">
            <val>和康生</val>
          </value>
          <value t="str">
            <val>2022/12/20</val>
          </value>
          <value t="str">
            <val>2022/06/21</val>
          </value>
          <value t="str">
            <val>2022/12/22</val>
          </value>
        </values>
      </ddeItem>
      <ddeItem name="1783.TW-ID,Name,MarketValue,Capital,NetIncomeGrowthRate,OperIncomeGrowthRate,FinancialStatementsTime,TFXRatio,MonthlyNetSalesYoY,RevenueMonth" advise="1">
        <values cols="10">
          <value t="str">
            <val>1783</val>
          </value>
          <value t="str">
            <val>和康生</val>
          </value>
          <value t="str">
            <val>41.6</val>
          </value>
          <value t="str">
            <val>8.47</val>
          </value>
          <value t="str">
            <val>30.10</val>
          </value>
          <value t="str">
            <val>6.91</val>
          </value>
          <value t="str">
            <val>2022/09</val>
          </value>
          <value t="str">
            <val>3.98</val>
          </value>
          <value t="str">
            <val>20.46</val>
          </value>
          <value t="str">
            <val>2022/11</val>
          </value>
        </values>
      </ddeItem>
      <ddeItem name="1783.TW-OperatingProfitRatio,Price,PriceChangeRatio,InOutRatioNumber,Value,YearReturn,MonthReturn,WeekReturn,FinanceBalanceDif,ChipsField2" advise="1">
        <values cols="10">
          <value t="str">
            <val>17.81</val>
          </value>
          <value>
            <val>49.15</val>
          </value>
          <value>
            <val>4.57</val>
          </value>
          <value t="str">
            <val>64.84%</val>
          </value>
          <value t="str">
            <val>9750萬</val>
          </value>
          <value t="str">
            <val>+3.57</val>
          </value>
          <value t="str">
            <val>+16.88</val>
          </value>
          <value t="str">
            <val>+2.82</val>
          </value>
          <value>
            <val>-81</val>
          </value>
          <value>
            <val>0</val>
          </value>
        </values>
      </ddeItem>
      <ddeItem name="1786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127</val>
          </value>
          <value t="str">
            <val>2022/07/18</val>
          </value>
          <value t="str">
            <val>1.42</val>
          </value>
          <value>
            <val>2.5499999999999998</val>
          </value>
          <value t="str">
            <val>2.08</val>
          </value>
          <value t="str">
            <val>0.69</val>
          </value>
          <value t="str">
            <val>科妍</val>
          </value>
          <value t="str">
            <val>上市生技醫療</val>
          </value>
          <value t="str">
            <val>台灣首家醫療級玻尿酸醫材廠</val>
          </value>
        </values>
      </ddeItem>
      <ddeItem name="1786.TW-CName,InvestorConferenceDate,DateofMeetingofShareHolders,TradingDate" advise="1">
        <values cols="4">
          <value t="str">
            <val>科妍</val>
          </value>
          <value t="str">
            <val>2022/11/30</val>
          </value>
          <value t="str">
            <val>2022/06/29</val>
          </value>
          <value t="str">
            <val>2022/12/22</val>
          </value>
        </values>
      </ddeItem>
      <ddeItem name="1786.TW-ID,Name,MarketValue,Capital,NetIncomeGrowthRate,OperIncomeGrowthRate,FinancialStatementsTime,TFXRatio,MonthlyNetSalesYoY,RevenueMonth" advise="1">
        <values cols="10">
          <value t="str">
            <val>1786</val>
          </value>
          <value t="str">
            <val>科妍</val>
          </value>
          <value t="str">
            <val>36.9</val>
          </value>
          <value t="str">
            <val>6.62</val>
          </value>
          <value t="str">
            <val>46.91</val>
          </value>
          <value t="str">
            <val>1.56</val>
          </value>
          <value t="str">
            <val>2022/09</val>
          </value>
          <value t="str">
            <val>-13.46</val>
          </value>
          <value t="str">
            <val>16.81</val>
          </value>
          <value t="str">
            <val>2022/11</val>
          </value>
        </values>
      </ddeItem>
      <ddeItem name="1786.TW-OperatingProfitRatio,Price,PriceChangeRatio,InOutRatioNumber,Value,YearReturn,MonthReturn,WeekReturn,FinanceBalanceDif,ChipsField2" advise="1">
        <values cols="10">
          <value t="str">
            <val>23.02</val>
          </value>
          <value>
            <val>55.7</val>
          </value>
          <value>
            <val>3.15</val>
          </value>
          <value t="str">
            <val>58.30%</val>
          </value>
          <value t="str">
            <val>2559萬</val>
          </value>
          <value t="str">
            <val>+15.96</val>
          </value>
          <value t="str">
            <val>+15.80</val>
          </value>
          <value t="str">
            <val>+1.64</val>
          </value>
          <value>
            <val>-39</val>
          </value>
          <value>
            <val>0</val>
          </value>
        </values>
      </ddeItem>
      <ddeItem name="1789.TW-ChipsField3,ChipsField1,ChipsField25,CashAndStockDividend,CashDividendYieldRate,ProfitFourSeason,ProfitSingle,CName,ExchangeIndustry,CompanyPos" advise="1">
        <values cols="10">
          <value>
            <val>-38</val>
          </value>
          <value>
            <val>240</val>
          </value>
          <value t="str">
            <val>2022/07/07</val>
          </value>
          <value t="str">
            <val>0.48</val>
          </value>
          <value>
            <val>1.84</val>
          </value>
          <value t="str">
            <val>0.39</val>
          </value>
          <value t="str">
            <val>0.08</val>
          </value>
          <value t="str">
            <val>神隆</val>
          </value>
          <value t="str">
            <val>上市生技醫療</val>
          </value>
          <value t="str">
            <val>全球最大原料藥代工廠，台灣原料藥龍頭</val>
          </value>
        </values>
      </ddeItem>
      <ddeItem name="1789.TW-CName,InvestorConferenceDate,DateofMeetingofShareHolders,TradingDate" advise="1">
        <values cols="4">
          <value t="str">
            <val>神隆</val>
          </value>
          <value t="str">
            <val>2022/08/10</val>
          </value>
          <value t="str">
            <val>2022/05/30</val>
          </value>
          <value t="str">
            <val>2022/12/22</val>
          </value>
        </values>
      </ddeItem>
      <ddeItem name="1789.TW-ID,Name,MarketValue,Capital,NetIncomeGrowthRate,OperIncomeGrowthRate,FinancialStatementsTime,TFXRatio,MonthlyNetSalesYoY,RevenueMonth" advise="1">
        <values cols="10">
          <value t="str">
            <val>1789</val>
          </value>
          <value t="str">
            <val>神隆</val>
          </value>
          <value t="str">
            <val>206.4</val>
          </value>
          <value t="str">
            <val>79.07</val>
          </value>
          <value t="str">
            <val>32.61</val>
          </value>
          <value t="str">
            <val>23.46</val>
          </value>
          <value t="str">
            <val>2022/09</val>
          </value>
          <value t="str">
            <val>29.25</val>
          </value>
          <value t="str">
            <val>-1.94</val>
          </value>
          <value t="str">
            <val>2022/11</val>
          </value>
        </values>
      </ddeItem>
      <ddeItem name="1789.TW-OperatingProfitRatio,Price,PriceChangeRatio,InOutRatioNumber,Value,YearReturn,MonthReturn,WeekReturn,FinanceBalanceDif,ChipsField2" advise="1">
        <values cols="10">
          <value t="str">
            <val>12.45</val>
          </value>
          <value>
            <val>26.1</val>
          </value>
          <value>
            <val>1.56</val>
          </value>
          <value t="str">
            <val>47.77%</val>
          </value>
          <value t="str">
            <val>3578萬</val>
          </value>
          <value t="str">
            <val>+9.91</val>
          </value>
          <value t="str">
            <val>+6.31</val>
          </value>
          <value t="str">
            <val>+0.38</val>
          </value>
          <value>
            <val>-106</val>
          </value>
          <value>
            <val>0</val>
          </value>
        </values>
      </ddeItem>
      <ddeItem name="1795.TW-ChipsField3,ChipsField1,ChipsField25,CashAndStockDividend,CashDividendYieldRate,ProfitFourSeason,ProfitSingle,CName,ExchangeIndustry,CompanyPos" advise="1">
        <values cols="10">
          <value>
            <val>-32</val>
          </value>
          <value>
            <val>255</val>
          </value>
          <value t="str">
            <val>2022/08/04</val>
          </value>
          <value t="str">
            <val>1.93</val>
          </value>
          <value>
            <val>0.83</val>
          </value>
          <value t="str">
            <val>11.98</val>
          </value>
          <value t="str">
            <val>7.97</val>
          </value>
          <value t="str">
            <val>美時</val>
          </value>
          <value t="str">
            <val>上市生技醫療</val>
          </value>
          <value t="str">
            <val>台灣老牌學名藥廠，國際醫藥集團Alvogen持股近7成</val>
          </value>
        </values>
      </ddeItem>
      <ddeItem name="1795.TW-CName,InvestorConferenceDate,DateofMeetingofShareHolders,TradingDate" advise="1">
        <values cols="4">
          <value t="str">
            <val>美時</val>
          </value>
          <value t="str">
            <val>2022/11/15</val>
          </value>
          <value t="str">
            <val>2022/06/30</val>
          </value>
          <value t="str">
            <val>2022/12/22</val>
          </value>
        </values>
      </ddeItem>
      <ddeItem name="1795.TW-ID,Name,MarketValue,Capital,NetIncomeGrowthRate,OperIncomeGrowthRate,FinancialStatementsTime,TFXRatio,MonthlyNetSalesYoY,RevenueMonth" advise="1">
        <values cols="10">
          <value t="str">
            <val>1795</val>
          </value>
          <value t="str">
            <val>美時</val>
          </value>
          <value t="str">
            <val>567.3</val>
          </value>
          <value t="str">
            <val>26.26</val>
          </value>
          <value t="str">
            <val>147.73</val>
          </value>
          <value t="str">
            <val>97.36</val>
          </value>
          <value t="str">
            <val>2022/09</val>
          </value>
          <value t="str">
            <val>29.19</val>
          </value>
          <value t="str">
            <val>8.61</val>
          </value>
          <value t="str">
            <val>2022/11</val>
          </value>
        </values>
      </ddeItem>
      <ddeItem name="1795.TW-OperatingProfitRatio,Price,PriceChangeRatio,InOutRatioNumber,Value,YearReturn,MonthReturn,WeekReturn,FinanceBalanceDif,ChipsField2" advise="1">
        <values cols="10">
          <value t="str">
            <val>32.76</val>
          </value>
          <value>
            <val>231.5</val>
          </value>
          <value>
            <val>1.31</val>
          </value>
          <value t="str">
            <val>47.68%</val>
          </value>
          <value t="str">
            <val>33.2億</val>
          </value>
          <value t="str">
            <val>+141.17</val>
          </value>
          <value t="str">
            <val>+20.57</val>
          </value>
          <value t="str">
            <val>-9.22</val>
          </value>
          <value>
            <val>251</val>
          </value>
          <value>
            <val>-785</val>
          </value>
        </values>
      </ddeItem>
      <ddeItem name="1802.TW-ChipsField3,ChipsField1,ChipsField25,CashAndStockDividend,CashDividendYieldRate,ProfitFourSeason,ProfitSingle,CName,ExchangeIndustry,CompanyPos" advise="1">
        <values cols="10">
          <value>
            <val>101</val>
          </value>
          <value>
            <val>-28578</val>
          </value>
          <value t="str">
            <val>2022/06/28</val>
          </value>
          <value t="str">
            <val>1.82</val>
          </value>
          <value>
            <val>8.61</val>
          </value>
          <value t="str">
            <val>1.16</val>
          </value>
          <value t="str">
            <val>-0.52</val>
          </value>
          <value t="str">
            <val>台玻</val>
          </value>
          <value t="str">
            <val>上市玻璃陶瓷</val>
          </value>
          <value t="str">
            <val>兩岸前三大玻璃生產商</val>
          </value>
        </values>
      </ddeItem>
      <ddeItem name="1802.TW-CName,InvestorConferenceDate,DateofMeetingofShareHolders,TradingDate" advise="1">
        <values cols="4">
          <value t="str">
            <val>台玻</val>
          </value>
          <value t="str">
            <val>2022/11/22</val>
          </value>
          <value t="str">
            <val>2022/06/09</val>
          </value>
          <value t="str">
            <val>2022/12/22</val>
          </value>
        </values>
      </ddeItem>
      <ddeItem name="1802.TW-ID,Name,MarketValue,Capital,NetIncomeGrowthRate,OperIncomeGrowthRate,FinancialStatementsTime,TFXRatio,MonthlyNetSalesYoY,RevenueMonth" advise="1">
        <values cols="10">
          <value t="str">
            <val>1802</val>
          </value>
          <value t="str">
            <val>台玻</val>
          </value>
          <value t="str">
            <val>615.1</val>
          </value>
          <value t="str">
            <val>290.81</val>
          </value>
          <value t="str">
            <val>-97.73</val>
          </value>
          <value t="str">
            <val>-94.46</val>
          </value>
          <value t="str">
            <val>2022/09</val>
          </value>
          <value t="str">
            <val>0.90</val>
          </value>
          <value t="str">
            <val>-14.42</val>
          </value>
          <value t="str">
            <val>2022/11</val>
          </value>
        </values>
      </ddeItem>
      <ddeItem name="1802.TW-OperatingProfitRatio,Price,PriceChangeRatio,InOutRatioNumber,Value,YearReturn,MonthReturn,WeekReturn,FinanceBalanceDif,ChipsField2" advise="1">
        <values cols="10">
          <value t="str">
            <val>1.62</val>
          </value>
          <value>
            <val>21.15</val>
          </value>
          <value>
            <val>-0.24</val>
          </value>
          <value t="str">
            <val>48.17%</val>
          </value>
          <value t="str">
            <val>7.00億</val>
          </value>
          <value t="str">
            <val>-11.32</val>
          </value>
          <value t="str">
            <val>-12.24</val>
          </value>
          <value t="str">
            <val>-15.74</val>
          </value>
          <value>
            <val>935</val>
          </value>
          <value>
            <val>25954</val>
          </value>
        </values>
      </ddeItem>
      <ddeItem name="180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-0.55</val>
          </value>
          <value t="str">
            <val>-0.13</val>
          </value>
          <value t="str">
            <val>寶徠</val>
          </value>
          <value t="str">
            <val>上市建材營造</val>
          </value>
          <value t="str">
            <val>知名建案「寶徠花園廣場」建商</val>
          </value>
        </values>
      </ddeItem>
      <ddeItem name="1805.TW-CName,InvestorConferenceDate,DateofMeetingofShareHolders,TradingDate" advise="1">
        <values cols="4">
          <value t="str">
            <val>寶徠</val>
          </value>
          <value t="str">
            <val>--</val>
          </value>
          <value t="str">
            <val>2022/06/30</val>
          </value>
          <value t="str">
            <val>2022/12/22</val>
          </value>
        </values>
      </ddeItem>
      <ddeItem name="1805.TW-ID,Name,MarketValue,Capital,NetIncomeGrowthRate,OperIncomeGrowthRate,FinancialStatementsTime,TFXRatio,MonthlyNetSalesYoY,RevenueMonth" advise="1">
        <values cols="10">
          <value t="str">
            <val>1805</val>
          </value>
          <value t="str">
            <val>寶徠</val>
          </value>
          <value t="str">
            <val>8.7</val>
          </value>
          <value t="str">
            <val>10.03</val>
          </value>
          <value t="str">
            <val>-80.36</val>
          </value>
          <value t="str">
            <val>-142.40</val>
          </value>
          <value t="str">
            <val>2022/09</val>
          </value>
          <value t="str">
            <val>-24.56</val>
          </value>
          <value t="str">
            <val>-98.78</val>
          </value>
          <value t="str">
            <val>2022/11</val>
          </value>
        </values>
      </ddeItem>
      <ddeItem name="1805.TW-OperatingProfitRatio,Price,PriceChangeRatio,InOutRatioNumber,Value,YearReturn,MonthReturn,WeekReturn,FinanceBalanceDif,ChipsField2" advise="1">
        <values cols="10">
          <value t="str">
            <val>-12.85</val>
          </value>
          <value>
            <val>10.9</val>
          </value>
          <value>
            <val>0</val>
          </value>
          <value t="str">
            <val>31.03%</val>
          </value>
          <value t="str">
            <val>31.3萬</val>
          </value>
          <value t="str">
            <val>-22.14</val>
          </value>
          <value t="str">
            <val>-0.46</val>
          </value>
          <value t="str">
            <val>+1.40</val>
          </value>
          <value>
            <val>0</val>
          </value>
          <value>
            <val>0</val>
          </value>
        </values>
      </ddeItem>
      <ddeItem name="1806.TW-ChipsField3,ChipsField1,ChipsField25,CashAndStockDividend,CashDividendYieldRate,ProfitFourSeason,ProfitSingle,CName,ExchangeIndustry,CompanyPos" advise="1">
        <values cols="10">
          <value>
            <val>-2</val>
          </value>
          <value>
            <val>2</val>
          </value>
          <value t="str">
            <val>2022/07/18</val>
          </value>
          <value t="str">
            <val>1.00</val>
          </value>
          <value>
            <val>10.99</val>
          </value>
          <value t="str">
            <val>0.05</val>
          </value>
          <value t="str">
            <val>0.14</val>
          </value>
          <value t="str">
            <val>冠軍</val>
          </value>
          <value t="str">
            <val>上市玻璃陶瓷</val>
          </value>
          <value t="str">
            <val>台灣最大磁磚廠商</val>
          </value>
        </values>
      </ddeItem>
      <ddeItem name="1806.TW-CName,InvestorConferenceDate,DateofMeetingofShareHolders,TradingDate" advise="1">
        <values cols="4">
          <value t="str">
            <val>冠軍</val>
          </value>
          <value t="str">
            <val>2022/11/23</val>
          </value>
          <value t="str">
            <val>2022/06/22</val>
          </value>
          <value t="str">
            <val>2022/12/22</val>
          </value>
        </values>
      </ddeItem>
      <ddeItem name="1806.TW-ID,Name,MarketValue,Capital,NetIncomeGrowthRate,OperIncomeGrowthRate,FinancialStatementsTime,TFXRatio,MonthlyNetSalesYoY,RevenueMonth" advise="1">
        <values cols="10">
          <value t="str">
            <val>1806</val>
          </value>
          <value t="str">
            <val>冠軍</val>
          </value>
          <value t="str">
            <val>35.5</val>
          </value>
          <value t="str">
            <val>39.04</val>
          </value>
          <value t="str">
            <val>-102.24</val>
          </value>
          <value t="str">
            <val>831.00</val>
          </value>
          <value t="str">
            <val>2022/09</val>
          </value>
          <value t="str">
            <val>3.76</val>
          </value>
          <value t="str">
            <val>-16.49</val>
          </value>
          <value t="str">
            <val>2022/11</val>
          </value>
        </values>
      </ddeItem>
      <ddeItem name="1806.TW-OperatingProfitRatio,Price,PriceChangeRatio,InOutRatioNumber,Value,YearReturn,MonthReturn,WeekReturn,FinanceBalanceDif,ChipsField2" advise="1">
        <values cols="10">
          <value t="str">
            <val>8.02</val>
          </value>
          <value>
            <val>9.1</val>
          </value>
          <value>
            <val>0.11</val>
          </value>
          <value t="str">
            <val>45.95%</val>
          </value>
          <value t="str">
            <val>203萬</val>
          </value>
          <value t="str">
            <val>-17.14</val>
          </value>
          <value t="str">
            <val>-1.09</val>
          </value>
          <value t="str">
            <val>-2.67</val>
          </value>
          <value>
            <val>3</val>
          </value>
          <value>
            <val>0</val>
          </value>
        </values>
      </ddeItem>
      <ddeItem name="1808.TW-ChipsField3,ChipsField1,ChipsField25,CashAndStockDividend,CashDividendYieldRate,ProfitFourSeason,ProfitSingle,CName,ExchangeIndustry,CompanyPos" advise="1">
        <values cols="10">
          <value>
            <val>-18</val>
          </value>
          <value>
            <val>147</val>
          </value>
          <value t="str">
            <val>2022/09/26</val>
          </value>
          <value t="str">
            <val>3.50</val>
          </value>
          <value>
            <val>5.22</val>
          </value>
          <value t="str">
            <val>1.32</val>
          </value>
          <value t="str">
            <val>-0.23</val>
          </value>
          <value t="str">
            <val>潤隆</val>
          </value>
          <value t="str">
            <val>上市建材營造</val>
          </value>
          <value t="str">
            <val>興富發集團旗下建商</val>
          </value>
        </values>
      </ddeItem>
      <ddeItem name="1808.TW-CName,InvestorConferenceDate,DateofMeetingofShareHolders,TradingDate" advise="1">
        <values cols="4">
          <value t="str">
            <val>潤隆</val>
          </value>
          <value t="str">
            <val>2022/12/06</val>
          </value>
          <value t="str">
            <val>2022/06/09</val>
          </value>
          <value t="str">
            <val>2022/12/22</val>
          </value>
        </values>
      </ddeItem>
      <ddeItem name="1808.TW-ID,Name,MarketValue,Capital,NetIncomeGrowthRate,OperIncomeGrowthRate,FinancialStatementsTime,TFXRatio,MonthlyNetSalesYoY,RevenueMonth" advise="1">
        <values cols="10">
          <value t="str">
            <val>1808</val>
          </value>
          <value t="str">
            <val>潤隆</val>
          </value>
          <value t="str">
            <val>302.2</val>
          </value>
          <value t="str">
            <val>45.10</val>
          </value>
          <value t="str">
            <val>-105.86</val>
          </value>
          <value t="str">
            <val>-105.54</val>
          </value>
          <value t="str">
            <val>2022/09</val>
          </value>
          <value t="str">
            <val>-65.69</val>
          </value>
          <value t="str">
            <val>-98.53</val>
          </value>
          <value t="str">
            <val>2022/11</val>
          </value>
        </values>
      </ddeItem>
      <ddeItem name="1808.TW-OperatingProfitRatio,Price,PriceChangeRatio,InOutRatioNumber,Value,YearReturn,MonthReturn,WeekReturn,FinanceBalanceDif,ChipsField2" advise="1">
        <values cols="10">
          <value t="str">
            <val>-8.46</val>
          </value>
          <value>
            <val>67</val>
          </value>
          <value>
            <val>1.82</val>
          </value>
          <value t="str">
            <val>41.52%</val>
          </value>
          <value t="str">
            <val>2665萬</val>
          </value>
          <value t="str">
            <val>+35.24</val>
          </value>
          <value t="str">
            <val>+9.84</val>
          </value>
          <value t="str">
            <val>+1.21</val>
          </value>
          <value>
            <val>31</val>
          </value>
          <value>
            <val>0</val>
          </value>
        </values>
      </ddeItem>
      <ddeItem name="180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2022/07/26</val>
          </value>
          <value t="str">
            <val>0.25</val>
          </value>
          <value>
            <val>2.02</val>
          </value>
          <value t="str">
            <val>0.61</val>
          </value>
          <value t="str">
            <val>0.23</val>
          </value>
          <value t="str">
            <val>中釉</val>
          </value>
          <value t="str">
            <val>上市玻璃陶瓷</val>
          </value>
          <value t="str">
            <val>亞洲最大釉料廠</val>
          </value>
        </values>
      </ddeItem>
      <ddeItem name="1809.TW-CName,InvestorConferenceDate,DateofMeetingofShareHolders,TradingDate" advise="1">
        <values cols="4">
          <value t="str">
            <val>中釉</val>
          </value>
          <value t="str">
            <val>2022/10/06</val>
          </value>
          <value t="str">
            <val>2022/06/21</val>
          </value>
          <value t="str">
            <val>2022/12/22</val>
          </value>
        </values>
      </ddeItem>
      <ddeItem name="1809.TW-ID,Name,MarketValue,Capital,NetIncomeGrowthRate,OperIncomeGrowthRate,FinancialStatementsTime,TFXRatio,MonthlyNetSalesYoY,RevenueMonth" advise="1">
        <values cols="10">
          <value t="str">
            <val>1809</val>
          </value>
          <value t="str">
            <val>中釉</val>
          </value>
          <value t="str">
            <val>20.7</val>
          </value>
          <value t="str">
            <val>16.70</val>
          </value>
          <value t="str">
            <val>334.87</val>
          </value>
          <value t="str">
            <val>-16.78</val>
          </value>
          <value t="str">
            <val>2022/09</val>
          </value>
          <value t="str">
            <val>-13.49</val>
          </value>
          <value t="str">
            <val>-10.02</val>
          </value>
          <value t="str">
            <val>2022/11</val>
          </value>
        </values>
      </ddeItem>
      <ddeItem name="1809.TW-OperatingProfitRatio,Price,PriceChangeRatio,InOutRatioNumber,Value,YearReturn,MonthReturn,WeekReturn,FinanceBalanceDif,ChipsField2" advise="1">
        <values cols="10">
          <value t="str">
            <val>0.61</val>
          </value>
          <value>
            <val>12.4</val>
          </value>
          <value>
            <val>1.64</val>
          </value>
          <value t="str">
            <val>43.58%</val>
          </value>
          <value t="str">
            <val>508萬</val>
          </value>
          <value t="str">
            <val>-20.84</val>
          </value>
          <value t="str">
            <val>-7.46</val>
          </value>
          <value t="str">
            <val>-6.06</val>
          </value>
          <value>
            <val>-22</val>
          </value>
          <value>
            <val>0</val>
          </value>
        </values>
      </ddeItem>
      <ddeItem name="1810.TW-ChipsField3,ChipsField1,ChipsField25,CashAndStockDividend,CashDividendYieldRate,ProfitFourSeason,ProfitSingle,CName,ExchangeIndustry,CompanyPos" advise="1">
        <values cols="10">
          <value>
            <val>-2</val>
          </value>
          <value>
            <val>-2253</val>
          </value>
          <value t="str">
            <val>2022/07/27</val>
          </value>
          <value t="str">
            <val>0.20</val>
          </value>
          <value>
            <val>1.1200000000000001</val>
          </value>
          <value t="str">
            <val>0.72</val>
          </value>
          <value t="str">
            <val>0.02</val>
          </value>
          <value t="str">
            <val>和成</val>
          </value>
          <value t="str">
            <val>上市玻璃陶瓷</val>
          </value>
          <value t="str">
            <val>台灣衛浴設備龍頭廠</val>
          </value>
        </values>
      </ddeItem>
      <ddeItem name="1810.TW-CName,InvestorConferenceDate,DateofMeetingofShareHolders,TradingDate" advise="1">
        <values cols="4">
          <value t="str">
            <val>和成</val>
          </value>
          <value t="str">
            <val>2022/11/24</val>
          </value>
          <value t="str">
            <val>2022/06/27</val>
          </value>
          <value t="str">
            <val>2022/12/22</val>
          </value>
        </values>
      </ddeItem>
      <ddeItem name="1810.TW-ID,Name,MarketValue,Capital,NetIncomeGrowthRate,OperIncomeGrowthRate,FinancialStatementsTime,TFXRatio,MonthlyNetSalesYoY,RevenueMonth" advise="1">
        <values cols="10">
          <value t="str">
            <val>1810</val>
          </value>
          <value t="str">
            <val>和成</val>
          </value>
          <value t="str">
            <val>54.3</val>
          </value>
          <value t="str">
            <val>30.33</val>
          </value>
          <value t="str">
            <val>-90.64</val>
          </value>
          <value t="str">
            <val>285.43</val>
          </value>
          <value t="str">
            <val>2022/09</val>
          </value>
          <value t="str">
            <val>7.92</val>
          </value>
          <value t="str">
            <val>-28.21</val>
          </value>
          <value t="str">
            <val>2022/11</val>
          </value>
        </values>
      </ddeItem>
      <ddeItem name="1810.TW-OperatingProfitRatio,Price,PriceChangeRatio,InOutRatioNumber,Value,YearReturn,MonthReturn,WeekReturn,FinanceBalanceDif,ChipsField2" advise="1">
        <values cols="10">
          <value t="str">
            <val>2.98</val>
          </value>
          <value>
            <val>17.899999999999999</val>
          </value>
          <value>
            <val>0.56000000000000005</val>
          </value>
          <value t="str">
            <val>49.12%</val>
          </value>
          <value t="str">
            <val>1.74億</val>
          </value>
          <value t="str">
            <val>+3.30</val>
          </value>
          <value t="str">
            <val>+29.24</val>
          </value>
          <value t="str">
            <val>-10.95</val>
          </value>
          <value>
            <val>205</val>
          </value>
          <value>
            <val>0</val>
          </value>
        </values>
      </ddeItem>
      <ddeItem name="181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</val>
          </value>
          <value t="str">
            <val>2022/06/30</val>
          </value>
          <value t="str">
            <val>2.00</val>
          </value>
          <value>
            <val>5.3</val>
          </value>
          <value t="str">
            <val>3.81</val>
          </value>
          <value t="str">
            <val>1.14</val>
          </value>
          <value t="str">
            <val>凱撒衛</val>
          </value>
          <value t="str">
            <val>上市玻璃陶瓷</val>
          </value>
          <value t="str">
            <val>在越南生產回銷台灣之國內第3大衛浴設備大廠</val>
          </value>
        </values>
      </ddeItem>
      <ddeItem name="1817.TW-CName,InvestorConferenceDate,DateofMeetingofShareHolders,TradingDate" advise="1">
        <values cols="4">
          <value t="str">
            <val>凱撒衛</val>
          </value>
          <value t="str">
            <val>2022/12/05</val>
          </value>
          <value t="str">
            <val>2022/05/26</val>
          </value>
          <value t="str">
            <val>2022/12/22</val>
          </value>
        </values>
      </ddeItem>
      <ddeItem name="1817.TW-ID,Name,MarketValue,Capital,NetIncomeGrowthRate,OperIncomeGrowthRate,FinancialStatementsTime,TFXRatio,MonthlyNetSalesYoY,RevenueMonth" advise="1">
        <values cols="10">
          <value t="str">
            <val>1817</val>
          </value>
          <value t="str">
            <val>凱撒衛</val>
          </value>
          <value t="str">
            <val>27.4</val>
          </value>
          <value t="str">
            <val>7.26</val>
          </value>
          <value t="str">
            <val>33.97</val>
          </value>
          <value t="str">
            <val>30.47</val>
          </value>
          <value t="str">
            <val>2022/09</val>
          </value>
          <value t="str">
            <val>23.21</val>
          </value>
          <value t="str">
            <val>6.62</val>
          </value>
          <value t="str">
            <val>2022/11</val>
          </value>
        </values>
      </ddeItem>
      <ddeItem name="1817.TW-OperatingProfitRatio,Price,PriceChangeRatio,InOutRatioNumber,Value,YearReturn,MonthReturn,WeekReturn,FinanceBalanceDif,ChipsField2" advise="1">
        <values cols="10">
          <value t="str">
            <val>13.53</val>
          </value>
          <value>
            <val>37.75</val>
          </value>
          <value>
            <val>-0.13</val>
          </value>
          <value t="str">
            <val>27.42%</val>
          </value>
          <value t="str">
            <val>250萬</val>
          </value>
          <value t="str">
            <val>+8.53</val>
          </value>
          <value t="str">
            <val>+7.55</val>
          </value>
          <value t="str">
            <val>+1.21</val>
          </value>
          <value>
            <val>0</val>
          </value>
          <value>
            <val>0</val>
          </value>
        </values>
      </ddeItem>
      <ddeItem name="190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-4</val>
          </value>
          <value t="str">
            <val>--</val>
          </value>
          <value t="str">
            <val>0.00</val>
          </value>
          <value>
            <val>0</val>
          </value>
          <value t="str">
            <val>0.85</val>
          </value>
          <value t="str">
            <val>1.20</val>
          </value>
          <value t="str">
            <val>士紙</val>
          </value>
          <value t="str">
            <val>上市造紙</val>
          </value>
          <value t="str">
            <val>轉型為濕紙巾製造商</val>
          </value>
        </values>
      </ddeItem>
      <ddeItem name="1903.TW-CName,InvestorConferenceDate,DateofMeetingofShareHolders,TradingDate" advise="1">
        <values cols="4">
          <value t="str">
            <val>士紙</val>
          </value>
          <value t="str">
            <val>2022/12/29</val>
          </value>
          <value t="str">
            <val>2022/06/14</val>
          </value>
          <value t="str">
            <val>2022/12/22</val>
          </value>
        </values>
      </ddeItem>
      <ddeItem name="1903.TW-ID,Name,MarketValue,Capital,NetIncomeGrowthRate,OperIncomeGrowthRate,FinancialStatementsTime,TFXRatio,MonthlyNetSalesYoY,RevenueMonth" advise="1">
        <values cols="10">
          <value t="str">
            <val>1903</val>
          </value>
          <value t="str">
            <val>士紙</val>
          </value>
          <value t="str">
            <val>129.1</val>
          </value>
          <value t="str">
            <val>26.00</val>
          </value>
          <value t="str">
            <val>122.91</val>
          </value>
          <value t="str">
            <val>-5851.66</val>
          </value>
          <value t="str">
            <val>2022/09</val>
          </value>
          <value t="str">
            <val>14.63</val>
          </value>
          <value t="str">
            <val>-9.23</val>
          </value>
          <value t="str">
            <val>2022/11</val>
          </value>
        </values>
      </ddeItem>
      <ddeItem name="1903.TW-OperatingProfitRatio,Price,PriceChangeRatio,InOutRatioNumber,Value,YearReturn,MonthReturn,WeekReturn,FinanceBalanceDif,ChipsField2" advise="1">
        <values cols="10">
          <value t="str">
            <val>-57.36</val>
          </value>
          <value>
            <val>49.65</val>
          </value>
          <value>
            <val>0.1</val>
          </value>
          <value t="str">
            <val>41.38%</val>
          </value>
          <value t="str">
            <val>154萬</val>
          </value>
          <value t="str">
            <val>-23.85</val>
          </value>
          <value t="str">
            <val>-0.50</val>
          </value>
          <value t="str">
            <val>-1.68</val>
          </value>
          <value>
            <val>0</val>
          </value>
          <value>
            <val>0</val>
          </value>
        </values>
      </ddeItem>
      <ddeItem name="1904.TW-ChipsField3,ChipsField1,ChipsField25,CashAndStockDividend,CashDividendYieldRate,ProfitFourSeason,ProfitSingle,CName,ExchangeIndustry,CompanyPos" advise="1">
        <values cols="10">
          <value>
            <val>-20</val>
          </value>
          <value>
            <val>-71</val>
          </value>
          <value t="str">
            <val>2022/06/28</val>
          </value>
          <value t="str">
            <val>1.90</val>
          </value>
          <value>
            <val>6.92</val>
          </value>
          <value t="str">
            <val>2.71</val>
          </value>
          <value t="str">
            <val>0.20</val>
          </value>
          <value t="str">
            <val>正隆</val>
          </value>
          <value t="str">
            <val>上市造紙</val>
          </value>
          <value t="str">
            <val>台灣最大工業用紙生產商</val>
          </value>
        </values>
      </ddeItem>
      <ddeItem name="1904.TW-CName,InvestorConferenceDate,DateofMeetingofShareHolders,TradingDate" advise="1">
        <values cols="4">
          <value t="str">
            <val>正隆</val>
          </value>
          <value t="str">
            <val>2022/08/19</val>
          </value>
          <value t="str">
            <val>2022/06/10</val>
          </value>
          <value t="str">
            <val>2022/12/22</val>
          </value>
        </values>
      </ddeItem>
      <ddeItem name="1904.TW-ID,Name,MarketValue,Capital,NetIncomeGrowthRate,OperIncomeGrowthRate,FinancialStatementsTime,TFXRatio,MonthlyNetSalesYoY,RevenueMonth" advise="1">
        <values cols="10">
          <value t="str">
            <val>1904</val>
          </value>
          <value t="str">
            <val>正隆</val>
          </value>
          <value t="str">
            <val>304.2</val>
          </value>
          <value t="str">
            <val>110.83</val>
          </value>
          <value t="str">
            <val>-24.89</val>
          </value>
          <value t="str">
            <val>-65.14</val>
          </value>
          <value t="str">
            <val>2022/09</val>
          </value>
          <value t="str">
            <val>5.18</val>
          </value>
          <value t="str">
            <val>-13.99</val>
          </value>
          <value t="str">
            <val>2022/11</val>
          </value>
        </values>
      </ddeItem>
      <ddeItem name="1904.TW-OperatingProfitRatio,Price,PriceChangeRatio,InOutRatioNumber,Value,YearReturn,MonthReturn,WeekReturn,FinanceBalanceDif,ChipsField2" advise="1">
        <values cols="10">
          <value t="str">
            <val>3.83</val>
          </value>
          <value>
            <val>27.45</val>
          </value>
          <value>
            <val>1.1000000000000001</val>
          </value>
          <value t="str">
            <val>43.13%</val>
          </value>
          <value t="str">
            <val>1417萬</val>
          </value>
          <value t="str">
            <val>-14.05</val>
          </value>
          <value t="str">
            <val>+0.73</val>
          </value>
          <value t="str">
            <val>-0.72</val>
          </value>
          <value>
            <val>-7</val>
          </value>
          <value>
            <val>0</val>
          </value>
        </values>
      </ddeItem>
      <ddeItem name="1905.TW-ChipsField3,ChipsField1,ChipsField25,CashAndStockDividend,CashDividendYieldRate,ProfitFourSeason,ProfitSingle,CName,ExchangeIndustry,CompanyPos" advise="1">
        <values cols="10">
          <value>
            <val>-29</val>
          </value>
          <value>
            <val>-63</val>
          </value>
          <value t="str">
            <val>2022/07/14</val>
          </value>
          <value t="str">
            <val>0.41</val>
          </value>
          <value>
            <val>2.48</val>
          </value>
          <value t="str">
            <val>0.21</val>
          </value>
          <value t="str">
            <val>0.26</val>
          </value>
          <value t="str">
            <val>華紙</val>
          </value>
          <value t="str">
            <val>上市造紙</val>
          </value>
          <value t="str">
            <val>紙漿及文化用紙一貫廠，亦為永豐餘子公司</val>
          </value>
        </values>
      </ddeItem>
      <ddeItem name="1905.TW-CName,InvestorConferenceDate,DateofMeetingofShareHolders,TradingDate" advise="1">
        <values cols="4">
          <value t="str">
            <val>華紙</val>
          </value>
          <value t="str">
            <val>2022/11/14</val>
          </value>
          <value t="str">
            <val>2022/06/17</val>
          </value>
          <value t="str">
            <val>2022/12/22</val>
          </value>
        </values>
      </ddeItem>
      <ddeItem name="1905.TW-ID,Name,MarketValue,Capital,NetIncomeGrowthRate,OperIncomeGrowthRate,FinancialStatementsTime,TFXRatio,MonthlyNetSalesYoY,RevenueMonth" advise="1">
        <values cols="10">
          <value t="str">
            <val>1905</val>
          </value>
          <value t="str">
            <val>華紙</val>
          </value>
          <value t="str">
            <val>182.5</val>
          </value>
          <value t="str">
            <val>110.28</val>
          </value>
          <value t="str">
            <val>-32.17</val>
          </value>
          <value t="str">
            <val>-75.74</val>
          </value>
          <value t="str">
            <val>2022/09</val>
          </value>
          <value t="str">
            <val>-7.53</val>
          </value>
          <value t="str">
            <val>3.54</val>
          </value>
          <value t="str">
            <val>2022/11</val>
          </value>
        </values>
      </ddeItem>
      <ddeItem name="1905.TW-OperatingProfitRatio,Price,PriceChangeRatio,InOutRatioNumber,Value,YearReturn,MonthReturn,WeekReturn,FinanceBalanceDif,ChipsField2" advise="1">
        <values cols="10">
          <value t="str">
            <val>0.79</val>
          </value>
          <value>
            <val>16.55</val>
          </value>
          <value>
            <val>1.85</val>
          </value>
          <value t="str">
            <val>56.10%</val>
          </value>
          <value t="str">
            <val>1298萬</val>
          </value>
          <value t="str">
            <val>-28.12</val>
          </value>
          <value t="str">
            <val>-3.78</val>
          </value>
          <value t="str">
            <val>-1.19</val>
          </value>
          <value>
            <val>-61</val>
          </value>
          <value>
            <val>0</val>
          </value>
        </values>
      </ddeItem>
      <ddeItem name="190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2022/07/07</val>
          </value>
          <value t="str">
            <val>0.60</val>
          </value>
          <value>
            <val>3.57</val>
          </value>
          <value t="str">
            <val>3.22</val>
          </value>
          <value t="str">
            <val>0.38</val>
          </value>
          <value t="str">
            <val>寶隆</val>
          </value>
          <value t="str">
            <val>上市造紙</val>
          </value>
          <value t="str">
            <val>榮成轉投資之工業用紙代銷商</val>
          </value>
        </values>
      </ddeItem>
      <ddeItem name="1906.TW-CName,InvestorConferenceDate,DateofMeetingofShareHolders,TradingDate" advise="1">
        <values cols="4">
          <value t="str">
            <val>寶隆</val>
          </value>
          <value t="str">
            <val>2022/08/26</val>
          </value>
          <value t="str">
            <val>2022/06/06</val>
          </value>
          <value t="str">
            <val>2022/12/22</val>
          </value>
        </values>
      </ddeItem>
      <ddeItem name="1906.TW-ID,Name,MarketValue,Capital,NetIncomeGrowthRate,OperIncomeGrowthRate,FinancialStatementsTime,TFXRatio,MonthlyNetSalesYoY,RevenueMonth" advise="1">
        <values cols="10">
          <value t="str">
            <val>1906</val>
          </value>
          <value t="str">
            <val>寶隆</val>
          </value>
          <value t="str">
            <val>25.4</val>
          </value>
          <value t="str">
            <val>15.10</val>
          </value>
          <value t="str">
            <val>192.96</val>
          </value>
          <value t="str">
            <val>144.40</val>
          </value>
          <value t="str">
            <val>2022/09</val>
          </value>
          <value t="str">
            <val>10.14</val>
          </value>
          <value t="str">
            <val>1.43</val>
          </value>
          <value t="str">
            <val>2022/11</val>
          </value>
        </values>
      </ddeItem>
      <ddeItem name="1906.TW-OperatingProfitRatio,Price,PriceChangeRatio,InOutRatioNumber,Value,YearReturn,MonthReturn,WeekReturn,FinanceBalanceDif,ChipsField2" advise="1">
        <values cols="10">
          <value t="str">
            <val>0.16</val>
          </value>
          <value>
            <val>16.8</val>
          </value>
          <value>
            <val>1.82</val>
          </value>
          <value t="str">
            <val>60.92%</val>
          </value>
          <value t="str">
            <val>156萬</val>
          </value>
          <value t="str">
            <val>-14.62</val>
          </value>
          <value t="str">
            <val>+2.13</val>
          </value>
          <value t="str">
            <val>0.00</val>
          </value>
          <value>
            <val>0</val>
          </value>
          <value>
            <val>0</val>
          </value>
        </values>
      </ddeItem>
      <ddeItem name="1907.TW-ChipsField3,ChipsField1,ChipsField25,CashAndStockDividend,CashDividendYieldRate,ProfitFourSeason,ProfitSingle,CName,ExchangeIndustry,CompanyPos" advise="1">
        <values cols="10">
          <value>
            <val>-147</val>
          </value>
          <value>
            <val>-208</val>
          </value>
          <value t="str">
            <val>2022/07/15</val>
          </value>
          <value t="str">
            <val>1.50</val>
          </value>
          <value>
            <val>6.06</val>
          </value>
          <value t="str">
            <val>1.73</val>
          </value>
          <value t="str">
            <val>0.88</val>
          </value>
          <value t="str">
            <val>永豐餘</val>
          </value>
          <value t="str">
            <val>上市造紙</val>
          </value>
          <value t="str">
            <val>台灣第一大造紙集團</val>
          </value>
        </values>
      </ddeItem>
      <ddeItem name="1907.TW-CName,InvestorConferenceDate,DateofMeetingofShareHolders,TradingDate" advise="1">
        <values cols="4">
          <value t="str">
            <val>永豐餘</val>
          </value>
          <value t="str">
            <val>2022/11/14</val>
          </value>
          <value t="str">
            <val>2022/06/23</val>
          </value>
          <value t="str">
            <val>2022/12/22</val>
          </value>
        </values>
      </ddeItem>
      <ddeItem name="1907.TW-ID,Name,MarketValue,Capital,NetIncomeGrowthRate,OperIncomeGrowthRate,FinancialStatementsTime,TFXRatio,MonthlyNetSalesYoY,RevenueMonth" advise="1">
        <values cols="10">
          <value t="str">
            <val>1907</val>
          </value>
          <value t="str">
            <val>永豐餘</val>
          </value>
          <value t="str">
            <val>410.9</val>
          </value>
          <value t="str">
            <val>166.04</val>
          </value>
          <value t="str">
            <val>-59.69</val>
          </value>
          <value t="str">
            <val>-84.10</val>
          </value>
          <value t="str">
            <val>2022/09</val>
          </value>
          <value t="str">
            <val>-3.97</val>
          </value>
          <value t="str">
            <val>-9.73</val>
          </value>
          <value t="str">
            <val>2022/11</val>
          </value>
        </values>
      </ddeItem>
      <ddeItem name="1907.TW-OperatingProfitRatio,Price,PriceChangeRatio,InOutRatioNumber,Value,YearReturn,MonthReturn,WeekReturn,FinanceBalanceDif,ChipsField2" advise="1">
        <values cols="10">
          <value t="str">
            <val>1.91</val>
          </value>
          <value>
            <val>24.75</val>
          </value>
          <value>
            <val>2.48</val>
          </value>
          <value t="str">
            <val>74.58%</val>
          </value>
          <value t="str">
            <val>3704萬</val>
          </value>
          <value t="str">
            <val>-21.94</val>
          </value>
          <value t="str">
            <val>-10.33</val>
          </value>
          <value t="str">
            <val>-1.39</val>
          </value>
          <value>
            <val>101</val>
          </value>
          <value>
            <val>0</val>
          </value>
        </values>
      </ddeItem>
      <ddeItem name="1909.TW-ChipsField3,ChipsField1,ChipsField25,CashAndStockDividend,CashDividendYieldRate,ProfitFourSeason,ProfitSingle,CName,ExchangeIndustry,CompanyPos" advise="1">
        <values cols="10">
          <value>
            <val>-39</val>
          </value>
          <value>
            <val>91</val>
          </value>
          <value t="str">
            <val>2022/07/05</val>
          </value>
          <value t="str">
            <val>1.20</val>
          </value>
          <value>
            <val>7.69</val>
          </value>
          <value t="str">
            <val>0.21</val>
          </value>
          <value t="str">
            <val>-0.38</val>
          </value>
          <value t="str">
            <val>榮成</val>
          </value>
          <value t="str">
            <val>上市造紙</val>
          </value>
          <value t="str">
            <val>國內前三大工業用紙生產商</val>
          </value>
        </values>
      </ddeItem>
      <ddeItem name="1909.TW-CName,InvestorConferenceDate,DateofMeetingofShareHolders,TradingDate" advise="1">
        <values cols="4">
          <value t="str">
            <val>榮成</val>
          </value>
          <value t="str">
            <val>2022/08/26</val>
          </value>
          <value t="str">
            <val>2022/06/08</val>
          </value>
          <value t="str">
            <val>2022/12/22</val>
          </value>
        </values>
      </ddeItem>
      <ddeItem name="1909.TW-ID,Name,MarketValue,Capital,NetIncomeGrowthRate,OperIncomeGrowthRate,FinancialStatementsTime,TFXRatio,MonthlyNetSalesYoY,RevenueMonth" advise="1">
        <values cols="10">
          <value t="str">
            <val>1909</val>
          </value>
          <value t="str">
            <val>榮成</val>
          </value>
          <value t="str">
            <val>207.1</val>
          </value>
          <value t="str">
            <val>132.77</val>
          </value>
          <value t="str">
            <val>-110.21</val>
          </value>
          <value t="str">
            <val>-101.64</val>
          </value>
          <value t="str">
            <val>2022/09</val>
          </value>
          <value t="str">
            <val>-7.46</val>
          </value>
          <value t="str">
            <val>-18.26</val>
          </value>
          <value t="str">
            <val>2022/11</val>
          </value>
        </values>
      </ddeItem>
      <ddeItem name="1909.TW-OperatingProfitRatio,Price,PriceChangeRatio,InOutRatioNumber,Value,YearReturn,MonthReturn,WeekReturn,FinanceBalanceDif,ChipsField2" advise="1">
        <values cols="10">
          <value t="str">
            <val>-0.14</val>
          </value>
          <value>
            <val>15.6</val>
          </value>
          <value>
            <val>3.31</val>
          </value>
          <value t="str">
            <val>56.81%</val>
          </value>
          <value t="str">
            <val>1.05億</val>
          </value>
          <value t="str">
            <val>-29.31</val>
          </value>
          <value t="str">
            <val>-3.70</val>
          </value>
          <value t="str">
            <val>+0.32</val>
          </value>
          <value>
            <val>-37</val>
          </value>
          <value>
            <val>0</val>
          </value>
        </values>
      </ddeItem>
      <ddeItem name="2002.TW-ChipsField3,ChipsField1,ChipsField25,CashAndStockDividend,CashDividendYieldRate,ProfitFourSeason,ProfitSingle,CName,ExchangeIndustry,CompanyPos" advise="1">
        <values cols="10">
          <value>
            <val>-150</val>
          </value>
          <value>
            <val>89148</val>
          </value>
          <value t="str">
            <val>2022/07/26</val>
          </value>
          <value t="str">
            <val>3.10</val>
          </value>
          <value>
            <val>10.11</val>
          </value>
          <value t="str">
            <val>2.62</val>
          </value>
          <value t="str">
            <val>0.12</val>
          </value>
          <value t="str">
            <val>中鋼</val>
          </value>
          <value t="str">
            <val>上市鋼鐵</val>
          </value>
          <value t="str">
            <val>台灣最大設有高爐的一貫作業鋼廠</val>
          </value>
        </values>
      </ddeItem>
      <ddeItem name="2002.TW-CName,InvestorConferenceDate,DateofMeetingofShareHolders,TradingDate" advise="1">
        <values cols="4">
          <value t="str">
            <val>中鋼</val>
          </value>
          <value t="str">
            <val>2022/12/21</val>
          </value>
          <value t="str">
            <val>2022/06/17</val>
          </value>
          <value t="str">
            <val>2022/12/22</val>
          </value>
        </values>
      </ddeItem>
      <ddeItem name="2002.TW-ID,Name,MarketValue,Capital,NetIncomeGrowthRate,OperIncomeGrowthRate,FinancialStatementsTime,TFXRatio,MonthlyNetSalesYoY,RevenueMonth" advise="1">
        <values cols="10">
          <value t="str">
            <val>2002</val>
          </value>
          <value t="str">
            <val>中鋼</val>
          </value>
          <value t="str">
            <val>4822.7</val>
          </value>
          <value t="str">
            <val>1573.49</val>
          </value>
          <value t="str">
            <val>-52.14</val>
          </value>
          <value t="str">
            <val>-56.55</val>
          </value>
          <value t="str">
            <val>2022/09</val>
          </value>
          <value t="str">
            <val>-1.14</val>
          </value>
          <value t="str">
            <val>-29.29</val>
          </value>
          <value t="str">
            <val>2022/11</val>
          </value>
        </values>
      </ddeItem>
      <ddeItem name="2002.TW-OperatingProfitRatio,Price,PriceChangeRatio,InOutRatioNumber,Value,YearReturn,MonthReturn,WeekReturn,FinanceBalanceDif,ChipsField2" advise="1">
        <values cols="10">
          <value t="str">
            <val>7.13</val>
          </value>
          <value>
            <val>30.65</val>
          </value>
          <value>
            <val>3.2</val>
          </value>
          <value t="str">
            <val>69.52%</val>
          </value>
          <value t="str">
            <val>47.7億</val>
          </value>
          <value t="str">
            <val>-4.71</val>
          </value>
          <value t="str">
            <val>+5.69</val>
          </value>
          <value t="str">
            <val>+5.51</val>
          </value>
          <value>
            <val>-248</val>
          </value>
          <value>
            <val>-52985</val>
          </value>
        </values>
      </ddeItem>
      <ddeItem name="2006.TW-ChipsField3,ChipsField1,ChipsField25,CashAndStockDividend,CashDividendYieldRate,ProfitFourSeason,ProfitSingle,CName,ExchangeIndustry,CompanyPos" advise="1">
        <values cols="10">
          <value>
            <val>-88</val>
          </value>
          <value>
            <val>2433</val>
          </value>
          <value t="str">
            <val>2022/03/25</val>
          </value>
          <value t="str">
            <val>6.40</val>
          </value>
          <value>
            <val>12.14</val>
          </value>
          <value t="str">
            <val>5.89</val>
          </value>
          <value t="str">
            <val>0.74</val>
          </value>
          <value t="str">
            <val>東和鋼鐵</val>
          </value>
          <value t="str">
            <val>上市鋼鐵</val>
          </value>
          <value t="str">
            <val>台灣最大型鋼廠及三大鋼筋廠之一</val>
          </value>
        </values>
      </ddeItem>
      <ddeItem name="2006.TW-CName,InvestorConferenceDate,DateofMeetingofShareHolders,TradingDate" advise="1">
        <values cols="4">
          <value t="str">
            <val>東和鋼鐵</val>
          </value>
          <value t="str">
            <val>2022/12/20</val>
          </value>
          <value t="str">
            <val>2022/05/27</val>
          </value>
          <value t="str">
            <val>2022/12/22</val>
          </value>
        </values>
      </ddeItem>
      <ddeItem name="2006.TW-ID,Name,MarketValue,Capital,NetIncomeGrowthRate,OperIncomeGrowthRate,FinancialStatementsTime,TFXRatio,MonthlyNetSalesYoY,RevenueMonth" advise="1">
        <values cols="10">
          <value t="str">
            <val>2006</val>
          </value>
          <value t="str">
            <val>東和鋼鐵</val>
          </value>
          <value t="str">
            <val>384.8</val>
          </value>
          <value t="str">
            <val>73.02</val>
          </value>
          <value t="str">
            <val>-27.74</val>
          </value>
          <value t="str">
            <val>-25.47</val>
          </value>
          <value t="str">
            <val>2022/09</val>
          </value>
          <value t="str">
            <val>-7.57</val>
          </value>
          <value t="str">
            <val>-19.59</val>
          </value>
          <value t="str">
            <val>2022/11</val>
          </value>
        </values>
      </ddeItem>
      <ddeItem name="2006.TW-OperatingProfitRatio,Price,PriceChangeRatio,InOutRatioNumber,Value,YearReturn,MonthReturn,WeekReturn,FinanceBalanceDif,ChipsField2" advise="1">
        <values cols="10">
          <value t="str">
            <val>8.50</val>
          </value>
          <value>
            <val>52.7</val>
          </value>
          <value>
            <val>3.33</val>
          </value>
          <value t="str">
            <val>71.17%</val>
          </value>
          <value t="str">
            <val>2.60億</val>
          </value>
          <value t="str">
            <val>-16.71</val>
          </value>
          <value t="str">
            <val>+1.74</val>
          </value>
          <value t="str">
            <val>+1.15</val>
          </value>
          <value>
            <val>-130</val>
          </value>
          <value>
            <val>-2187</val>
          </value>
        </values>
      </ddeItem>
      <ddeItem name="2007.TW-ChipsField3,ChipsField1,ChipsField25,CashAndStockDividend,CashDividendYieldRate,ProfitFourSeason,ProfitSingle,CName,ExchangeIndustry,CompanyPos" advise="1">
        <values cols="10">
          <value>
            <val>-26</val>
          </value>
          <value>
            <val>79</val>
          </value>
          <value t="str">
            <val>--</val>
          </value>
          <value t="str">
            <val>0.00</val>
          </value>
          <value>
            <val>0</val>
          </value>
          <value t="str">
            <val>-0.89</val>
          </value>
          <value t="str">
            <val>-0.52</val>
          </value>
          <value t="str">
            <val>燁興</val>
          </value>
          <value t="str">
            <val>上市鋼鐵</val>
          </value>
          <value t="str">
            <val>台灣不鏽鋼線材盤元大廠之一</val>
          </value>
        </values>
      </ddeItem>
      <ddeItem name="2007.TW-CName,InvestorConferenceDate,DateofMeetingofShareHolders,TradingDate" advise="1">
        <values cols="4">
          <value t="str">
            <val>燁興</val>
          </value>
          <value t="str">
            <val>2022/11/23</val>
          </value>
          <value t="str">
            <val>2022/06/22</val>
          </value>
          <value t="str">
            <val>2022/12/22</val>
          </value>
        </values>
      </ddeItem>
      <ddeItem name="2007.TW-ID,Name,MarketValue,Capital,NetIncomeGrowthRate,OperIncomeGrowthRate,FinancialStatementsTime,TFXRatio,MonthlyNetSalesYoY,RevenueMonth" advise="1">
        <values cols="10">
          <value t="str">
            <val>2007</val>
          </value>
          <value t="str">
            <val>燁興</val>
          </value>
          <value t="str">
            <val>66.6</val>
          </value>
          <value t="str">
            <val>53.07</val>
          </value>
          <value t="str">
            <val>-1324.27</val>
          </value>
          <value t="str">
            <val>-130.09</val>
          </value>
          <value t="str">
            <val>2022/09</val>
          </value>
          <value t="str">
            <val>12.50</val>
          </value>
          <value t="str">
            <val>-21.08</val>
          </value>
          <value t="str">
            <val>2022/11</val>
          </value>
        </values>
      </ddeItem>
      <ddeItem name="2007.TW-OperatingProfitRatio,Price,PriceChangeRatio,InOutRatioNumber,Value,YearReturn,MonthReturn,WeekReturn,FinanceBalanceDif,ChipsField2" advise="1">
        <values cols="10">
          <value t="str">
            <val>-1.65</val>
          </value>
          <value>
            <val>12.55</val>
          </value>
          <value>
            <val>5.46</val>
          </value>
          <value t="str">
            <val>54.39%</val>
          </value>
          <value t="str">
            <val>1.76億</val>
          </value>
          <value t="str">
            <val>-42.69</val>
          </value>
          <value t="str">
            <val>+24.26</val>
          </value>
          <value t="str">
            <val>+14.09</val>
          </value>
          <value>
            <val>-245</val>
          </value>
          <value>
            <val>0</val>
          </value>
        </values>
      </ddeItem>
      <ddeItem name="2008.TW-ChipsField3,ChipsField1,ChipsField25,CashAndStockDividend,CashDividendYieldRate,ProfitFourSeason,ProfitSingle,CName,ExchangeIndustry,CompanyPos" advise="1">
        <values cols="10">
          <value>
            <val>-2</val>
          </value>
          <value>
            <val>-10</val>
          </value>
          <value t="str">
            <val>--</val>
          </value>
          <value t="str">
            <val>0.00</val>
          </value>
          <value>
            <val>0</val>
          </value>
          <value t="str">
            <val>0.36</val>
          </value>
          <value t="str">
            <val>0.26</val>
          </value>
          <value t="str">
            <val>高興昌</val>
          </value>
          <value t="str">
            <val>上市鋼鐵</val>
          </value>
          <value t="str">
            <val>台灣製管專業製造廠商</val>
          </value>
        </values>
      </ddeItem>
      <ddeItem name="2008.TW-CName,InvestorConferenceDate,DateofMeetingofShareHolders,TradingDate" advise="1">
        <values cols="4">
          <value t="str">
            <val>高興昌</val>
          </value>
          <value t="str">
            <val>2022/10/21</val>
          </value>
          <value t="str">
            <val>2022/06/23</val>
          </value>
          <value t="str">
            <val>2022/12/22</val>
          </value>
        </values>
      </ddeItem>
      <ddeItem name="2008.TW-ID,Name,MarketValue,Capital,NetIncomeGrowthRate,OperIncomeGrowthRate,FinancialStatementsTime,TFXRatio,MonthlyNetSalesYoY,RevenueMonth" advise="1">
        <values cols="10">
          <value t="str">
            <val>2008</val>
          </value>
          <value t="str">
            <val>高興昌</val>
          </value>
          <value t="str">
            <val>35.8</val>
          </value>
          <value t="str">
            <val>20.09</val>
          </value>
          <value t="str">
            <val>55.40</val>
          </value>
          <value t="str">
            <val>22.75</val>
          </value>
          <value t="str">
            <val>2022/09</val>
          </value>
          <value t="str">
            <val>26.82</val>
          </value>
          <value t="str">
            <val>41.37</val>
          </value>
          <value t="str">
            <val>2022/11</val>
          </value>
        </values>
      </ddeItem>
      <ddeItem name="2008.TW-OperatingProfitRatio,Price,PriceChangeRatio,InOutRatioNumber,Value,YearReturn,MonthReturn,WeekReturn,FinanceBalanceDif,ChipsField2" advise="1">
        <values cols="10">
          <value t="str">
            <val>5.29</val>
          </value>
          <value>
            <val>17.8</val>
          </value>
          <value>
            <val>-0.56000000000000005</val>
          </value>
          <value t="str">
            <val>25.18%</val>
          </value>
          <value t="str">
            <val>250萬</val>
          </value>
          <value t="str">
            <val>-11.66</val>
          </value>
          <value t="str">
            <val>+5.33</val>
          </value>
          <value t="str">
            <val>+3.49</val>
          </value>
          <value>
            <val>-8</val>
          </value>
          <value>
            <val>0</val>
          </value>
        </values>
      </ddeItem>
      <ddeItem name="2009.TW-ChipsField3,ChipsField1,ChipsField25,CashAndStockDividend,CashDividendYieldRate,ProfitFourSeason,ProfitSingle,CName,ExchangeIndustry,CompanyPos" advise="1">
        <values cols="10">
          <value>
            <val>-8</val>
          </value>
          <value>
            <val>508</val>
          </value>
          <value t="str">
            <val>2022/07/14</val>
          </value>
          <value t="str">
            <val>1.00</val>
          </value>
          <value>
            <val>3.15</val>
          </value>
          <value t="str">
            <val>0.58</val>
          </value>
          <value t="str">
            <val>0.49</val>
          </value>
          <value t="str">
            <val>第一銅</val>
          </value>
          <value t="str">
            <val>上市鋼鐵</val>
          </value>
          <value t="str">
            <val>台灣銅產品線最完整的企業</val>
          </value>
        </values>
      </ddeItem>
      <ddeItem name="2009.TW-CName,InvestorConferenceDate,DateofMeetingofShareHolders,TradingDate" advise="1">
        <values cols="4">
          <value t="str">
            <val>第一銅</val>
          </value>
          <value t="str">
            <val>2022/11/17</val>
          </value>
          <value t="str">
            <val>2022/06/23</val>
          </value>
          <value t="str">
            <val>2022/12/22</val>
          </value>
        </values>
      </ddeItem>
      <ddeItem name="2009.TW-ID,Name,MarketValue,Capital,NetIncomeGrowthRate,OperIncomeGrowthRate,FinancialStatementsTime,TFXRatio,MonthlyNetSalesYoY,RevenueMonth" advise="1">
        <values cols="10">
          <value t="str">
            <val>2009</val>
          </value>
          <value t="str">
            <val>第一銅</val>
          </value>
          <value t="str">
            <val>114.0</val>
          </value>
          <value t="str">
            <val>35.96</val>
          </value>
          <value t="str">
            <val>-55.05</val>
          </value>
          <value t="str">
            <val>-152.54</val>
          </value>
          <value t="str">
            <val>2022/09</val>
          </value>
          <value t="str">
            <val>1.83</val>
          </value>
          <value t="str">
            <val>-22.74</val>
          </value>
          <value t="str">
            <val>2022/11</val>
          </value>
        </values>
      </ddeItem>
      <ddeItem name="2009.TW-OperatingProfitRatio,Price,PriceChangeRatio,InOutRatioNumber,Value,YearReturn,MonthReturn,WeekReturn,FinanceBalanceDif,ChipsField2" advise="1">
        <values cols="10">
          <value t="str">
            <val>-5.12</val>
          </value>
          <value>
            <val>31.7</val>
          </value>
          <value>
            <val>2.59</val>
          </value>
          <value t="str">
            <val>57.12%</val>
          </value>
          <value t="str">
            <val>1.98億</val>
          </value>
          <value t="str">
            <val>-23.68</val>
          </value>
          <value t="str">
            <val>-0.31</val>
          </value>
          <value t="str">
            <val>-1.25</val>
          </value>
          <value>
            <val>-2</val>
          </value>
          <value>
            <val>0</val>
          </value>
        </values>
      </ddeItem>
      <ddeItem name="201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266</val>
          </value>
          <value t="str">
            <val>2022/04/21</val>
          </value>
          <value t="str">
            <val>1.30</val>
          </value>
          <value>
            <val>8.0500000000000007</val>
          </value>
          <value t="str">
            <val>1.17</val>
          </value>
          <value t="str">
            <val>0.12</val>
          </value>
          <value t="str">
            <val>春源</val>
          </value>
          <value t="str">
            <val>上市鋼鐵</val>
          </value>
          <value t="str">
            <val>台灣最具規模鋼鐵裁剪及通路業者</val>
          </value>
        </values>
      </ddeItem>
      <ddeItem name="2010.TW-CName,InvestorConferenceDate,DateofMeetingofShareHolders,TradingDate" advise="1">
        <values cols="4">
          <value t="str">
            <val>春源</val>
          </value>
          <value t="str">
            <val>2022/10/04</val>
          </value>
          <value t="str">
            <val>2022/06/23</val>
          </value>
          <value t="str">
            <val>2022/12/22</val>
          </value>
        </values>
      </ddeItem>
      <ddeItem name="2010.TW-ID,Name,MarketValue,Capital,NetIncomeGrowthRate,OperIncomeGrowthRate,FinancialStatementsTime,TFXRatio,MonthlyNetSalesYoY,RevenueMonth" advise="1">
        <values cols="10">
          <value t="str">
            <val>2010</val>
          </value>
          <value t="str">
            <val>春源</val>
          </value>
          <value t="str">
            <val>104.6</val>
          </value>
          <value t="str">
            <val>64.77</val>
          </value>
          <value t="str">
            <val>-49.80</val>
          </value>
          <value t="str">
            <val>-51.75</val>
          </value>
          <value t="str">
            <val>2022/09</val>
          </value>
          <value t="str">
            <val>-2.70</val>
          </value>
          <value t="str">
            <val>-23.15</val>
          </value>
          <value t="str">
            <val>2022/11</val>
          </value>
        </values>
      </ddeItem>
      <ddeItem name="2010.TW-OperatingProfitRatio,Price,PriceChangeRatio,InOutRatioNumber,Value,YearReturn,MonthReturn,WeekReturn,FinanceBalanceDif,ChipsField2" advise="1">
        <values cols="10">
          <value t="str">
            <val>2.88</val>
          </value>
          <value>
            <val>16.149999999999999</val>
          </value>
          <value>
            <val>1.25</val>
          </value>
          <value t="str">
            <val>44.12%</val>
          </value>
          <value t="str">
            <val>2021萬</val>
          </value>
          <value t="str">
            <val>-34.43</val>
          </value>
          <value t="str">
            <val>+4.53</val>
          </value>
          <value t="str">
            <val>-0.62</val>
          </value>
          <value>
            <val>38</val>
          </value>
          <value>
            <val>0</val>
          </value>
        </values>
      </ddeItem>
      <ddeItem name="2012.TW-ChipsField3,ChipsField1,ChipsField25,CashAndStockDividend,CashDividendYieldRate,ProfitFourSeason,ProfitSingle,CName,ExchangeIndustry,CompanyPos" advise="1">
        <values cols="10">
          <value>
            <val>1</val>
          </value>
          <value>
            <val>12</val>
          </value>
          <value t="str">
            <val>2022/12/07</val>
          </value>
          <value t="str">
            <val>0.50</val>
          </value>
          <value>
            <val>6.28</val>
          </value>
          <value t="str">
            <val>2.16</val>
          </value>
          <value t="str">
            <val>0.44</val>
          </value>
          <value t="str">
            <val>春雨</val>
          </value>
          <value t="str">
            <val>上市鋼鐵</val>
          </value>
          <value t="str">
            <val>主要外銷歐美及東南亞的線材螺絲廠</val>
          </value>
        </values>
      </ddeItem>
      <ddeItem name="2012.TW-CName,InvestorConferenceDate,DateofMeetingofShareHolders,TradingDate" advise="1">
        <values cols="4">
          <value t="str">
            <val>春雨</val>
          </value>
          <value t="str">
            <val>2022/11/29</val>
          </value>
          <value t="str">
            <val>2022/06/22</val>
          </value>
          <value t="str">
            <val>2022/12/22</val>
          </value>
        </values>
      </ddeItem>
      <ddeItem name="2012.TW-ID,Name,MarketValue,Capital,NetIncomeGrowthRate,OperIncomeGrowthRate,FinancialStatementsTime,TFXRatio,MonthlyNetSalesYoY,RevenueMonth" advise="1">
        <values cols="10">
          <value t="str">
            <val>2012</val>
          </value>
          <value t="str">
            <val>春雨</val>
          </value>
          <value t="str">
            <val>72.2</val>
          </value>
          <value t="str">
            <val>30.22</val>
          </value>
          <value t="str">
            <val>-24.10</val>
          </value>
          <value t="str">
            <val>-11.65</val>
          </value>
          <value t="str">
            <val>2022/09</val>
          </value>
          <value t="str">
            <val>4.50</val>
          </value>
          <value t="str">
            <val>-29.58</val>
          </value>
          <value t="str">
            <val>2022/11</val>
          </value>
        </values>
      </ddeItem>
      <ddeItem name="2012.TW-OperatingProfitRatio,Price,PriceChangeRatio,InOutRatioNumber,Value,YearReturn,MonthReturn,WeekReturn,FinanceBalanceDif,ChipsField2" advise="1">
        <values cols="10">
          <value t="str">
            <val>8.27</val>
          </value>
          <value>
            <val>23.9</val>
          </value>
          <value>
            <val>0.21</val>
          </value>
          <value t="str">
            <val>24.84%</val>
          </value>
          <value t="str">
            <val>379萬</val>
          </value>
          <value t="str">
            <val>-15.91</val>
          </value>
          <value t="str">
            <val>+6.86</val>
          </value>
          <value t="str">
            <val>+3.02</val>
          </value>
          <value>
            <val>23</val>
          </value>
          <value>
            <val>0</val>
          </value>
        </values>
      </ddeItem>
      <ddeItem name="2013.TW-ChipsField3,ChipsField1,ChipsField25,CashAndStockDividend,CashDividendYieldRate,ProfitFourSeason,ProfitSingle,CName,ExchangeIndustry,CompanyPos" advise="1">
        <values cols="10">
          <value>
            <val>-8</val>
          </value>
          <value>
            <val>220</val>
          </value>
          <value t="str">
            <val>2022/07/21</val>
          </value>
          <value t="str">
            <val>2.00</val>
          </value>
          <value>
            <val>3.34</val>
          </value>
          <value t="str">
            <val>2.83</val>
          </value>
          <value t="str">
            <val>0.72</val>
          </value>
          <value t="str">
            <val>中鋼構</val>
          </value>
          <value t="str">
            <val>上市鋼鐵</val>
          </value>
          <value t="str">
            <val>中鋼集團旗下，台灣最大鋼結構廠</val>
          </value>
        </values>
      </ddeItem>
      <ddeItem name="2013.TW-CName,InvestorConferenceDate,DateofMeetingofShareHolders,TradingDate" advise="1">
        <values cols="4">
          <value t="str">
            <val>中鋼構</val>
          </value>
          <value t="str">
            <val>2022/12/21</val>
          </value>
          <value t="str">
            <val>2022/06/22</val>
          </value>
          <value t="str">
            <val>2022/12/22</val>
          </value>
        </values>
      </ddeItem>
      <ddeItem name="2013.TW-ID,Name,MarketValue,Capital,NetIncomeGrowthRate,OperIncomeGrowthRate,FinancialStatementsTime,TFXRatio,MonthlyNetSalesYoY,RevenueMonth" advise="1">
        <values cols="10">
          <value t="str">
            <val>2013</val>
          </value>
          <value t="str">
            <val>中鋼構</val>
          </value>
          <value t="str">
            <val>119.6</val>
          </value>
          <value t="str">
            <val>20.00</val>
          </value>
          <value t="str">
            <val>24.32</val>
          </value>
          <value t="str">
            <val>28.70</val>
          </value>
          <value t="str">
            <val>2022/09</val>
          </value>
          <value t="str">
            <val>-8.76</val>
          </value>
          <value t="str">
            <val>10.08</val>
          </value>
          <value t="str">
            <val>2022/11</val>
          </value>
        </values>
      </ddeItem>
      <ddeItem name="2013.TW-OperatingProfitRatio,Price,PriceChangeRatio,InOutRatioNumber,Value,YearReturn,MonthReturn,WeekReturn,FinanceBalanceDif,ChipsField2" advise="1">
        <values cols="10">
          <value t="str">
            <val>2.12</val>
          </value>
          <value>
            <val>59.8</val>
          </value>
          <value>
            <val>0.67</val>
          </value>
          <value t="str">
            <val>59.16%</val>
          </value>
          <value t="str">
            <val>2685萬</val>
          </value>
          <value t="str">
            <val>-1.40</val>
          </value>
          <value t="str">
            <val>+4.91</val>
          </value>
          <value t="str">
            <val>+2.40</val>
          </value>
          <value>
            <val>-1</val>
          </value>
          <value>
            <val>0</val>
          </value>
        </values>
      </ddeItem>
      <ddeItem name="2014.TW-ChipsField3,ChipsField1,ChipsField25,CashAndStockDividend,CashDividendYieldRate,ProfitFourSeason,ProfitSingle,CName,ExchangeIndustry,CompanyPos" advise="1">
        <values cols="10">
          <value>
            <val>1133</val>
          </value>
          <value>
            <val>10566</val>
          </value>
          <value t="str">
            <val>2022/07/26</val>
          </value>
          <value t="str">
            <val>2.80</val>
          </value>
          <value>
            <val>10.26</val>
          </value>
          <value t="str">
            <val>0.67</val>
          </value>
          <value t="str">
            <val>-0.78</val>
          </value>
          <value t="str">
            <val>中鴻</val>
          </value>
          <value t="str">
            <val>上市鋼鐵</val>
          </value>
          <value t="str">
            <val>中鋼集團旗下，熱軋產品大廠</val>
          </value>
        </values>
      </ddeItem>
      <ddeItem name="2014.TW-CName,InvestorConferenceDate,DateofMeetingofShareHolders,TradingDate" advise="1">
        <values cols="4">
          <value t="str">
            <val>中鴻</val>
          </value>
          <value t="str">
            <val>2022/12/20</val>
          </value>
          <value t="str">
            <val>2022/06/24</val>
          </value>
          <value t="str">
            <val>2022/12/22</val>
          </value>
        </values>
      </ddeItem>
      <ddeItem name="2014.TW-ID,Name,MarketValue,Capital,NetIncomeGrowthRate,OperIncomeGrowthRate,FinancialStatementsTime,TFXRatio,MonthlyNetSalesYoY,RevenueMonth" advise="1">
        <values cols="10">
          <value t="str">
            <val>2014</val>
          </value>
          <value t="str">
            <val>中鴻</val>
          </value>
          <value t="str">
            <val>391.9</val>
          </value>
          <value t="str">
            <val>143.55</val>
          </value>
          <value t="str">
            <val>-98.98</val>
          </value>
          <value t="str">
            <val>-113.27</val>
          </value>
          <value t="str">
            <val>2022/09</val>
          </value>
          <value t="str">
            <val>7.54</val>
          </value>
          <value t="str">
            <val>-38.22</val>
          </value>
          <value t="str">
            <val>2022/11</val>
          </value>
        </values>
      </ddeItem>
      <ddeItem name="2014.TW-OperatingProfitRatio,Price,PriceChangeRatio,InOutRatioNumber,Value,YearReturn,MonthReturn,WeekReturn,FinanceBalanceDif,ChipsField2" advise="1">
        <values cols="10">
          <value t="str">
            <val>-1.97</val>
          </value>
          <value>
            <val>27.3</val>
          </value>
          <value>
            <val>0.74</val>
          </value>
          <value t="str">
            <val>42.86%</val>
          </value>
          <value t="str">
            <val>22.2億</val>
          </value>
          <value t="str">
            <val>-32.10</val>
          </value>
          <value t="str">
            <val>+14.47</val>
          </value>
          <value t="str">
            <val>+5.41</val>
          </value>
          <value>
            <val>5341</val>
          </value>
          <value>
            <val>-17893</val>
          </value>
        </values>
      </ddeItem>
      <ddeItem name="2015.TW-ChipsField3,ChipsField1,ChipsField25,CashAndStockDividend,CashDividendYieldRate,ProfitFourSeason,ProfitSingle,CName,ExchangeIndustry,CompanyPos" advise="1">
        <values cols="10">
          <value>
            <val>-13</val>
          </value>
          <value>
            <val>-9</val>
          </value>
          <value t="str">
            <val>2022/04/07</val>
          </value>
          <value t="str">
            <val>5.00</val>
          </value>
          <value>
            <val>7.73</val>
          </value>
          <value t="str">
            <val>6.16</val>
          </value>
          <value t="str">
            <val>1.01</val>
          </value>
          <value t="str">
            <val>豐興</val>
          </value>
          <value t="str">
            <val>上市鋼鐵</val>
          </value>
          <value t="str">
            <val>台灣三大鋼筋廠之一，位於台中</val>
          </value>
        </values>
      </ddeItem>
      <ddeItem name="2015.TW-CName,InvestorConferenceDate,DateofMeetingofShareHolders,TradingDate" advise="1">
        <values cols="4">
          <value t="str">
            <val>豐興</val>
          </value>
          <value t="str">
            <val>2022/10/28</val>
          </value>
          <value t="str">
            <val>2022/06/09</val>
          </value>
          <value t="str">
            <val>2022/12/22</val>
          </value>
        </values>
      </ddeItem>
      <ddeItem name="2015.TW-ID,Name,MarketValue,Capital,NetIncomeGrowthRate,OperIncomeGrowthRate,FinancialStatementsTime,TFXRatio,MonthlyNetSalesYoY,RevenueMonth" advise="1">
        <values cols="10">
          <value t="str">
            <val>2015</val>
          </value>
          <value t="str">
            <val>豐興</val>
          </value>
          <value t="str">
            <val>376.3</val>
          </value>
          <value t="str">
            <val>58.16</val>
          </value>
          <value t="str">
            <val>-16.04</val>
          </value>
          <value t="str">
            <val>-23.35</val>
          </value>
          <value t="str">
            <val>2022/09</val>
          </value>
          <value t="str">
            <val>25.21</val>
          </value>
          <value t="str">
            <val>-16.44</val>
          </value>
          <value t="str">
            <val>2022/11</val>
          </value>
        </values>
      </ddeItem>
      <ddeItem name="2015.TW-OperatingProfitRatio,Price,PriceChangeRatio,InOutRatioNumber,Value,YearReturn,MonthReturn,WeekReturn,FinanceBalanceDif,ChipsField2" advise="1">
        <values cols="10">
          <value t="str">
            <val>8.49</val>
          </value>
          <value>
            <val>64.7</val>
          </value>
          <value>
            <val>1.0900000000000001</val>
          </value>
          <value t="str">
            <val>35.87%</val>
          </value>
          <value t="str">
            <val>594萬</val>
          </value>
          <value t="str">
            <val>-20.35</val>
          </value>
          <value t="str">
            <val>+4.69</val>
          </value>
          <value t="str">
            <val>-4.15</val>
          </value>
          <value>
            <val>1</val>
          </value>
          <value>
            <val>30</val>
          </value>
        </values>
      </ddeItem>
      <ddeItem name="2017.TW-ChipsField3,ChipsField1,ChipsField25,CashAndStockDividend,CashDividendYieldRate,ProfitFourSeason,ProfitSingle,CName,ExchangeIndustry,CompanyPos" advise="1">
        <values cols="10">
          <value>
            <val>-9</val>
          </value>
          <value>
            <val>-139</val>
          </value>
          <value t="str">
            <val>2022/07/14</val>
          </value>
          <value t="str">
            <val>1.20</val>
          </value>
          <value>
            <val>8.36</val>
          </value>
          <value t="str">
            <val>1.12</val>
          </value>
          <value t="str">
            <val>0.27</val>
          </value>
          <value t="str">
            <val>官田鋼</val>
          </value>
          <value t="str">
            <val>上市鋼鐵</val>
          </value>
          <value t="str">
            <val>台灣盤元及鐵絲大廠</val>
          </value>
        </values>
      </ddeItem>
      <ddeItem name="2017.TW-CName,InvestorConferenceDate,DateofMeetingofShareHolders,TradingDate" advise="1">
        <values cols="4">
          <value t="str">
            <val>官田鋼</val>
          </value>
          <value t="str">
            <val>2022/12/06</val>
          </value>
          <value t="str">
            <val>2022/05/26</val>
          </value>
          <value t="str">
            <val>2022/12/22</val>
          </value>
        </values>
      </ddeItem>
      <ddeItem name="2017.TW-ID,Name,MarketValue,Capital,NetIncomeGrowthRate,OperIncomeGrowthRate,FinancialStatementsTime,TFXRatio,MonthlyNetSalesYoY,RevenueMonth" advise="1">
        <values cols="10">
          <value t="str">
            <val>2017</val>
          </value>
          <value t="str">
            <val>官田鋼</val>
          </value>
          <value t="str">
            <val>52.0</val>
          </value>
          <value t="str">
            <val>36.24</val>
          </value>
          <value t="str">
            <val>-31.55</val>
          </value>
          <value t="str">
            <val>-23.05</val>
          </value>
          <value t="str">
            <val>2022/09</val>
          </value>
          <value t="str">
            <val>-16.76</val>
          </value>
          <value t="str">
            <val>-37.40</val>
          </value>
          <value t="str">
            <val>2022/11</val>
          </value>
        </values>
      </ddeItem>
      <ddeItem name="2017.TW-OperatingProfitRatio,Price,PriceChangeRatio,InOutRatioNumber,Value,YearReturn,MonthReturn,WeekReturn,FinanceBalanceDif,ChipsField2" advise="1">
        <values cols="10">
          <value t="str">
            <val>11.35</val>
          </value>
          <value>
            <val>14.35</val>
          </value>
          <value>
            <val>-0.35</val>
          </value>
          <value t="str">
            <val>38.87%</val>
          </value>
          <value t="str">
            <val>2353萬</val>
          </value>
          <value t="str">
            <val>-23.09</val>
          </value>
          <value t="str">
            <val>+12.55</val>
          </value>
          <value t="str">
            <val>+4.36</val>
          </value>
          <value>
            <val>347</val>
          </value>
          <value>
            <val>0</val>
          </value>
        </values>
      </ddeItem>
      <ddeItem name="2020.TW-ChipsField3,ChipsField1,ChipsField25,CashAndStockDividend,CashDividendYieldRate,ProfitFourSeason,ProfitSingle,CName,ExchangeIndustry,CompanyPos" advise="1">
        <values cols="10">
          <value>
            <val>-15</val>
          </value>
          <value>
            <val>24</val>
          </value>
          <value t="str">
            <val>2022/06/16</val>
          </value>
          <value t="str">
            <val>3.00</val>
          </value>
          <value>
            <val>12.68</val>
          </value>
          <value t="str">
            <val>1.29</val>
          </value>
          <value t="str">
            <val>-0.17</val>
          </value>
          <value t="str">
            <val>美亞</val>
          </value>
          <value t="str">
            <val>上市鋼鐵</val>
          </value>
          <value t="str">
            <val>台灣第一家鋼管專業製造廠</val>
          </value>
        </values>
      </ddeItem>
      <ddeItem name="2020.TW-CName,InvestorConferenceDate,DateofMeetingofShareHolders,TradingDate" advise="1">
        <values cols="4">
          <value t="str">
            <val>美亞</val>
          </value>
          <value t="str">
            <val>2022/12/21</val>
          </value>
          <value t="str">
            <val>2022/06/14</val>
          </value>
          <value t="str">
            <val>2022/12/22</val>
          </value>
        </values>
      </ddeItem>
      <ddeItem name="2020.TW-ID,Name,MarketValue,Capital,NetIncomeGrowthRate,OperIncomeGrowthRate,FinancialStatementsTime,TFXRatio,MonthlyNetSalesYoY,RevenueMonth" advise="1">
        <values cols="10">
          <value t="str">
            <val>2020</val>
          </value>
          <value t="str">
            <val>美亞</val>
          </value>
          <value t="str">
            <val>52.6</val>
          </value>
          <value t="str">
            <val>22.25</val>
          </value>
          <value t="str">
            <val>-71.30</val>
          </value>
          <value t="str">
            <val>-63.67</val>
          </value>
          <value t="str">
            <val>2022/09</val>
          </value>
          <value t="str">
            <val>-2.18</val>
          </value>
          <value t="str">
            <val>4.84</val>
          </value>
          <value t="str">
            <val>2022/11</val>
          </value>
        </values>
      </ddeItem>
      <ddeItem name="2020.TW-OperatingProfitRatio,Price,PriceChangeRatio,InOutRatioNumber,Value,YearReturn,MonthReturn,WeekReturn,FinanceBalanceDif,ChipsField2" advise="1">
        <values cols="10">
          <value t="str">
            <val>3.41</val>
          </value>
          <value>
            <val>23.65</val>
          </value>
          <value>
            <val>0.42</val>
          </value>
          <value t="str">
            <val>30.98%</val>
          </value>
          <value t="str">
            <val>443萬</val>
          </value>
          <value t="str">
            <val>-18.56</val>
          </value>
          <value t="str">
            <val>+1.72</val>
          </value>
          <value t="str">
            <val>-0.21</val>
          </value>
          <value>
            <val>33</val>
          </value>
          <value>
            <val>0</val>
          </value>
        </values>
      </ddeItem>
      <ddeItem name="2022.TW-ChipsField3,ChipsField1,ChipsField25,CashAndStockDividend,CashDividendYieldRate,ProfitFourSeason,ProfitSingle,CName,ExchangeIndustry,CompanyPos" advise="1">
        <values cols="10">
          <value>
            <val>3</val>
          </value>
          <value>
            <val>100</val>
          </value>
          <value t="str">
            <val>--</val>
          </value>
          <value t="str">
            <val>0.00</val>
          </value>
          <value>
            <val>0</val>
          </value>
          <value t="str">
            <val>-0.22</val>
          </value>
          <value t="str">
            <val>-0.17</val>
          </value>
          <value t="str">
            <val>聚亨</val>
          </value>
          <value t="str">
            <val>上市鋼鐵</val>
          </value>
          <value t="str">
            <val>以泰國為生產基地的線材盤元大廠</val>
          </value>
        </values>
      </ddeItem>
      <ddeItem name="2022.TW-CName,InvestorConferenceDate,DateofMeetingofShareHolders,TradingDate" advise="1">
        <values cols="4">
          <value t="str">
            <val>聚亨</val>
          </value>
          <value t="str">
            <val>2022/12/06</val>
          </value>
          <value t="str">
            <val>2022/05/26</val>
          </value>
          <value t="str">
            <val>2022/12/22</val>
          </value>
        </values>
      </ddeItem>
      <ddeItem name="2022.TW-ID,Name,MarketValue,Capital,NetIncomeGrowthRate,OperIncomeGrowthRate,FinancialStatementsTime,TFXRatio,MonthlyNetSalesYoY,RevenueMonth" advise="1">
        <values cols="10">
          <value t="str">
            <val>2022</val>
          </value>
          <value t="str">
            <val>聚亨</val>
          </value>
          <value t="str">
            <val>42.1</val>
          </value>
          <value t="str">
            <val>47.98</val>
          </value>
          <value t="str">
            <val>-110.78</val>
          </value>
          <value t="str">
            <val>-85.83</val>
          </value>
          <value t="str">
            <val>2022/09</val>
          </value>
          <value t="str">
            <val>-2.76</val>
          </value>
          <value t="str">
            <val>29.79</val>
          </value>
          <value t="str">
            <val>2022/11</val>
          </value>
        </values>
      </ddeItem>
      <ddeItem name="2022.TW-OperatingProfitRatio,Price,PriceChangeRatio,InOutRatioNumber,Value,YearReturn,MonthReturn,WeekReturn,FinanceBalanceDif,ChipsField2" advise="1">
        <values cols="10">
          <value t="str">
            <val>1.66</val>
          </value>
          <value>
            <val>8.77</val>
          </value>
          <value>
            <val>0.23</val>
          </value>
          <value t="str">
            <val>41.67%</val>
          </value>
          <value t="str">
            <val>1310萬</val>
          </value>
          <value t="str">
            <val>-38.89</val>
          </value>
          <value t="str">
            <val>+8.67</val>
          </value>
          <value t="str">
            <val>+3.54</val>
          </value>
          <value>
            <val>0</val>
          </value>
          <value>
            <val>0</val>
          </value>
        </values>
      </ddeItem>
      <ddeItem name="2023.TW-ChipsField3,ChipsField1,ChipsField25,CashAndStockDividend,CashDividendYieldRate,ProfitFourSeason,ProfitSingle,CName,ExchangeIndustry,CompanyPos" advise="1">
        <values cols="10">
          <value>
            <val>73</val>
          </value>
          <value>
            <val>-1241</val>
          </value>
          <value t="str">
            <val>2022/08/09</val>
          </value>
          <value t="str">
            <val>1.00</val>
          </value>
          <value>
            <val>5.92</val>
          </value>
          <value t="str">
            <val>1.20</val>
          </value>
          <value t="str">
            <val>-0.19</val>
          </value>
          <value t="str">
            <val>燁輝</val>
          </value>
          <value t="str">
            <val>上市鋼鐵</val>
          </value>
          <value t="str">
            <val>台灣第一大鍍鋅烤漆廠</val>
          </value>
        </values>
      </ddeItem>
      <ddeItem name="2023.TW-CName,InvestorConferenceDate,DateofMeetingofShareHolders,TradingDate" advise="1">
        <values cols="4">
          <value t="str">
            <val>燁輝</val>
          </value>
          <value t="str">
            <val>2022/11/28</val>
          </value>
          <value t="str">
            <val>2022/06/23</val>
          </value>
          <value t="str">
            <val>2022/12/22</val>
          </value>
        </values>
      </ddeItem>
      <ddeItem name="2023.TW-ID,Name,MarketValue,Capital,NetIncomeGrowthRate,OperIncomeGrowthRate,FinancialStatementsTime,TFXRatio,MonthlyNetSalesYoY,RevenueMonth" advise="1">
        <values cols="10">
          <value t="str">
            <val>2023</val>
          </value>
          <value t="str">
            <val>燁輝</val>
          </value>
          <value t="str">
            <val>335.5</val>
          </value>
          <value t="str">
            <val>198.51</val>
          </value>
          <value t="str">
            <val>-75.81</val>
          </value>
          <value t="str">
            <val>-47.98</val>
          </value>
          <value t="str">
            <val>2022/09</val>
          </value>
          <value t="str">
            <val>-17.49</val>
          </value>
          <value t="str">
            <val>-33.69</val>
          </value>
          <value t="str">
            <val>2022/11</val>
          </value>
        </values>
      </ddeItem>
      <ddeItem name="2023.TW-OperatingProfitRatio,Price,PriceChangeRatio,InOutRatioNumber,Value,YearReturn,MonthReturn,WeekReturn,FinanceBalanceDif,ChipsField2" advise="1">
        <values cols="10">
          <value t="str">
            <val>3.13</val>
          </value>
          <value>
            <val>16.899999999999999</val>
          </value>
          <value>
            <val>0.6</val>
          </value>
          <value t="str">
            <val>39.76%</val>
          </value>
          <value t="str">
            <val>2.32億</val>
          </value>
          <value t="str">
            <val>-28.71</val>
          </value>
          <value t="str">
            <val>+13.42</val>
          </value>
          <value t="str">
            <val>+6.62</val>
          </value>
          <value>
            <val>765</val>
          </value>
          <value>
            <val>0</val>
          </value>
        </values>
      </ddeItem>
      <ddeItem name="202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7</val>
          </value>
          <value t="str">
            <val>2022/08/18</val>
          </value>
          <value t="str">
            <val>1.20</val>
          </value>
          <value>
            <val>6.45</val>
          </value>
          <value t="str">
            <val>0.84</val>
          </value>
          <value t="str">
            <val>0.11</val>
          </value>
          <value t="str">
            <val>志聯</val>
          </value>
          <value t="str">
            <val>上市鋼鐵</val>
          </value>
          <value t="str">
            <val>主要從事鋼棒及鋼線生產之廠商</val>
          </value>
        </values>
      </ddeItem>
      <ddeItem name="2024.TW-CName,InvestorConferenceDate,DateofMeetingofShareHolders,TradingDate" advise="1">
        <values cols="4">
          <value t="str">
            <val>志聯</val>
          </value>
          <value t="str">
            <val>2022/12/21</val>
          </value>
          <value t="str">
            <val>2022/05/26</val>
          </value>
          <value t="str">
            <val>2022/12/22</val>
          </value>
        </values>
      </ddeItem>
      <ddeItem name="2024.TW-ID,Name,MarketValue,Capital,NetIncomeGrowthRate,OperIncomeGrowthRate,FinancialStatementsTime,TFXRatio,MonthlyNetSalesYoY,RevenueMonth" advise="1">
        <values cols="10">
          <value t="str">
            <val>2024</val>
          </value>
          <value t="str">
            <val>志聯</val>
          </value>
          <value t="str">
            <val>18.1</val>
          </value>
          <value t="str">
            <val>9.75</val>
          </value>
          <value t="str">
            <val>-53.30</val>
          </value>
          <value t="str">
            <val>-57.64</val>
          </value>
          <value t="str">
            <val>2022/09</val>
          </value>
          <value t="str">
            <val>2.25</val>
          </value>
          <value t="str">
            <val>-23.97</val>
          </value>
          <value t="str">
            <val>2022/11</val>
          </value>
        </values>
      </ddeItem>
      <ddeItem name="2024.TW-OperatingProfitRatio,Price,PriceChangeRatio,InOutRatioNumber,Value,YearReturn,MonthReturn,WeekReturn,FinanceBalanceDif,ChipsField2" advise="1">
        <values cols="10">
          <value t="str">
            <val>6.75</val>
          </value>
          <value>
            <val>18.600000000000001</val>
          </value>
          <value>
            <val>-1.59</val>
          </value>
          <value t="str">
            <val>10.94%</val>
          </value>
          <value t="str">
            <val>253萬</val>
          </value>
          <value t="str">
            <val>-2.90</val>
          </value>
          <value t="str">
            <val>0.00</val>
          </value>
          <value t="str">
            <val>+0.81</val>
          </value>
          <value>
            <val>10</val>
          </value>
          <value>
            <val>0</val>
          </value>
        </values>
      </ddeItem>
      <ddeItem name="202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2.75</val>
          </value>
          <value t="str">
            <val>1.34</val>
          </value>
          <value t="str">
            <val>千興</val>
          </value>
          <value t="str">
            <val>上市鋼鐵</val>
          </value>
          <value t="str">
            <val>台灣不鏽鋼板冷軋廠</val>
          </value>
        </values>
      </ddeItem>
      <ddeItem name="2025.TW-CName,InvestorConferenceDate,DateofMeetingofShareHolders,TradingDate" advise="1">
        <values cols="4">
          <value t="str">
            <val>千興</val>
          </value>
          <value t="str">
            <val>2022/11/30</val>
          </value>
          <value t="str">
            <val>2022/06/14</val>
          </value>
          <value t="str">
            <val>2022/12/22</val>
          </value>
        </values>
      </ddeItem>
      <ddeItem name="2025.TW-ID,Name,MarketValue,Capital,NetIncomeGrowthRate,OperIncomeGrowthRate,FinancialStatementsTime,TFXRatio,MonthlyNetSalesYoY,RevenueMonth" advise="1">
        <values cols="10">
          <value t="str">
            <val>2025</val>
          </value>
          <value t="str">
            <val>千興</val>
          </value>
          <value t="str">
            <val>14.9</val>
          </value>
          <value t="str">
            <val>28.12</val>
          </value>
          <value t="str">
            <val>279.61</val>
          </value>
          <value t="str">
            <val>-134.75</val>
          </value>
          <value t="str">
            <val>2022/09</val>
          </value>
          <value t="str">
            <val>56.35</val>
          </value>
          <value t="str">
            <val>-71.52</val>
          </value>
          <value t="str">
            <val>2022/11</val>
          </value>
        </values>
      </ddeItem>
      <ddeItem name="2025.TW-OperatingProfitRatio,Price,PriceChangeRatio,InOutRatioNumber,Value,YearReturn,MonthReturn,WeekReturn,FinanceBalanceDif,ChipsField2" advise="1">
        <values cols="10">
          <value t="str">
            <val>-5.47</val>
          </value>
          <value>
            <val>5.3</val>
          </value>
          <value>
            <val>-1.49</val>
          </value>
          <value t="str">
            <val>38.94%</val>
          </value>
          <value t="str">
            <val>126萬</val>
          </value>
          <value t="str">
            <val>-13.11</val>
          </value>
          <value t="str">
            <val>+9.28</val>
          </value>
          <value t="str">
            <val>+6.21</val>
          </value>
          <value>
            <val>0</val>
          </value>
          <value>
            <val>0</val>
          </value>
        </values>
      </ddeItem>
      <ddeItem name="2027.TW-ChipsField3,ChipsField1,ChipsField25,CashAndStockDividend,CashDividendYieldRate,ProfitFourSeason,ProfitSingle,CName,ExchangeIndustry,CompanyPos" advise="1">
        <values cols="10">
          <value>
            <val>-675</val>
          </value>
          <value>
            <val>-11035</val>
          </value>
          <value t="str">
            <val>2022/07/20</val>
          </value>
          <value t="str">
            <val>1.90</val>
          </value>
          <value>
            <val>4.32</val>
          </value>
          <value t="str">
            <val>7.67</val>
          </value>
          <value t="str">
            <val>0.87</val>
          </value>
          <value t="str">
            <val>大成鋼</val>
          </value>
          <value t="str">
            <val>上市鋼鐵</val>
          </value>
          <value t="str">
            <val>全美最大不銹鋼管通路商</val>
          </value>
        </values>
      </ddeItem>
      <ddeItem name="2027.TW-CName,InvestorConferenceDate,DateofMeetingofShareHolders,TradingDate" advise="1">
        <values cols="4">
          <value t="str">
            <val>大成鋼</val>
          </value>
          <value t="str">
            <val>2022/12/27</val>
          </value>
          <value t="str">
            <val>2022/06/20</val>
          </value>
          <value t="str">
            <val>2022/12/22</val>
          </value>
        </values>
      </ddeItem>
      <ddeItem name="2027.TW-ID,Name,MarketValue,Capital,NetIncomeGrowthRate,OperIncomeGrowthRate,FinancialStatementsTime,TFXRatio,MonthlyNetSalesYoY,RevenueMonth" advise="1">
        <values cols="10">
          <value t="str">
            <val>2027</val>
          </value>
          <value t="str">
            <val>大成鋼</val>
          </value>
          <value t="str">
            <val>892.6</val>
          </value>
          <value t="str">
            <val>202.86</val>
          </value>
          <value t="str">
            <val>64.60</val>
          </value>
          <value t="str">
            <val>20.67</val>
          </value>
          <value t="str">
            <val>2022/09</val>
          </value>
          <value t="str">
            <val>-18.49</val>
          </value>
          <value t="str">
            <val>-10.21</val>
          </value>
          <value t="str">
            <val>2022/11</val>
          </value>
        </values>
      </ddeItem>
      <ddeItem name="2027.TW-OperatingProfitRatio,Price,PriceChangeRatio,InOutRatioNumber,Value,YearReturn,MonthReturn,WeekReturn,FinanceBalanceDif,ChipsField2" advise="1">
        <values cols="10">
          <value t="str">
            <val>18.00</val>
          </value>
          <value>
            <val>44</val>
          </value>
          <value>
            <val>2.33</val>
          </value>
          <value t="str">
            <val>62.46%</val>
          </value>
          <value t="str">
            <val>16.2億</val>
          </value>
          <value t="str">
            <val>-2.35</val>
          </value>
          <value t="str">
            <val>+9.59</val>
          </value>
          <value t="str">
            <val>-0.45</val>
          </value>
          <value>
            <val>-56</val>
          </value>
          <value>
            <val>12078</val>
          </value>
        </values>
      </ddeItem>
      <ddeItem name="202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134</val>
          </value>
          <value t="str">
            <val>2022/12/26</val>
          </value>
          <value t="str">
            <val>0.85</val>
          </value>
          <value>
            <val>8.6199999999999992</val>
          </value>
          <value t="str">
            <val>3.43</val>
          </value>
          <value t="str">
            <val>0.19</val>
          </value>
          <value t="str">
            <val>威致</val>
          </value>
          <value t="str">
            <val>上市鋼鐵</val>
          </value>
          <value t="str">
            <val>台灣三大電爐廠之一，主要銷售鋼筋及鋼胚</val>
          </value>
        </values>
      </ddeItem>
      <ddeItem name="2028.TW-CName,InvestorConferenceDate,DateofMeetingofShareHolders,TradingDate" advise="1">
        <values cols="4">
          <value t="str">
            <val>威致</val>
          </value>
          <value t="str">
            <val>2022/11/24</val>
          </value>
          <value t="str">
            <val>2022/06/20</val>
          </value>
          <value t="str">
            <val>2022/12/22</val>
          </value>
        </values>
      </ddeItem>
      <ddeItem name="2028.TW-ID,Name,MarketValue,Capital,NetIncomeGrowthRate,OperIncomeGrowthRate,FinancialStatementsTime,TFXRatio,MonthlyNetSalesYoY,RevenueMonth" advise="1">
        <values cols="10">
          <value t="str">
            <val>2028</val>
          </value>
          <value t="str">
            <val>威致</val>
          </value>
          <value t="str">
            <val>94.5</val>
          </value>
          <value t="str">
            <val>32.57</val>
          </value>
          <value t="str">
            <val>-44.63</val>
          </value>
          <value t="str">
            <val>-40.57</val>
          </value>
          <value t="str">
            <val>2022/09</val>
          </value>
          <value t="str">
            <val>38.29</val>
          </value>
          <value t="str">
            <val>-15.12</val>
          </value>
          <value t="str">
            <val>2022/11</val>
          </value>
        </values>
      </ddeItem>
      <ddeItem name="2028.TW-OperatingProfitRatio,Price,PriceChangeRatio,InOutRatioNumber,Value,YearReturn,MonthReturn,WeekReturn,FinanceBalanceDif,ChipsField2" advise="1">
        <values cols="10">
          <value t="str">
            <val>8.87</val>
          </value>
          <value>
            <val>29</val>
          </value>
          <value>
            <val>-1.19</val>
          </value>
          <value t="str">
            <val>37.33%</val>
          </value>
          <value t="str">
            <val>3.09億</val>
          </value>
          <value t="str">
            <val>-30.19</val>
          </value>
          <value t="str">
            <val>+20.83</val>
          </value>
          <value t="str">
            <val>+9.85</val>
          </value>
          <value>
            <val>-96</val>
          </value>
          <value>
            <val>0</val>
          </value>
        </values>
      </ddeItem>
      <ddeItem name="202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210</val>
          </value>
          <value t="str">
            <val>2022/07/14</val>
          </value>
          <value t="str">
            <val>2.55</val>
          </value>
          <value>
            <val>10.119999999999999</val>
          </value>
          <value t="str">
            <val>2.35</val>
          </value>
          <value t="str">
            <val>-0.48</val>
          </value>
          <value t="str">
            <val>盛餘</val>
          </value>
          <value t="str">
            <val>上市鋼鐵</val>
          </value>
          <value t="str">
            <val>台灣鍍面一貫化處理鋼捲製造商</val>
          </value>
        </values>
      </ddeItem>
      <ddeItem name="2029.TW-CName,InvestorConferenceDate,DateofMeetingofShareHolders,TradingDate" advise="1">
        <values cols="4">
          <value t="str">
            <val>盛餘</val>
          </value>
          <value t="str">
            <val>2022/10/27</val>
          </value>
          <value t="str">
            <val>2022/06/17</val>
          </value>
          <value t="str">
            <val>2022/12/22</val>
          </value>
        </values>
      </ddeItem>
      <ddeItem name="2029.TW-ID,Name,MarketValue,Capital,NetIncomeGrowthRate,OperIncomeGrowthRate,FinancialStatementsTime,TFXRatio,MonthlyNetSalesYoY,RevenueMonth" advise="1">
        <values cols="10">
          <value t="str">
            <val>2029</val>
          </value>
          <value t="str">
            <val>盛餘</val>
          </value>
          <value t="str">
            <val>80.9</val>
          </value>
          <value t="str">
            <val>32.12</val>
          </value>
          <value t="str">
            <val>-56.09</val>
          </value>
          <value t="str">
            <val>-62.00</val>
          </value>
          <value t="str">
            <val>2022/09</val>
          </value>
          <value t="str">
            <val>-12.38</val>
          </value>
          <value t="str">
            <val>-42.07</val>
          </value>
          <value t="str">
            <val>2022/11</val>
          </value>
        </values>
      </ddeItem>
      <ddeItem name="2029.TW-OperatingProfitRatio,Price,PriceChangeRatio,InOutRatioNumber,Value,YearReturn,MonthReturn,WeekReturn,FinanceBalanceDif,ChipsField2" advise="1">
        <values cols="10">
          <value t="str">
            <val>4.23</val>
          </value>
          <value>
            <val>25.2</val>
          </value>
          <value>
            <val>2.86</val>
          </value>
          <value t="str">
            <val>56.83%</val>
          </value>
          <value t="str">
            <val>4706萬</val>
          </value>
          <value t="str">
            <val>-19.00</val>
          </value>
          <value t="str">
            <val>+4.35</val>
          </value>
          <value t="str">
            <val>+5.66</val>
          </value>
          <value>
            <val>53</val>
          </value>
          <value>
            <val>0</val>
          </value>
        </values>
      </ddeItem>
      <ddeItem name="2030.TW-ChipsField3,ChipsField1,ChipsField25,CashAndStockDividend,CashDividendYieldRate,ProfitFourSeason,ProfitSingle,CName,ExchangeIndustry,CompanyPos" advise="1">
        <values cols="10">
          <value>
            <val>-13</val>
          </value>
          <value>
            <val>1409</val>
          </value>
          <value t="str">
            <val>2022/07/21</val>
          </value>
          <value t="str">
            <val>2.00</val>
          </value>
          <value>
            <val>8.4600000000000009</val>
          </value>
          <value t="str">
            <val>4.12</val>
          </value>
          <value t="str">
            <val>0.02</val>
          </value>
          <value t="str">
            <val>彰源</val>
          </value>
          <value t="str">
            <val>上市鋼鐵</val>
          </value>
          <value t="str">
            <val>台灣前二大不鏽鋼管製造廠</val>
          </value>
        </values>
      </ddeItem>
      <ddeItem name="2030.TW-CName,InvestorConferenceDate,DateofMeetingofShareHolders,TradingDate" advise="1">
        <values cols="4">
          <value t="str">
            <val>彰源</val>
          </value>
          <value t="str">
            <val>2022/06/23</val>
          </value>
          <value t="str">
            <val>2022/06/21</val>
          </value>
          <value t="str">
            <val>2022/12/22</val>
          </value>
        </values>
      </ddeItem>
      <ddeItem name="2030.TW-ID,Name,MarketValue,Capital,NetIncomeGrowthRate,OperIncomeGrowthRate,FinancialStatementsTime,TFXRatio,MonthlyNetSalesYoY,RevenueMonth" advise="1">
        <values cols="10">
          <value t="str">
            <val>2030</val>
          </value>
          <value t="str">
            <val>彰源</val>
          </value>
          <value t="str">
            <val>66.3</val>
          </value>
          <value t="str">
            <val>28.05</val>
          </value>
          <value t="str">
            <val>-6.55</val>
          </value>
          <value t="str">
            <val>-1.75</val>
          </value>
          <value t="str">
            <val>2022/09</val>
          </value>
          <value t="str">
            <val>1.75</val>
          </value>
          <value t="str">
            <val>-25.51</val>
          </value>
          <value t="str">
            <val>2022/11</val>
          </value>
        </values>
      </ddeItem>
      <ddeItem name="2030.TW-OperatingProfitRatio,Price,PriceChangeRatio,InOutRatioNumber,Value,YearReturn,MonthReturn,WeekReturn,FinanceBalanceDif,ChipsField2" advise="1">
        <values cols="10">
          <value t="str">
            <val>8.25</val>
          </value>
          <value>
            <val>23.65</val>
          </value>
          <value>
            <val>1.07</val>
          </value>
          <value t="str">
            <val>47.52%</val>
          </value>
          <value t="str">
            <val>1.47億</val>
          </value>
          <value t="str">
            <val>-18.11</val>
          </value>
          <value t="str">
            <val>+6.05</val>
          </value>
          <value t="str">
            <val>+2.83</val>
          </value>
          <value>
            <val>-254</val>
          </value>
          <value>
            <val>0</val>
          </value>
        </values>
      </ddeItem>
      <ddeItem name="2031.TW-ChipsField3,ChipsField1,ChipsField25,CashAndStockDividend,CashDividendYieldRate,ProfitFourSeason,ProfitSingle,CName,ExchangeIndustry,CompanyPos" advise="1">
        <values cols="10">
          <value>
            <val>195</val>
          </value>
          <value>
            <val>69</val>
          </value>
          <value t="str">
            <val>2022/07/06</val>
          </value>
          <value t="str">
            <val>4.00</val>
          </value>
          <value>
            <val>9.0399999999999991</val>
          </value>
          <value t="str">
            <val>2.47</val>
          </value>
          <value t="str">
            <val>-0.48</val>
          </value>
          <value t="str">
            <val>新光鋼</val>
          </value>
          <value t="str">
            <val>上市鋼鐵</val>
          </value>
          <value t="str">
            <val>台灣鋼剪裁大廠，以內銷為主</val>
          </value>
        </values>
      </ddeItem>
      <ddeItem name="2031.TW-CName,InvestorConferenceDate,DateofMeetingofShareHolders,TradingDate" advise="1">
        <values cols="4">
          <value t="str">
            <val>新光鋼</val>
          </value>
          <value t="str">
            <val>2022/03/22</val>
          </value>
          <value t="str">
            <val>2022/06/15</val>
          </value>
          <value t="str">
            <val>2022/12/22</val>
          </value>
        </values>
      </ddeItem>
      <ddeItem name="2031.TW-ID,Name,MarketValue,Capital,NetIncomeGrowthRate,OperIncomeGrowthRate,FinancialStatementsTime,TFXRatio,MonthlyNetSalesYoY,RevenueMonth" advise="1">
        <values cols="10">
          <value t="str">
            <val>2031</val>
          </value>
          <value t="str">
            <val>新光鋼</val>
          </value>
          <value t="str">
            <val>142.1</val>
          </value>
          <value t="str">
            <val>32.11</val>
          </value>
          <value t="str">
            <val>-89.54</val>
          </value>
          <value t="str">
            <val>-66.08</val>
          </value>
          <value t="str">
            <val>2022/09</val>
          </value>
          <value t="str">
            <val>-6.91</val>
          </value>
          <value t="str">
            <val>33.11</val>
          </value>
          <value t="str">
            <val>2022/11</val>
          </value>
        </values>
      </ddeItem>
      <ddeItem name="2031.TW-OperatingProfitRatio,Price,PriceChangeRatio,InOutRatioNumber,Value,YearReturn,MonthReturn,WeekReturn,FinanceBalanceDif,ChipsField2" advise="1">
        <values cols="10">
          <value t="str">
            <val>5.59</val>
          </value>
          <value>
            <val>44.25</val>
          </value>
          <value>
            <val>6.5</val>
          </value>
          <value t="str">
            <val>60.65%</val>
          </value>
          <value t="str">
            <val>4.46億</val>
          </value>
          <value t="str">
            <val>-17.76</val>
          </value>
          <value t="str">
            <val>+17.06</val>
          </value>
          <value t="str">
            <val>+9.26</val>
          </value>
          <value>
            <val>183</val>
          </value>
          <value>
            <val>140</val>
          </value>
        </values>
      </ddeItem>
      <ddeItem name="2032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420</val>
          </value>
          <value t="str">
            <val>2022/06/29</val>
          </value>
          <value t="str">
            <val>1.18</val>
          </value>
          <value>
            <val>5.55</val>
          </value>
          <value t="str">
            <val>0.23</val>
          </value>
          <value t="str">
            <val>0.10</val>
          </value>
          <value t="str">
            <val>新鋼</val>
          </value>
          <value t="str">
            <val>上市鋼鐵</val>
          </value>
          <value t="str">
            <val>以內銷為主的不鏽鋼裁剪加工廠</val>
          </value>
        </values>
      </ddeItem>
      <ddeItem name="2032.TW-CName,InvestorConferenceDate,DateofMeetingofShareHolders,TradingDate" advise="1">
        <values cols="4">
          <value t="str">
            <val>新鋼</val>
          </value>
          <value t="str">
            <val>2022/01/11</val>
          </value>
          <value t="str">
            <val>2022/06/14</val>
          </value>
          <value t="str">
            <val>2022/12/22</val>
          </value>
        </values>
      </ddeItem>
      <ddeItem name="2032.TW-ID,Name,MarketValue,Capital,NetIncomeGrowthRate,OperIncomeGrowthRate,FinancialStatementsTime,TFXRatio,MonthlyNetSalesYoY,RevenueMonth" advise="1">
        <values cols="10">
          <value t="str">
            <val>2032</val>
          </value>
          <value t="str">
            <val>新鋼</val>
          </value>
          <value t="str">
            <val>27.7</val>
          </value>
          <value t="str">
            <val>13.05</val>
          </value>
          <value t="str">
            <val>-81.37</val>
          </value>
          <value t="str">
            <val>-95.23</val>
          </value>
          <value t="str">
            <val>2022/09</val>
          </value>
          <value t="str">
            <val>25.53</val>
          </value>
          <value t="str">
            <val>-17.39</val>
          </value>
          <value t="str">
            <val>2022/11</val>
          </value>
        </values>
      </ddeItem>
      <ddeItem name="2032.TW-OperatingProfitRatio,Price,PriceChangeRatio,InOutRatioNumber,Value,YearReturn,MonthReturn,WeekReturn,FinanceBalanceDif,ChipsField2" advise="1">
        <values cols="10">
          <value t="str">
            <val>0.36</val>
          </value>
          <value>
            <val>21.25</val>
          </value>
          <value>
            <val>-0.23</val>
          </value>
          <value t="str">
            <val>53.47%</val>
          </value>
          <value t="str">
            <val>1.59億</val>
          </value>
          <value t="str">
            <val>-8.37</val>
          </value>
          <value t="str">
            <val>+16.44</val>
          </value>
          <value t="str">
            <val>+10.68</val>
          </value>
          <value>
            <val>632</val>
          </value>
          <value>
            <val>0</val>
          </value>
        </values>
      </ddeItem>
      <ddeItem name="2033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6</val>
          </value>
          <value t="str">
            <val>2022/07/22</val>
          </value>
          <value t="str">
            <val>0.20</val>
          </value>
          <value>
            <val>1.2</val>
          </value>
          <value t="str">
            <val>-0.01</val>
          </value>
          <value t="str">
            <val>-0.05</val>
          </value>
          <value t="str">
            <val>佳大</val>
          </value>
          <value t="str">
            <val>上市鋼鐵</val>
          </value>
          <value t="str">
            <val>致力於鋼線鋼纜產品業務</val>
          </value>
        </values>
      </ddeItem>
      <ddeItem name="2033.TW-CName,InvestorConferenceDate,DateofMeetingofShareHolders,TradingDate" advise="1">
        <values cols="4">
          <value t="str">
            <val>佳大</val>
          </value>
          <value t="str">
            <val>2022/12/13</val>
          </value>
          <value t="str">
            <val>2022/06/21</val>
          </value>
          <value t="str">
            <val>2022/12/22</val>
          </value>
        </values>
      </ddeItem>
      <ddeItem name="2033.TW-ID,Name,MarketValue,Capital,NetIncomeGrowthRate,OperIncomeGrowthRate,FinancialStatementsTime,TFXRatio,MonthlyNetSalesYoY,RevenueMonth" advise="1">
        <values cols="10">
          <value t="str">
            <val>2033</val>
          </value>
          <value t="str">
            <val>佳大</val>
          </value>
          <value t="str">
            <val>13.5</val>
          </value>
          <value t="str">
            <val>8.07</val>
          </value>
          <value t="str">
            <val>-141.65</val>
          </value>
          <value t="str">
            <val>-144.75</val>
          </value>
          <value t="str">
            <val>2022/09</val>
          </value>
          <value t="str">
            <val>-11.48</val>
          </value>
          <value t="str">
            <val>-23.73</val>
          </value>
          <value t="str">
            <val>2022/11</val>
          </value>
        </values>
      </ddeItem>
      <ddeItem name="2033.TW-OperatingProfitRatio,Price,PriceChangeRatio,InOutRatioNumber,Value,YearReturn,MonthReturn,WeekReturn,FinanceBalanceDif,ChipsField2" advise="1">
        <values cols="10">
          <value t="str">
            <val>-0.70</val>
          </value>
          <value>
            <val>16.7</val>
          </value>
          <value>
            <val>0.3</val>
          </value>
          <value t="str">
            <val>51.89%</val>
          </value>
          <value t="str">
            <val>6847萬</val>
          </value>
          <value t="str">
            <val>-6.48</val>
          </value>
          <value t="str">
            <val>+23.70</val>
          </value>
          <value t="str">
            <val>+16.38</val>
          </value>
          <value>
            <val>67</val>
          </value>
          <value>
            <val>0</val>
          </value>
        </values>
      </ddeItem>
      <ddeItem name="2034.TW-ChipsField3,ChipsField1,ChipsField25,CashAndStockDividend,CashDividendYieldRate,ProfitFourSeason,ProfitSingle,CName,ExchangeIndustry,CompanyPos" advise="1">
        <values cols="10">
          <value>
            <val>-6</val>
          </value>
          <value>
            <val>634</val>
          </value>
          <value t="str">
            <val>2022/07/19</val>
          </value>
          <value t="str">
            <val>1.50</val>
          </value>
          <value>
            <val>5.04</val>
          </value>
          <value t="str">
            <val>3.36</val>
          </value>
          <value t="str">
            <val>0.60</val>
          </value>
          <value t="str">
            <val>允強</val>
          </value>
          <value t="str">
            <val>上市鋼鐵</val>
          </value>
          <value t="str">
            <val>亞洲最大不鏽鋼管加工裁剪廠</val>
          </value>
        </values>
      </ddeItem>
      <ddeItem name="2034.TW-CName,InvestorConferenceDate,DateofMeetingofShareHolders,TradingDate" advise="1">
        <values cols="4">
          <value t="str">
            <val>允強</val>
          </value>
          <value t="str">
            <val>--</val>
          </value>
          <value t="str">
            <val>2022/06/16</val>
          </value>
          <value t="str">
            <val>2022/12/22</val>
          </value>
        </values>
      </ddeItem>
      <ddeItem name="2034.TW-ID,Name,MarketValue,Capital,NetIncomeGrowthRate,OperIncomeGrowthRate,FinancialStatementsTime,TFXRatio,MonthlyNetSalesYoY,RevenueMonth" advise="1">
        <values cols="10">
          <value t="str">
            <val>2034</val>
          </value>
          <value t="str">
            <val>允強</val>
          </value>
          <value t="str">
            <val>132.5</val>
          </value>
          <value t="str">
            <val>44.54</val>
          </value>
          <value t="str">
            <val>27.81</val>
          </value>
          <value t="str">
            <val>11.35</val>
          </value>
          <value t="str">
            <val>2022/09</val>
          </value>
          <value t="str">
            <val>-0.91</val>
          </value>
          <value t="str">
            <val>-30.24</val>
          </value>
          <value t="str">
            <val>2022/11</val>
          </value>
        </values>
      </ddeItem>
      <ddeItem name="2034.TW-OperatingProfitRatio,Price,PriceChangeRatio,InOutRatioNumber,Value,YearReturn,MonthReturn,WeekReturn,FinanceBalanceDif,ChipsField2" advise="1">
        <values cols="10">
          <value t="str">
            <val>8.18</val>
          </value>
          <value>
            <val>29.75</val>
          </value>
          <value>
            <val>2.76</val>
          </value>
          <value t="str">
            <val>58.47%</val>
          </value>
          <value t="str">
            <val>2.89億</val>
          </value>
          <value t="str">
            <val>-4.92</val>
          </value>
          <value t="str">
            <val>+4.20</val>
          </value>
          <value t="str">
            <val>+4.75</val>
          </value>
          <value>
            <val>326</val>
          </value>
          <value>
            <val>0</val>
          </value>
        </values>
      </ddeItem>
      <ddeItem name="2038.TW-ChipsField3,ChipsField1,ChipsField25,CashAndStockDividend,CashDividendYieldRate,ProfitFourSeason,ProfitSingle,CName,ExchangeIndustry,CompanyPos" advise="1">
        <values cols="10">
          <value>
            <val>-8</val>
          </value>
          <value>
            <val>169</val>
          </value>
          <value t="str">
            <val>2022/08/26</val>
          </value>
          <value t="str">
            <val>1.50</val>
          </value>
          <value>
            <val>6.3</val>
          </value>
          <value t="str">
            <val>1.77</val>
          </value>
          <value t="str">
            <val>0.30</val>
          </value>
          <value t="str">
            <val>海光</val>
          </value>
          <value t="str">
            <val>上市鋼鐵</val>
          </value>
          <value t="str">
            <val>台灣鋼筋大廠之一</val>
          </value>
        </values>
      </ddeItem>
      <ddeItem name="2038.TW-CName,InvestorConferenceDate,DateofMeetingofShareHolders,TradingDate" advise="1">
        <values cols="4">
          <value t="str">
            <val>海光</val>
          </value>
          <value t="str">
            <val>2022/11/30</val>
          </value>
          <value t="str">
            <val>2022/06/21</val>
          </value>
          <value t="str">
            <val>2022/12/22</val>
          </value>
        </values>
      </ddeItem>
      <ddeItem name="2038.TW-ID,Name,MarketValue,Capital,NetIncomeGrowthRate,OperIncomeGrowthRate,FinancialStatementsTime,TFXRatio,MonthlyNetSalesYoY,RevenueMonth" advise="1">
        <values cols="10">
          <value t="str">
            <val>2038</val>
          </value>
          <value t="str">
            <val>海光</val>
          </value>
          <value t="str">
            <val>43.1</val>
          </value>
          <value t="str">
            <val>18.13</val>
          </value>
          <value t="str">
            <val>-45.76</val>
          </value>
          <value t="str">
            <val>-85.94</val>
          </value>
          <value t="str">
            <val>2022/09</val>
          </value>
          <value t="str">
            <val>-0.40</val>
          </value>
          <value t="str">
            <val>-11.16</val>
          </value>
          <value t="str">
            <val>2022/11</val>
          </value>
        </values>
      </ddeItem>
      <ddeItem name="2038.TW-OperatingProfitRatio,Price,PriceChangeRatio,InOutRatioNumber,Value,YearReturn,MonthReturn,WeekReturn,FinanceBalanceDif,ChipsField2" advise="1">
        <values cols="10">
          <value t="str">
            <val>0.58</val>
          </value>
          <value>
            <val>23.8</val>
          </value>
          <value>
            <val>3.93</val>
          </value>
          <value t="str">
            <val>54.41%</val>
          </value>
          <value t="str">
            <val>3.86億</val>
          </value>
          <value t="str">
            <val>-30.70</val>
          </value>
          <value t="str">
            <val>+21.74</val>
          </value>
          <value t="str">
            <val>+16.10</val>
          </value>
          <value>
            <val>-141</val>
          </value>
          <value>
            <val>0</val>
          </value>
        </values>
      </ddeItem>
      <ddeItem name="2049.TW-ChipsField3,ChipsField1,ChipsField25,CashAndStockDividend,CashDividendYieldRate,ProfitFourSeason,ProfitSingle,CName,ExchangeIndustry,CompanyPos" advise="1">
        <values cols="10">
          <value>
            <val>23</val>
          </value>
          <value>
            <val>-147</val>
          </value>
          <value t="str">
            <val>2022/07/12</val>
          </value>
          <value t="str">
            <val>4.50</val>
          </value>
          <value>
            <val>2.48</val>
          </value>
          <value t="str">
            <val>13.49</val>
          </value>
          <value t="str">
            <val>4.13</val>
          </value>
          <value t="str">
            <val>上銀</val>
          </value>
          <value t="str">
            <val>上市電機機械</val>
          </value>
          <value t="str">
            <val>全球前三大滾珠螺桿廠商</val>
          </value>
        </values>
      </ddeItem>
      <ddeItem name="2049.TW-CName,InvestorConferenceDate,DateofMeetingofShareHolders,TradingDate" advise="1">
        <values cols="4">
          <value t="str">
            <val>上銀</val>
          </value>
          <value t="str">
            <val>2022/11/18</val>
          </value>
          <value t="str">
            <val>2022/06/27</val>
          </value>
          <value t="str">
            <val>2022/12/22</val>
          </value>
        </values>
      </ddeItem>
      <ddeItem name="2049.TW-ID,Name,MarketValue,Capital,NetIncomeGrowthRate,OperIncomeGrowthRate,FinancialStatementsTime,TFXRatio,MonthlyNetSalesYoY,RevenueMonth" advise="1">
        <values cols="10">
          <value t="str">
            <val>2049</val>
          </value>
          <value t="str">
            <val>上銀</val>
          </value>
          <value t="str">
            <val>642.1</val>
          </value>
          <value t="str">
            <val>35.38</val>
          </value>
          <value t="str">
            <val>40.64</val>
          </value>
          <value t="str">
            <val>28.46</val>
          </value>
          <value t="str">
            <val>2022/09</val>
          </value>
          <value t="str">
            <val>-14.58</val>
          </value>
          <value t="str">
            <val>-20.31</val>
          </value>
          <value t="str">
            <val>2022/11</val>
          </value>
        </values>
      </ddeItem>
      <ddeItem name="2049.TW-OperatingProfitRatio,Price,PriceChangeRatio,InOutRatioNumber,Value,YearReturn,MonthReturn,WeekReturn,FinanceBalanceDif,ChipsField2" advise="1">
        <values cols="10">
          <value t="str">
            <val>21.38</val>
          </value>
          <value>
            <val>181.5</val>
          </value>
          <value>
            <val>0.28000000000000003</val>
          </value>
          <value t="str">
            <val>51.25%</val>
          </value>
          <value t="str">
            <val>9630萬</val>
          </value>
          <value t="str">
            <val>-36.27</val>
          </value>
          <value t="str">
            <val>+0.55</val>
          </value>
          <value t="str">
            <val>-3.97</val>
          </value>
          <value>
            <val>18</val>
          </value>
          <value>
            <val>0</val>
          </value>
        </values>
      </ddeItem>
      <ddeItem name="2059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21</val>
          </value>
          <value t="str">
            <val>2022/08/30</val>
          </value>
          <value t="str">
            <val>10.88</val>
          </value>
          <value>
            <val>2.74</val>
          </value>
          <value t="str">
            <val>42.13</val>
          </value>
          <value t="str">
            <val>15.55</val>
          </value>
          <value t="str">
            <val>川湖</val>
          </value>
          <value t="str">
            <val>上市電子零組件</val>
          </value>
          <value t="str">
            <val>全球知名伺服器導軌廠</val>
          </value>
        </values>
      </ddeItem>
      <ddeItem name="2059.TW-CName,InvestorConferenceDate,DateofMeetingofShareHolders,TradingDate" advise="1">
        <values cols="4">
          <value t="str">
            <val>川湖</val>
          </value>
          <value t="str">
            <val>2022/11/10</val>
          </value>
          <value t="str">
            <val>2022/06/29</val>
          </value>
          <value t="str">
            <val>2022/12/22</val>
          </value>
        </values>
      </ddeItem>
      <ddeItem name="2059.TW-ID,Name,MarketValue,Capital,NetIncomeGrowthRate,OperIncomeGrowthRate,FinancialStatementsTime,TFXRatio,MonthlyNetSalesYoY,RevenueMonth" advise="1">
        <values cols="10">
          <value t="str">
            <val>2059</val>
          </value>
          <value t="str">
            <val>川湖</val>
          </value>
          <value t="str">
            <val>378.8</val>
          </value>
          <value t="str">
            <val>9.53</val>
          </value>
          <value t="str">
            <val>134.07</val>
          </value>
          <value t="str">
            <val>43.25</val>
          </value>
          <value t="str">
            <val>2022/09</val>
          </value>
          <value t="str">
            <val>-9.26</val>
          </value>
          <value t="str">
            <val>8.24</val>
          </value>
          <value t="str">
            <val>2022/11</val>
          </value>
        </values>
      </ddeItem>
      <ddeItem name="2059.TW-OperatingProfitRatio,Price,PriceChangeRatio,InOutRatioNumber,Value,YearReturn,MonthReturn,WeekReturn,FinanceBalanceDif,ChipsField2" advise="1">
        <values cols="10">
          <value t="str">
            <val>47.35</val>
          </value>
          <value>
            <val>397.5</val>
          </value>
          <value>
            <val>2.3199999999999998</val>
          </value>
          <value t="str">
            <val>69.30%</val>
          </value>
          <value t="str">
            <val>8616萬</val>
          </value>
          <value t="str">
            <val>-16.76</val>
          </value>
          <value t="str">
            <val>-1.12</val>
          </value>
          <value t="str">
            <val>-1.36</val>
          </value>
          <value>
            <val>-10</val>
          </value>
          <value>
            <val>0</val>
          </value>
        </values>
      </ddeItem>
      <ddeItem name="2062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78</val>
          </value>
          <value t="str">
            <val>2022/11/17</val>
          </value>
          <value t="str">
            <val>0.50</val>
          </value>
          <value>
            <val>2.23</val>
          </value>
          <value t="str">
            <val>4.41</val>
          </value>
          <value t="str">
            <val>1.17</val>
          </value>
          <value t="str">
            <val>橋椿</val>
          </value>
          <value t="str">
            <val>上市其他</val>
          </value>
          <value t="str">
            <val>全球最大鋅合金水龍頭零組件廠</val>
          </value>
        </values>
      </ddeItem>
      <ddeItem name="2062.TW-CName,InvestorConferenceDate,DateofMeetingofShareHolders,TradingDate" advise="1">
        <values cols="4">
          <value t="str">
            <val>橋椿</val>
          </value>
          <value t="str">
            <val>2022/09/20</val>
          </value>
          <value t="str">
            <val>2022/04/29</val>
          </value>
          <value t="str">
            <val>2022/12/22</val>
          </value>
        </values>
      </ddeItem>
      <ddeItem name="2062.TW-ID,Name,MarketValue,Capital,NetIncomeGrowthRate,OperIncomeGrowthRate,FinancialStatementsTime,TFXRatio,MonthlyNetSalesYoY,RevenueMonth" advise="1">
        <values cols="10">
          <value t="str">
            <val>2062</val>
          </value>
          <value t="str">
            <val>橋椿</val>
          </value>
          <value t="str">
            <val>44.8</val>
          </value>
          <value t="str">
            <val>20.00</val>
          </value>
          <value t="str">
            <val>128.47</val>
          </value>
          <value t="str">
            <val>61.91</val>
          </value>
          <value t="str">
            <val>2022/09</val>
          </value>
          <value t="str">
            <val>14.77</val>
          </value>
          <value t="str">
            <val>-25.54</val>
          </value>
          <value t="str">
            <val>2022/11</val>
          </value>
        </values>
      </ddeItem>
      <ddeItem name="2062.TW-OperatingProfitRatio,Price,PriceChangeRatio,InOutRatioNumber,Value,YearReturn,MonthReturn,WeekReturn,FinanceBalanceDif,ChipsField2" advise="1">
        <values cols="10">
          <value t="str">
            <val>9.03</val>
          </value>
          <value>
            <val>22.4</val>
          </value>
          <value>
            <val>0</val>
          </value>
          <value t="str">
            <val>30.77%</val>
          </value>
          <value t="str">
            <val>291萬</val>
          </value>
          <value t="str">
            <val>-14.79</val>
          </value>
          <value t="str">
            <val>+4.43</val>
          </value>
          <value t="str">
            <val>-1.10</val>
          </value>
          <value>
            <val>-23</val>
          </value>
          <value>
            <val>0</val>
          </value>
        </values>
      </ddeItem>
      <ddeItem name="2069.TW-ChipsField3,ChipsField1,ChipsField25,CashAndStockDividend,CashDividendYieldRate,ProfitFourSeason,ProfitSingle,CName,ExchangeIndustry,CompanyPos" advise="1">
        <values cols="10">
          <value>
            <val>-7</val>
          </value>
          <value>
            <val>249</val>
          </value>
          <value t="str">
            <val>2022/07/12</val>
          </value>
          <value t="str">
            <val>2.20</val>
          </value>
          <value>
            <val>10.23</val>
          </value>
          <value t="str">
            <val>2.78</val>
          </value>
          <value t="str">
            <val>-0.56</val>
          </value>
          <value t="str">
            <val>運錩</val>
          </value>
          <value t="str">
            <val>上市鋼鐵</val>
          </value>
          <value t="str">
            <val>台灣不銹鋼材料加工製造廠</val>
          </value>
        </values>
      </ddeItem>
      <ddeItem name="2069.TW-CName,InvestorConferenceDate,DateofMeetingofShareHolders,TradingDate" advise="1">
        <values cols="4">
          <value t="str">
            <val>運錩</val>
          </value>
          <value t="str">
            <val>2022/11/30</val>
          </value>
          <value t="str">
            <val>2022/06/15</val>
          </value>
          <value t="str">
            <val>2022/12/22</val>
          </value>
        </values>
      </ddeItem>
      <ddeItem name="2069.TW-ID,Name,MarketValue,Capital,NetIncomeGrowthRate,OperIncomeGrowthRate,FinancialStatementsTime,TFXRatio,MonthlyNetSalesYoY,RevenueMonth" advise="1">
        <values cols="10">
          <value t="str">
            <val>2069</val>
          </value>
          <value t="str">
            <val>運錩</val>
          </value>
          <value t="str">
            <val>35.8</val>
          </value>
          <value t="str">
            <val>16.64</val>
          </value>
          <value t="str">
            <val>-57.38</val>
          </value>
          <value t="str">
            <val>-32.06</val>
          </value>
          <value t="str">
            <val>2022/09</val>
          </value>
          <value t="str">
            <val>36.11</val>
          </value>
          <value t="str">
            <val>-25.75</val>
          </value>
          <value t="str">
            <val>2022/11</val>
          </value>
        </values>
      </ddeItem>
      <ddeItem name="2069.TW-OperatingProfitRatio,Price,PriceChangeRatio,InOutRatioNumber,Value,YearReturn,MonthReturn,WeekReturn,FinanceBalanceDif,ChipsField2" advise="1">
        <values cols="10">
          <value t="str">
            <val>3.94</val>
          </value>
          <value>
            <val>21.5</val>
          </value>
          <value>
            <val>2.87</val>
          </value>
          <value t="str">
            <val>56.10%</val>
          </value>
          <value t="str">
            <val>5249萬</val>
          </value>
          <value t="str">
            <val>-33.88</val>
          </value>
          <value t="str">
            <val>+8.59</val>
          </value>
          <value t="str">
            <val>+6.44</val>
          </value>
          <value>
            <val>285</val>
          </value>
          <value>
            <val>0</val>
          </value>
        </values>
      </ddeItem>
      <ddeItem name="2101.TW-ChipsField3,ChipsField1,ChipsField25,CashAndStockDividend,CashDividendYieldRate,ProfitFourSeason,ProfitSingle,CName,ExchangeIndustry,CompanyPos" advise="1">
        <values cols="10">
          <value>
            <val>-42</val>
          </value>
          <value>
            <val>-100</val>
          </value>
          <value t="str">
            <val>--</val>
          </value>
          <value t="str">
            <val>0.00</val>
          </value>
          <value>
            <val>0</val>
          </value>
          <value t="str">
            <val>-1.29</val>
          </value>
          <value t="str">
            <val>-0.09</val>
          </value>
          <value t="str">
            <val>南港</val>
          </value>
          <value t="str">
            <val>上市橡膠</val>
          </value>
          <value t="str">
            <val>台灣擁有土地資產的老牌輪胎廠</val>
          </value>
        </values>
      </ddeItem>
      <ddeItem name="2101.TW-CName,InvestorConferenceDate,DateofMeetingofShareHolders,TradingDate" advise="1">
        <values cols="4">
          <value t="str">
            <val>南港</val>
          </value>
          <value t="str">
            <val>2022/11/07</val>
          </value>
          <value t="str">
            <val>2022/05/18</val>
          </value>
          <value t="str">
            <val>2022/12/22</val>
          </value>
        </values>
      </ddeItem>
      <ddeItem name="2101.TW-ID,Name,MarketValue,Capital,NetIncomeGrowthRate,OperIncomeGrowthRate,FinancialStatementsTime,TFXRatio,MonthlyNetSalesYoY,RevenueMonth" advise="1">
        <values cols="10">
          <value t="str">
            <val>2101</val>
          </value>
          <value t="str">
            <val>南港</val>
          </value>
          <value t="str">
            <val>281.9</val>
          </value>
          <value t="str">
            <val>83.39</val>
          </value>
          <value t="str">
            <val>-282.88</val>
          </value>
          <value t="str">
            <val>58.17</val>
          </value>
          <value t="str">
            <val>2022/09</val>
          </value>
          <value t="str">
            <val>-8.37</val>
          </value>
          <value t="str">
            <val>-25.84</val>
          </value>
          <value t="str">
            <val>2022/11</val>
          </value>
        </values>
      </ddeItem>
      <ddeItem name="2101.TW-OperatingProfitRatio,Price,PriceChangeRatio,InOutRatioNumber,Value,YearReturn,MonthReturn,WeekReturn,FinanceBalanceDif,ChipsField2" advise="1">
        <values cols="10">
          <value t="str">
            <val>-4.42</val>
          </value>
          <value>
            <val>33.799999999999997</val>
          </value>
          <value>
            <val>0</val>
          </value>
          <value t="str">
            <val>38.42%</val>
          </value>
          <value t="str">
            <val>1304萬</val>
          </value>
          <value t="str">
            <val>-12.66</val>
          </value>
          <value t="str">
            <val>-3.43</val>
          </value>
          <value t="str">
            <val>-2.03</val>
          </value>
          <value>
            <val>0</val>
          </value>
          <value>
            <val>0</val>
          </value>
        </values>
      </ddeItem>
      <ddeItem name="2102.TW-ChipsField3,ChipsField1,ChipsField25,CashAndStockDividend,CashDividendYieldRate,ProfitFourSeason,ProfitSingle,CName,ExchangeIndustry,CompanyPos" advise="1">
        <values cols="10">
          <value>
            <val>-19</val>
          </value>
          <value>
            <val>377</val>
          </value>
          <value t="str">
            <val>--</val>
          </value>
          <value t="str">
            <val>0.00</val>
          </value>
          <value>
            <val>0</val>
          </value>
          <value t="str">
            <val>-2.02</val>
          </value>
          <value t="str">
            <val>-0.28</val>
          </value>
          <value t="str">
            <val>泰豐</val>
          </value>
          <value t="str">
            <val>上市橡膠</val>
          </value>
          <value t="str">
            <val>台灣輪胎製造商</val>
          </value>
        </values>
      </ddeItem>
      <ddeItem name="2102.TW-CName,InvestorConferenceDate,DateofMeetingofShareHolders,TradingDate" advise="1">
        <values cols="4">
          <value t="str">
            <val>泰豐</val>
          </value>
          <value t="str">
            <val>2022/10/12</val>
          </value>
          <value t="str">
            <val>2022/06/15</val>
          </value>
          <value t="str">
            <val>2022/12/22</val>
          </value>
        </values>
      </ddeItem>
      <ddeItem name="2102.TW-ID,Name,MarketValue,Capital,NetIncomeGrowthRate,OperIncomeGrowthRate,FinancialStatementsTime,TFXRatio,MonthlyNetSalesYoY,RevenueMonth" advise="1">
        <values cols="10">
          <value t="str">
            <val>2102</val>
          </value>
          <value t="str">
            <val>泰豐</val>
          </value>
          <value t="str">
            <val>98.0</val>
          </value>
          <value t="str">
            <val>47.33</val>
          </value>
          <value t="str">
            <val>76.30</val>
          </value>
          <value t="str">
            <val>66.74</val>
          </value>
          <value t="str">
            <val>2022/09</val>
          </value>
          <value t="str">
            <val>9.66</val>
          </value>
          <value t="str">
            <val>15.26</val>
          </value>
          <value t="str">
            <val>2022/11</val>
          </value>
        </values>
      </ddeItem>
      <ddeItem name="2102.TW-OperatingProfitRatio,Price,PriceChangeRatio,InOutRatioNumber,Value,YearReturn,MonthReturn,WeekReturn,FinanceBalanceDif,ChipsField2" advise="1">
        <values cols="10">
          <value t="str">
            <val>-39.41</val>
          </value>
          <value>
            <val>20.7</val>
          </value>
          <value>
            <val>-0.96</val>
          </value>
          <value t="str">
            <val>35.84%</val>
          </value>
          <value t="str">
            <val>367萬</val>
          </value>
          <value t="str">
            <val>-23.90</val>
          </value>
          <value t="str">
            <val>+3.76</val>
          </value>
          <value t="str">
            <val>-2.59</val>
          </value>
          <value>
            <val>-44</val>
          </value>
          <value>
            <val>0</val>
          </value>
        </values>
      </ddeItem>
      <ddeItem name="2103.TW-ChipsField3,ChipsField1,ChipsField25,CashAndStockDividend,CashDividendYieldRate,ProfitFourSeason,ProfitSingle,CName,ExchangeIndustry,CompanyPos" advise="1">
        <values cols="10">
          <value>
            <val>-20</val>
          </value>
          <value>
            <val>-137</val>
          </value>
          <value t="str">
            <val>2022/07/19</val>
          </value>
          <value t="str">
            <val>2.40</val>
          </value>
          <value>
            <val>8.81</val>
          </value>
          <value t="str">
            <val>2.89</val>
          </value>
          <value t="str">
            <val>0.48</val>
          </value>
          <value t="str">
            <val>台橡</val>
          </value>
          <value t="str">
            <val>上市橡膠</val>
          </value>
          <value t="str">
            <val>全球前七大橡膠生產製造商</val>
          </value>
        </values>
      </ddeItem>
      <ddeItem name="2103.TW-CName,InvestorConferenceDate,DateofMeetingofShareHolders,TradingDate" advise="1">
        <values cols="4">
          <value t="str">
            <val>台橡</val>
          </value>
          <value t="str">
            <val>2022/11/04</val>
          </value>
          <value t="str">
            <val>2022/06/17</val>
          </value>
          <value t="str">
            <val>2022/12/22</val>
          </value>
        </values>
      </ddeItem>
      <ddeItem name="2103.TW-ID,Name,MarketValue,Capital,NetIncomeGrowthRate,OperIncomeGrowthRate,FinancialStatementsTime,TFXRatio,MonthlyNetSalesYoY,RevenueMonth" advise="1">
        <values cols="10">
          <value t="str">
            <val>2103</val>
          </value>
          <value t="str">
            <val>台橡</val>
          </value>
          <value t="str">
            <val>225.0</val>
          </value>
          <value t="str">
            <val>82.57</val>
          </value>
          <value t="str">
            <val>-44.82</val>
          </value>
          <value t="str">
            <val>-17.74</val>
          </value>
          <value t="str">
            <val>2022/09</val>
          </value>
          <value t="str">
            <val>1.06</val>
          </value>
          <value t="str">
            <val>-11.71</val>
          </value>
          <value t="str">
            <val>2022/11</val>
          </value>
        </values>
      </ddeItem>
      <ddeItem name="2103.TW-OperatingProfitRatio,Price,PriceChangeRatio,InOutRatioNumber,Value,YearReturn,MonthReturn,WeekReturn,FinanceBalanceDif,ChipsField2" advise="1">
        <values cols="10">
          <value t="str">
            <val>9.26</val>
          </value>
          <value>
            <val>27.25</val>
          </value>
          <value>
            <val>1.1100000000000001</val>
          </value>
          <value t="str">
            <val>43.86%</val>
          </value>
          <value t="str">
            <val>1089萬</val>
          </value>
          <value t="str">
            <val>-30.63</val>
          </value>
          <value t="str">
            <val>+2.83</val>
          </value>
          <value t="str">
            <val>-2.68</val>
          </value>
          <value>
            <val>-8</val>
          </value>
          <value>
            <val>0</val>
          </value>
        </values>
      </ddeItem>
      <ddeItem name="2104.TW-ChipsField3,ChipsField1,ChipsField25,CashAndStockDividend,CashDividendYieldRate,ProfitFourSeason,ProfitSingle,CName,ExchangeIndustry,CompanyPos" advise="1">
        <values cols="10">
          <value>
            <val>-38</val>
          </value>
          <value>
            <val>129</val>
          </value>
          <value t="str">
            <val>2022/06/23</val>
          </value>
          <value t="str">
            <val>0.20</val>
          </value>
          <value>
            <val>1.03</val>
          </value>
          <value t="str">
            <val>2.87</val>
          </value>
          <value t="str">
            <val>0.57</val>
          </value>
          <value t="str">
            <val>國際中橡</val>
          </value>
          <value t="str">
            <val>上市橡膠</val>
          </value>
          <value t="str">
            <val>全球市佔率前五大的碳煙公司</val>
          </value>
        </values>
      </ddeItem>
      <ddeItem name="2104.TW-CName,InvestorConferenceDate,DateofMeetingofShareHolders,TradingDate" advise="1">
        <values cols="4">
          <value t="str">
            <val>國際中橡</val>
          </value>
          <value t="str">
            <val>2022/11/14</val>
          </value>
          <value t="str">
            <val>2022/05/27</val>
          </value>
          <value t="str">
            <val>2022/12/22</val>
          </value>
        </values>
      </ddeItem>
      <ddeItem name="2104.TW-ID,Name,MarketValue,Capital,NetIncomeGrowthRate,OperIncomeGrowthRate,FinancialStatementsTime,TFXRatio,MonthlyNetSalesYoY,RevenueMonth" advise="1">
        <values cols="10">
          <value t="str">
            <val>2104</val>
          </value>
          <value t="str">
            <val>國際中橡</val>
          </value>
          <value t="str">
            <val>191.5</val>
          </value>
          <value t="str">
            <val>98.47</val>
          </value>
          <value t="str">
            <val>-37.20</val>
          </value>
          <value t="str">
            <val>-8.33</val>
          </value>
          <value t="str">
            <val>2022/09</val>
          </value>
          <value t="str">
            <val>-21.63</val>
          </value>
          <value t="str">
            <val>-62.88</val>
          </value>
          <value t="str">
            <val>2022/11</val>
          </value>
        </values>
      </ddeItem>
      <ddeItem name="2104.TW-OperatingProfitRatio,Price,PriceChangeRatio,InOutRatioNumber,Value,YearReturn,MonthReturn,WeekReturn,FinanceBalanceDif,ChipsField2" advise="1">
        <values cols="10">
          <value t="str">
            <val>8.24</val>
          </value>
          <value>
            <val>19.45</val>
          </value>
          <value>
            <val>1.04</val>
          </value>
          <value t="str">
            <val>66.42%</val>
          </value>
          <value t="str">
            <val>1902萬</val>
          </value>
          <value t="str">
            <val>-27.89</val>
          </value>
          <value t="str">
            <val>-5.35</val>
          </value>
          <value t="str">
            <val>-2.99</val>
          </value>
          <value>
            <val>-19</val>
          </value>
          <value>
            <val>0</val>
          </value>
        </values>
      </ddeItem>
      <ddeItem name="2105.TW-ChipsField3,ChipsField1,ChipsField25,CashAndStockDividend,CashDividendYieldRate,ProfitFourSeason,ProfitSingle,CName,ExchangeIndustry,CompanyPos" advise="1">
        <values cols="10">
          <value>
            <val>-329</val>
          </value>
          <value>
            <val>567</val>
          </value>
          <value t="str">
            <val>2022/07/25</val>
          </value>
          <value t="str">
            <val>1.20</val>
          </value>
          <value>
            <val>3.53</val>
          </value>
          <value t="str">
            <val>1.53</val>
          </value>
          <value t="str">
            <val>0.47</val>
          </value>
          <value t="str">
            <val>正新</val>
          </value>
          <value t="str">
            <val>上市橡膠</val>
          </value>
          <value t="str">
            <val>台灣最大、全球前十大輪胎製造商</val>
          </value>
        </values>
      </ddeItem>
      <ddeItem name="2105.TW-CName,InvestorConferenceDate,DateofMeetingofShareHolders,TradingDate" advise="1">
        <values cols="4">
          <value t="str">
            <val>正新</val>
          </value>
          <value t="str">
            <val>2021/12/27</val>
          </value>
          <value t="str">
            <val>2022/05/31</val>
          </value>
          <value t="str">
            <val>2022/12/22</val>
          </value>
        </values>
      </ddeItem>
      <ddeItem name="2105.TW-ID,Name,MarketValue,Capital,NetIncomeGrowthRate,OperIncomeGrowthRate,FinancialStatementsTime,TFXRatio,MonthlyNetSalesYoY,RevenueMonth" advise="1">
        <values cols="10">
          <value t="str">
            <val>2105</val>
          </value>
          <value t="str">
            <val>正新</val>
          </value>
          <value t="str">
            <val>1102.1</val>
          </value>
          <value t="str">
            <val>324.14</val>
          </value>
          <value t="str">
            <val>-7.18</val>
          </value>
          <value t="str">
            <val>-11.03</val>
          </value>
          <value t="str">
            <val>2022/09</val>
          </value>
          <value t="str">
            <val>-1.99</val>
          </value>
          <value t="str">
            <val>-4.63</val>
          </value>
          <value t="str">
            <val>2022/11</val>
          </value>
        </values>
      </ddeItem>
      <ddeItem name="2105.TW-OperatingProfitRatio,Price,PriceChangeRatio,InOutRatioNumber,Value,YearReturn,MonthReturn,WeekReturn,FinanceBalanceDif,ChipsField2" advise="1">
        <values cols="10">
          <value t="str">
            <val>7.43</val>
          </value>
          <value>
            <val>34</val>
          </value>
          <value>
            <val>1.19</val>
          </value>
          <value t="str">
            <val>50.36%</val>
          </value>
          <value t="str">
            <val>4773萬</val>
          </value>
          <value t="str">
            <val>-1.16</val>
          </value>
          <value t="str">
            <val>+0.74</val>
          </value>
          <value t="str">
            <val>-1.59</val>
          </value>
          <value>
            <val>22</val>
          </value>
          <value>
            <val>-740</val>
          </value>
        </values>
      </ddeItem>
      <ddeItem name="2106.TW-ChipsField3,ChipsField1,ChipsField25,CashAndStockDividend,CashDividendYieldRate,ProfitFourSeason,ProfitSingle,CName,ExchangeIndustry,CompanyPos" advise="1">
        <values cols="10">
          <value>
            <val>-11</val>
          </value>
          <value>
            <val>-68</val>
          </value>
          <value t="str">
            <val>2022/09/05</val>
          </value>
          <value t="str">
            <val>1.00</val>
          </value>
          <value>
            <val>3.32</val>
          </value>
          <value t="str">
            <val>0.52</val>
          </value>
          <value t="str">
            <val>0.25</val>
          </value>
          <value t="str">
            <val>建大</val>
          </value>
          <value t="str">
            <val>上市橡膠</val>
          </value>
          <value t="str">
            <val>台灣第二大輪胎廠</val>
          </value>
        </values>
      </ddeItem>
      <ddeItem name="2106.TW-CName,InvestorConferenceDate,DateofMeetingofShareHolders,TradingDate" advise="1">
        <values cols="4">
          <value t="str">
            <val>建大</val>
          </value>
          <value t="str">
            <val>--</val>
          </value>
          <value t="str">
            <val>2022/06/30</val>
          </value>
          <value t="str">
            <val>2022/12/22</val>
          </value>
        </values>
      </ddeItem>
      <ddeItem name="2106.TW-ID,Name,MarketValue,Capital,NetIncomeGrowthRate,OperIncomeGrowthRate,FinancialStatementsTime,TFXRatio,MonthlyNetSalesYoY,RevenueMonth" advise="1">
        <values cols="10">
          <value t="str">
            <val>2106</val>
          </value>
          <value t="str">
            <val>建大</val>
          </value>
          <value t="str">
            <val>274.2</val>
          </value>
          <value t="str">
            <val>90.94</val>
          </value>
          <value t="str">
            <val>-33.72</val>
          </value>
          <value t="str">
            <val>-68.93</val>
          </value>
          <value t="str">
            <val>2022/09</val>
          </value>
          <value t="str">
            <val>-13.51</val>
          </value>
          <value t="str">
            <val>2.47</val>
          </value>
          <value t="str">
            <val>2022/11</val>
          </value>
        </values>
      </ddeItem>
      <ddeItem name="2106.TW-OperatingProfitRatio,Price,PriceChangeRatio,InOutRatioNumber,Value,YearReturn,MonthReturn,WeekReturn,FinanceBalanceDif,ChipsField2" advise="1">
        <values cols="10">
          <value t="str">
            <val>1.74</val>
          </value>
          <value>
            <val>30.15</val>
          </value>
          <value>
            <val>0</val>
          </value>
          <value t="str">
            <val>19.88%</val>
          </value>
          <value t="str">
            <val>996萬</val>
          </value>
          <value t="str">
            <val>+2.16</val>
          </value>
          <value t="str">
            <val>-1.95</val>
          </value>
          <value t="str">
            <val>-0.99</val>
          </value>
          <value>
            <val>-9</val>
          </value>
          <value>
            <val>0</val>
          </value>
        </values>
      </ddeItem>
      <ddeItem name="2107.TW-ChipsField3,ChipsField1,ChipsField25,CashAndStockDividend,CashDividendYieldRate,ProfitFourSeason,ProfitSingle,CName,ExchangeIndustry,CompanyPos" advise="1">
        <values cols="10">
          <value>
            <val>-4</val>
          </value>
          <value>
            <val>7</val>
          </value>
          <value t="str">
            <val>2022/07/01</val>
          </value>
          <value t="str">
            <val>1.20</val>
          </value>
          <value>
            <val>5.49</val>
          </value>
          <value t="str">
            <val>2.65</val>
          </value>
          <value t="str">
            <val>0.94</val>
          </value>
          <value t="str">
            <val>厚生</val>
          </value>
          <value t="str">
            <val>上市橡膠</val>
          </value>
          <value t="str">
            <val>主要從事營建與倉儲業務，也從事於橡膠與塑膠皮加工</val>
          </value>
        </values>
      </ddeItem>
      <ddeItem name="2107.TW-CName,InvestorConferenceDate,DateofMeetingofShareHolders,TradingDate" advise="1">
        <values cols="4">
          <value t="str">
            <val>厚生</val>
          </value>
          <value t="str">
            <val>2022/12/02</val>
          </value>
          <value t="str">
            <val>2022/06/08</val>
          </value>
          <value t="str">
            <val>2022/12/22</val>
          </value>
        </values>
      </ddeItem>
      <ddeItem name="2107.TW-ID,Name,MarketValue,Capital,NetIncomeGrowthRate,OperIncomeGrowthRate,FinancialStatementsTime,TFXRatio,MonthlyNetSalesYoY,RevenueMonth" advise="1">
        <values cols="10">
          <value t="str">
            <val>2107</val>
          </value>
          <value t="str">
            <val>厚生</val>
          </value>
          <value t="str">
            <val>73.7</val>
          </value>
          <value t="str">
            <val>33.73</val>
          </value>
          <value t="str">
            <val>22.00</val>
          </value>
          <value t="str">
            <val>-31.85</val>
          </value>
          <value t="str">
            <val>2022/09</val>
          </value>
          <value t="str">
            <val>26.81</val>
          </value>
          <value t="str">
            <val>-1.76</val>
          </value>
          <value t="str">
            <val>2022/11</val>
          </value>
        </values>
      </ddeItem>
      <ddeItem name="2107.TW-OperatingProfitRatio,Price,PriceChangeRatio,InOutRatioNumber,Value,YearReturn,MonthReturn,WeekReturn,FinanceBalanceDif,ChipsField2" advise="1">
        <values cols="10">
          <value t="str">
            <val>21.69</val>
          </value>
          <value>
            <val>21.85</val>
          </value>
          <value>
            <val>0.69</val>
          </value>
          <value t="str">
            <val>46.67%</val>
          </value>
          <value t="str">
            <val>43.7萬</val>
          </value>
          <value t="str">
            <val>+2.74</val>
          </value>
          <value t="str">
            <val>+2.82</val>
          </value>
          <value t="str">
            <val>-0.46</val>
          </value>
          <value>
            <val>-1</val>
          </value>
          <value>
            <val>0</val>
          </value>
        </values>
      </ddeItem>
      <ddeItem name="2108.TW-ChipsField3,ChipsField1,ChipsField25,CashAndStockDividend,CashDividendYieldRate,ProfitFourSeason,ProfitSingle,CName,ExchangeIndustry,CompanyPos" advise="1">
        <values cols="10">
          <value>
            <val>-403</val>
          </value>
          <value>
            <val>-332</val>
          </value>
          <value t="str">
            <val>2022/03/24</val>
          </value>
          <value t="str">
            <val>7.00</val>
          </value>
          <value>
            <val>18.28</val>
          </value>
          <value t="str">
            <val>3.58</val>
          </value>
          <value t="str">
            <val>0.33</val>
          </value>
          <value t="str">
            <val>南帝</val>
          </value>
          <value t="str">
            <val>上市橡膠</val>
          </value>
          <value t="str">
            <val>全球前五大NBR乳膠廠</val>
          </value>
        </values>
      </ddeItem>
      <ddeItem name="2108.TW-CName,InvestorConferenceDate,DateofMeetingofShareHolders,TradingDate" advise="1">
        <values cols="4">
          <value t="str">
            <val>南帝</val>
          </value>
          <value t="str">
            <val>2022/08/26</val>
          </value>
          <value t="str">
            <val>2022/05/26</val>
          </value>
          <value t="str">
            <val>2022/12/22</val>
          </value>
        </values>
      </ddeItem>
      <ddeItem name="2108.TW-ID,Name,MarketValue,Capital,NetIncomeGrowthRate,OperIncomeGrowthRate,FinancialStatementsTime,TFXRatio,MonthlyNetSalesYoY,RevenueMonth" advise="1">
        <values cols="10">
          <value t="str">
            <val>2108</val>
          </value>
          <value t="str">
            <val>南帝</val>
          </value>
          <value t="str">
            <val>188.6</val>
          </value>
          <value t="str">
            <val>49.24</val>
          </value>
          <value t="str">
            <val>-81.68</val>
          </value>
          <value t="str">
            <val>-85.50</val>
          </value>
          <value t="str">
            <val>2022/09</val>
          </value>
          <value t="str">
            <val>1.37</val>
          </value>
          <value t="str">
            <val>-39.24</val>
          </value>
          <value t="str">
            <val>2022/11</val>
          </value>
        </values>
      </ddeItem>
      <ddeItem name="2108.TW-OperatingProfitRatio,Price,PriceChangeRatio,InOutRatioNumber,Value,YearReturn,MonthReturn,WeekReturn,FinanceBalanceDif,ChipsField2" advise="1">
        <values cols="10">
          <value t="str">
            <val>13.56</val>
          </value>
          <value>
            <val>38.299999999999997</val>
          </value>
          <value>
            <val>1.73</val>
          </value>
          <value t="str">
            <val>44.75%</val>
          </value>
          <value t="str">
            <val>2368萬</val>
          </value>
          <value t="str">
            <val>-51.40</val>
          </value>
          <value t="str">
            <val>+5.51</val>
          </value>
          <value t="str">
            <val>+0.13</val>
          </value>
          <value>
            <val>52</val>
          </value>
          <value>
            <val>1</val>
          </value>
        </values>
      </ddeItem>
      <ddeItem name="2109.TW-ChipsField3,ChipsField1,ChipsField25,CashAndStockDividend,CashDividendYieldRate,ProfitFourSeason,ProfitSingle,CName,ExchangeIndustry,CompanyPos" advise="1">
        <values cols="10">
          <value>
            <val>-8</val>
          </value>
          <value>
            <val>-3</val>
          </value>
          <value t="str">
            <val>2022/09/15</val>
          </value>
          <value t="str">
            <val>0.50</val>
          </value>
          <value>
            <val>6.94</val>
          </value>
          <value t="str">
            <val>1.29</val>
          </value>
          <value t="str">
            <val>0.50</val>
          </value>
          <value t="str">
            <val>華豐</val>
          </value>
          <value t="str">
            <val>上市橡膠</val>
          </value>
          <value t="str">
            <val>台灣前六大輪胎廠</val>
          </value>
        </values>
      </ddeItem>
      <ddeItem name="2109.TW-CName,InvestorConferenceDate,DateofMeetingofShareHolders,TradingDate" advise="1">
        <values cols="4">
          <value t="str">
            <val>華豐</val>
          </value>
          <value t="str">
            <val>2022/12/05</val>
          </value>
          <value t="str">
            <val>2022/06/14</val>
          </value>
          <value t="str">
            <val>2022/12/22</val>
          </value>
        </values>
      </ddeItem>
      <ddeItem name="2109.TW-ID,Name,MarketValue,Capital,NetIncomeGrowthRate,OperIncomeGrowthRate,FinancialStatementsTime,TFXRatio,MonthlyNetSalesYoY,RevenueMonth" advise="1">
        <values cols="10">
          <value t="str">
            <val>2109</val>
          </value>
          <value t="str">
            <val>華豐</val>
          </value>
          <value t="str">
            <val>40.2</val>
          </value>
          <value t="str">
            <val>27.93</val>
          </value>
          <value t="str">
            <val>0.55</val>
          </value>
          <value t="str">
            <val>-15.94</val>
          </value>
          <value t="str">
            <val>2022/09</val>
          </value>
          <value t="str">
            <val>-5.65</val>
          </value>
          <value t="str">
            <val>-19.68</val>
          </value>
          <value t="str">
            <val>2022/11</val>
          </value>
        </values>
      </ddeItem>
      <ddeItem name="2109.TW-OperatingProfitRatio,Price,PriceChangeRatio,InOutRatioNumber,Value,YearReturn,MonthReturn,WeekReturn,FinanceBalanceDif,ChipsField2" advise="1">
        <values cols="10">
          <value t="str">
            <val>10.99</val>
          </value>
          <value>
            <val>14.4</val>
          </value>
          <value>
            <val>-0.35</val>
          </value>
          <value t="str">
            <val>17.91%</val>
          </value>
          <value t="str">
            <val>96.9萬</val>
          </value>
          <value t="str">
            <val>-9.06</val>
          </value>
          <value t="str">
            <val>-2.37</val>
          </value>
          <value t="str">
            <val>-1.71</val>
          </value>
          <value>
            <val>0</val>
          </value>
          <value>
            <val>0</val>
          </value>
        </values>
      </ddeItem>
      <ddeItem name="211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</val>
          </value>
          <value t="str">
            <val>2022/07/12</val>
          </value>
          <value t="str">
            <val>7.00</val>
          </value>
          <value>
            <val>7.17</val>
          </value>
          <value t="str">
            <val>5.71</val>
          </value>
          <value t="str">
            <val>1.42</val>
          </value>
          <value t="str">
            <val>鑫永銓</val>
          </value>
          <value t="str">
            <val>上市橡膠</val>
          </value>
          <value t="str">
            <val>台灣最大、全球前十大橡膠輸送帶商</val>
          </value>
        </values>
      </ddeItem>
      <ddeItem name="2114.TW-CName,InvestorConferenceDate,DateofMeetingofShareHolders,TradingDate" advise="1">
        <values cols="4">
          <value t="str">
            <val>鑫永銓</val>
          </value>
          <value t="str">
            <val>2022/12/16</val>
          </value>
          <value t="str">
            <val>2022/06/22</val>
          </value>
          <value t="str">
            <val>2022/12/22</val>
          </value>
        </values>
      </ddeItem>
      <ddeItem name="2114.TW-ID,Name,MarketValue,Capital,NetIncomeGrowthRate,OperIncomeGrowthRate,FinancialStatementsTime,TFXRatio,MonthlyNetSalesYoY,RevenueMonth" advise="1">
        <values cols="10">
          <value t="str">
            <val>2114</val>
          </value>
          <value t="str">
            <val>鑫永銓</val>
          </value>
          <value t="str">
            <val>76.1</val>
          </value>
          <value t="str">
            <val>7.80</val>
          </value>
          <value t="str">
            <val>-65.70</val>
          </value>
          <value t="str">
            <val>15.75</val>
          </value>
          <value t="str">
            <val>2022/09</val>
          </value>
          <value t="str">
            <val>-0.22</val>
          </value>
          <value t="str">
            <val>-17.92</val>
          </value>
          <value t="str">
            <val>2022/11</val>
          </value>
        </values>
      </ddeItem>
      <ddeItem name="2114.TW-OperatingProfitRatio,Price,PriceChangeRatio,InOutRatioNumber,Value,YearReturn,MonthReturn,WeekReturn,FinanceBalanceDif,ChipsField2" advise="1">
        <values cols="10">
          <value t="str">
            <val>31.99</val>
          </value>
          <value>
            <val>97.6</val>
          </value>
          <value>
            <val>-0.81</val>
          </value>
          <value t="str">
            <val>0.00%</val>
          </value>
          <value t="str">
            <val>9.76萬</val>
          </value>
          <value t="str">
            <val>-13.55</val>
          </value>
          <value t="str">
            <val>+1.88</val>
          </value>
          <value t="str">
            <val>-1.91</val>
          </value>
          <value>
            <val>-2</val>
          </value>
          <value>
            <val>0</val>
          </value>
        </values>
      </ddeItem>
      <ddeItem name="211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2022/07/06</val>
          </value>
          <value t="str">
            <val>2.00</val>
          </value>
          <value>
            <val>6.8</val>
          </value>
          <value t="str">
            <val>2.61</val>
          </value>
          <value t="str">
            <val>0.54</val>
          </value>
          <value t="str">
            <val>六暉-KY</val>
          </value>
          <value t="str">
            <val>上市汽車</val>
          </value>
          <value t="str">
            <val>全球最大氣門嘴製造商</val>
          </value>
        </values>
      </ddeItem>
      <ddeItem name="2115.TW-CName,InvestorConferenceDate,DateofMeetingofShareHolders,TradingDate" advise="1">
        <values cols="4">
          <value t="str">
            <val>六暉-KY</val>
          </value>
          <value t="str">
            <val>2022/11/28</val>
          </value>
          <value t="str">
            <val>2022/06/13</val>
          </value>
          <value t="str">
            <val>2022/12/22</val>
          </value>
        </values>
      </ddeItem>
      <ddeItem name="2115.TW-ID,Name,MarketValue,Capital,NetIncomeGrowthRate,OperIncomeGrowthRate,FinancialStatementsTime,TFXRatio,MonthlyNetSalesYoY,RevenueMonth" advise="1">
        <values cols="10">
          <value t="str">
            <val>2115</val>
          </value>
          <value t="str">
            <val>六暉-KY</val>
          </value>
          <value t="str">
            <val>29.2</val>
          </value>
          <value t="str">
            <val>9.94</val>
          </value>
          <value t="str">
            <val>-45.97</val>
          </value>
          <value t="str">
            <val>-32.06</val>
          </value>
          <value t="str">
            <val>2022/09</val>
          </value>
          <value t="str">
            <val>-13.91</val>
          </value>
          <value t="str">
            <val>-30.83</val>
          </value>
          <value t="str">
            <val>2022/11</val>
          </value>
        </values>
      </ddeItem>
      <ddeItem name="2115.TW-OperatingProfitRatio,Price,PriceChangeRatio,InOutRatioNumber,Value,YearReturn,MonthReturn,WeekReturn,FinanceBalanceDif,ChipsField2" advise="1">
        <values cols="10">
          <value t="str">
            <val>11.21</val>
          </value>
          <value>
            <val>29.4</val>
          </value>
          <value>
            <val>0.86</val>
          </value>
          <value t="str">
            <val>5.00%</val>
          </value>
          <value t="str">
            <val>58.5萬</val>
          </value>
          <value t="str">
            <val>-22.79</val>
          </value>
          <value t="str">
            <val>+0.68</val>
          </value>
          <value t="str">
            <val>-0.68</val>
          </value>
          <value>
            <val>0</val>
          </value>
          <value>
            <val>0</val>
          </value>
        </values>
      </ddeItem>
      <ddeItem name="2201.TW-ChipsField3,ChipsField1,ChipsField25,CashAndStockDividend,CashDividendYieldRate,ProfitFourSeason,ProfitSingle,CName,ExchangeIndustry,CompanyPos" advise="1">
        <values cols="10">
          <value>
            <val>-1177</val>
          </value>
          <value>
            <val>1472</val>
          </value>
          <value t="str">
            <val>2022/08/25</val>
          </value>
          <value t="str">
            <val>1.50</val>
          </value>
          <value>
            <val>2.5099999999999998</val>
          </value>
          <value t="str">
            <val>-0.65</val>
          </value>
          <value t="str">
            <val>-0.13</val>
          </value>
          <value t="str">
            <val>裕隆</val>
          </value>
          <value t="str">
            <val>上市汽車</val>
          </value>
          <value t="str">
            <val>與日本Nissan技術合作之汽車製造商，並推出納智捷自有品牌</val>
          </value>
        </values>
      </ddeItem>
      <ddeItem name="2201.TW-CName,InvestorConferenceDate,DateofMeetingofShareHolders,TradingDate" advise="1">
        <values cols="4">
          <value t="str">
            <val>裕隆</val>
          </value>
          <value t="str">
            <val>2022/11/16</val>
          </value>
          <value t="str">
            <val>2022/06/17</val>
          </value>
          <value t="str">
            <val>2022/12/22</val>
          </value>
        </values>
      </ddeItem>
      <ddeItem name="2201.TW-ID,Name,MarketValue,Capital,NetIncomeGrowthRate,OperIncomeGrowthRate,FinancialStatementsTime,TFXRatio,MonthlyNetSalesYoY,RevenueMonth" advise="1">
        <values cols="10">
          <value t="str">
            <val>2201</val>
          </value>
          <value t="str">
            <val>裕隆</val>
          </value>
          <value t="str">
            <val>597.0</val>
          </value>
          <value t="str">
            <val>100.00</val>
          </value>
          <value t="str">
            <val>-87.37</val>
          </value>
          <value t="str">
            <val>43.73</val>
          </value>
          <value t="str">
            <val>2022/09</val>
          </value>
          <value t="str">
            <val>5.87</val>
          </value>
          <value t="str">
            <val>-1.35</val>
          </value>
          <value t="str">
            <val>2022/11</val>
          </value>
        </values>
      </ddeItem>
      <ddeItem name="2201.TW-OperatingProfitRatio,Price,PriceChangeRatio,InOutRatioNumber,Value,YearReturn,MonthReturn,WeekReturn,FinanceBalanceDif,ChipsField2" advise="1">
        <values cols="10">
          <value t="str">
            <val>13.99</val>
          </value>
          <value>
            <val>59.7</val>
          </value>
          <value>
            <val>-0.5</val>
          </value>
          <value t="str">
            <val>38.94%</val>
          </value>
          <value t="str">
            <val>10.9億</val>
          </value>
          <value t="str">
            <val>+48.29</val>
          </value>
          <value t="str">
            <val>+10.35</val>
          </value>
          <value t="str">
            <val>-10.63</val>
          </value>
          <value>
            <val>326</val>
          </value>
          <value>
            <val>-698</val>
          </value>
        </values>
      </ddeItem>
      <ddeItem name="2204.TW-ChipsField3,ChipsField1,ChipsField25,CashAndStockDividend,CashDividendYieldRate,ProfitFourSeason,ProfitSingle,CName,ExchangeIndustry,CompanyPos" advise="1">
        <values cols="10">
          <value>
            <val>-15</val>
          </value>
          <value>
            <val>-678</val>
          </value>
          <value t="str">
            <val>2022/07/21</val>
          </value>
          <value t="str">
            <val>5.50</val>
          </value>
          <value>
            <val>11.08</val>
          </value>
          <value t="str">
            <val>-6.74</val>
          </value>
          <value t="str">
            <val>-0.99</val>
          </value>
          <value t="str">
            <val>中華</val>
          </value>
          <value t="str">
            <val>上市汽車</val>
          </value>
          <value t="str">
            <val>裕隆集團與日本三菱技術合作之汽車製造廠</val>
          </value>
        </values>
      </ddeItem>
      <ddeItem name="2204.TW-CName,InvestorConferenceDate,DateofMeetingofShareHolders,TradingDate" advise="1">
        <values cols="4">
          <value t="str">
            <val>中華</val>
          </value>
          <value t="str">
            <val>2022/11/16</val>
          </value>
          <value t="str">
            <val>2022/06/23</val>
          </value>
          <value t="str">
            <val>2022/12/22</val>
          </value>
        </values>
      </ddeItem>
      <ddeItem name="2204.TW-ID,Name,MarketValue,Capital,NetIncomeGrowthRate,OperIncomeGrowthRate,FinancialStatementsTime,TFXRatio,MonthlyNetSalesYoY,RevenueMonth" advise="1">
        <values cols="10">
          <value t="str">
            <val>2204</val>
          </value>
          <value t="str">
            <val>中華</val>
          </value>
          <value t="str">
            <val>274.9</val>
          </value>
          <value t="str">
            <val>55.36</val>
          </value>
          <value t="str">
            <val>-232.97</val>
          </value>
          <value t="str">
            <val>-8.88</val>
          </value>
          <value t="str">
            <val>2022/09</val>
          </value>
          <value t="str">
            <val>-8.61</val>
          </value>
          <value t="str">
            <val>25.85</val>
          </value>
          <value t="str">
            <val>2022/11</val>
          </value>
        </values>
      </ddeItem>
      <ddeItem name="2204.TW-OperatingProfitRatio,Price,PriceChangeRatio,InOutRatioNumber,Value,YearReturn,MonthReturn,WeekReturn,FinanceBalanceDif,ChipsField2" advise="1">
        <values cols="10">
          <value t="str">
            <val>7.87</val>
          </value>
          <value>
            <val>49.65</val>
          </value>
          <value>
            <val>0.71</val>
          </value>
          <value t="str">
            <val>40.76%</val>
          </value>
          <value t="str">
            <val>3634萬</val>
          </value>
          <value t="str">
            <val>-13.26</val>
          </value>
          <value t="str">
            <val>-0.70</val>
          </value>
          <value t="str">
            <val>-11.18</val>
          </value>
          <value>
            <val>420</val>
          </value>
          <value>
            <val>-2</val>
          </value>
        </values>
      </ddeItem>
      <ddeItem name="2206.TW-ChipsField3,ChipsField1,ChipsField25,CashAndStockDividend,CashDividendYieldRate,ProfitFourSeason,ProfitSingle,CName,ExchangeIndustry,CompanyPos" advise="1">
        <values cols="10">
          <value>
            <val>-75</val>
          </value>
          <value>
            <val>-1158</val>
          </value>
          <value t="str">
            <val>2022/07/20</val>
          </value>
          <value t="str">
            <val>1.30</val>
          </value>
          <value>
            <val>3.87</val>
          </value>
          <value t="str">
            <val>3.73</val>
          </value>
          <value t="str">
            <val>1.17</val>
          </value>
          <value t="str">
            <val>三陽工業</val>
          </value>
          <value t="str">
            <val>上市汽車</val>
          </value>
          <value t="str">
            <val>現代汽車台灣代理商及台灣知名機車製造商</val>
          </value>
        </values>
      </ddeItem>
      <ddeItem name="2206.TW-CName,InvestorConferenceDate,DateofMeetingofShareHolders,TradingDate" advise="1">
        <values cols="4">
          <value t="str">
            <val>三陽工業</val>
          </value>
          <value t="str">
            <val>--</val>
          </value>
          <value t="str">
            <val>2022/06/23</val>
          </value>
          <value t="str">
            <val>2022/12/22</val>
          </value>
        </values>
      </ddeItem>
      <ddeItem name="2206.TW-ID,Name,MarketValue,Capital,NetIncomeGrowthRate,OperIncomeGrowthRate,FinancialStatementsTime,TFXRatio,MonthlyNetSalesYoY,RevenueMonth" advise="1">
        <values cols="10">
          <value t="str">
            <val>2206</val>
          </value>
          <value t="str">
            <val>三陽工業</val>
          </value>
          <value t="str">
            <val>267.6</val>
          </value>
          <value t="str">
            <val>79.75</val>
          </value>
          <value t="str">
            <val>82.34</val>
          </value>
          <value t="str">
            <val>57.55</val>
          </value>
          <value t="str">
            <val>2022/09</val>
          </value>
          <value t="str">
            <val>-6.71</val>
          </value>
          <value t="str">
            <val>6.34</val>
          </value>
          <value t="str">
            <val>2022/11</val>
          </value>
        </values>
      </ddeItem>
      <ddeItem name="2206.TW-OperatingProfitRatio,Price,PriceChangeRatio,InOutRatioNumber,Value,YearReturn,MonthReturn,WeekReturn,FinanceBalanceDif,ChipsField2" advise="1">
        <values cols="10">
          <value t="str">
            <val>7.41</val>
          </value>
          <value>
            <val>33.549999999999997</val>
          </value>
          <value>
            <val>0</val>
          </value>
          <value t="str">
            <val>46.17%</val>
          </value>
          <value t="str">
            <val>5580萬</val>
          </value>
          <value t="str">
            <val>+32.25</val>
          </value>
          <value t="str">
            <val>-6.28</val>
          </value>
          <value t="str">
            <val>-8.83</val>
          </value>
          <value>
            <val>263</val>
          </value>
          <value>
            <val>-2</val>
          </value>
        </values>
      </ddeItem>
      <ddeItem name="2207.TW-ChipsField3,ChipsField1,ChipsField25,CashAndStockDividend,CashDividendYieldRate,ProfitFourSeason,ProfitSingle,CName,ExchangeIndustry,CompanyPos" advise="1">
        <values cols="10">
          <value>
            <val>-13</val>
          </value>
          <value>
            <val>-47</val>
          </value>
          <value t="str">
            <val>2022/07/08</val>
          </value>
          <value t="str">
            <val>20.00</val>
          </value>
          <value>
            <val>3.36</val>
          </value>
          <value t="str">
            <val>-12.14</val>
          </value>
          <value t="str">
            <val>-24.99</val>
          </value>
          <value t="str">
            <val>和泰車</val>
          </value>
          <value t="str">
            <val>上市汽車</val>
          </value>
          <value t="str">
            <val>TOYOTA台灣獨家代理商</val>
          </value>
        </values>
      </ddeItem>
      <ddeItem name="2207.TW-CName,InvestorConferenceDate,DateofMeetingofShareHolders,TradingDate" advise="1">
        <values cols="4">
          <value t="str">
            <val>和泰車</val>
          </value>
          <value t="str">
            <val>2022/12/08</val>
          </value>
          <value t="str">
            <val>2022/06/21</val>
          </value>
          <value t="str">
            <val>2022/12/22</val>
          </value>
        </values>
      </ddeItem>
      <ddeItem name="2207.TW-ID,Name,MarketValue,Capital,NetIncomeGrowthRate,OperIncomeGrowthRate,FinancialStatementsTime,TFXRatio,MonthlyNetSalesYoY,RevenueMonth" advise="1">
        <values cols="10">
          <value t="str">
            <val>2207</val>
          </value>
          <value t="str">
            <val>和泰車</val>
          </value>
          <value t="str">
            <val>3255.2</val>
          </value>
          <value t="str">
            <val>54.62</val>
          </value>
          <value t="str">
            <val>-148.72</val>
          </value>
          <value t="str">
            <val>-112.89</val>
          </value>
          <value t="str">
            <val>2022/09</val>
          </value>
          <value t="str">
            <val>1.59</val>
          </value>
          <value t="str">
            <val>12.85</val>
          </value>
          <value t="str">
            <val>2022/11</val>
          </value>
        </values>
      </ddeItem>
      <ddeItem name="2207.TW-OperatingProfitRatio,Price,PriceChangeRatio,InOutRatioNumber,Value,YearReturn,MonthReturn,WeekReturn,FinanceBalanceDif,ChipsField2" advise="1">
        <values cols="10">
          <value t="str">
            <val>-1.46</val>
          </value>
          <value>
            <val>596</val>
          </value>
          <value>
            <val>1.88</val>
          </value>
          <value t="str">
            <val>75.63%</val>
          </value>
          <value t="str">
            <val>7184萬</val>
          </value>
          <value t="str">
            <val>+2.48</val>
          </value>
          <value t="str">
            <val>-3.56</val>
          </value>
          <value t="str">
            <val>-5.25</val>
          </value>
          <value>
            <val>3</val>
          </value>
          <value>
            <val>0</val>
          </value>
        </values>
      </ddeItem>
      <ddeItem name="2208.TW-ChipsField3,ChipsField1,ChipsField25,CashAndStockDividend,CashDividendYieldRate,ProfitFourSeason,ProfitSingle,CName,ExchangeIndustry,CompanyPos" advise="1">
        <values cols="10">
          <value>
            <val>-45</val>
          </value>
          <value>
            <val>1275</val>
          </value>
          <value t="str">
            <val>--</val>
          </value>
          <value t="str">
            <val>0.00</val>
          </value>
          <value>
            <val>0</val>
          </value>
          <value t="str">
            <val>-2.63</val>
          </value>
          <value t="str">
            <val>-1.39</val>
          </value>
          <value t="str">
            <val>台船</val>
          </value>
          <value t="str">
            <val>上市航運業</val>
          </value>
          <value t="str">
            <val>台灣第一大造船公司</val>
          </value>
        </values>
      </ddeItem>
      <ddeItem name="2208.TW-CName,InvestorConferenceDate,DateofMeetingofShareHolders,TradingDate" advise="1">
        <values cols="4">
          <value t="str">
            <val>台船</val>
          </value>
          <value t="str">
            <val>2022/08/02</val>
          </value>
          <value t="str">
            <val>2022/06/22</val>
          </value>
          <value t="str">
            <val>2022/12/22</val>
          </value>
        </values>
      </ddeItem>
      <ddeItem name="2208.TW-ID,Name,MarketValue,Capital,NetIncomeGrowthRate,OperIncomeGrowthRate,FinancialStatementsTime,TFXRatio,MonthlyNetSalesYoY,RevenueMonth" advise="1">
        <values cols="10">
          <value t="str">
            <val>2208</val>
          </value>
          <value t="str">
            <val>台船</val>
          </value>
          <value t="str">
            <val>182.6</val>
          </value>
          <value t="str">
            <val>93.18</val>
          </value>
          <value t="str">
            <val>-21016.66</val>
          </value>
          <value t="str">
            <val>-6437.15</val>
          </value>
          <value t="str">
            <val>2022/09</val>
          </value>
          <value t="str">
            <val>-53.52</val>
          </value>
          <value t="str">
            <val>8.46</val>
          </value>
          <value t="str">
            <val>2022/11</val>
          </value>
        </values>
      </ddeItem>
      <ddeItem name="2208.TW-OperatingProfitRatio,Price,PriceChangeRatio,InOutRatioNumber,Value,YearReturn,MonthReturn,WeekReturn,FinanceBalanceDif,ChipsField2" advise="1">
        <values cols="10">
          <value t="str">
            <val>-18.99</val>
          </value>
          <value>
            <val>19.600000000000001</val>
          </value>
          <value>
            <val>0.77</val>
          </value>
          <value t="str">
            <val>45.75%</val>
          </value>
          <value t="str">
            <val>5630萬</val>
          </value>
          <value t="str">
            <val>-8.62</val>
          </value>
          <value t="str">
            <val>+12.64</val>
          </value>
          <value t="str">
            <val>-0.51</val>
          </value>
          <value>
            <val>-652</val>
          </value>
          <value>
            <val>0</val>
          </value>
        </values>
      </ddeItem>
      <ddeItem name="2211.TW-ChipsField3,ChipsField1,ChipsField25,CashAndStockDividend,CashDividendYieldRate,ProfitFourSeason,ProfitSingle,CName,ExchangeIndustry,CompanyPos" advise="1">
        <values cols="10">
          <value>
            <val>-5</val>
          </value>
          <value>
            <val>144</val>
          </value>
          <value t="str">
            <val>2022/08/29</val>
          </value>
          <value t="str">
            <val>3.00</val>
          </value>
          <value>
            <val>5.69</val>
          </value>
          <value t="str">
            <val>5.72</val>
          </value>
          <value t="str">
            <val>1.28</val>
          </value>
          <value t="str">
            <val>長榮鋼</val>
          </value>
          <value t="str">
            <val>上市鋼鐵</val>
          </value>
          <value t="str">
            <val>長榮集團旗下之鋼結構製造廠</val>
          </value>
        </values>
      </ddeItem>
      <ddeItem name="2211.TW-CName,InvestorConferenceDate,DateofMeetingofShareHolders,TradingDate" advise="1">
        <values cols="4">
          <value t="str">
            <val>長榮鋼</val>
          </value>
          <value t="str">
            <val>2022/12/20</val>
          </value>
          <value t="str">
            <val>2022/06/10</val>
          </value>
          <value t="str">
            <val>2022/12/22</val>
          </value>
        </values>
      </ddeItem>
      <ddeItem name="2211.TW-ID,Name,MarketValue,Capital,NetIncomeGrowthRate,OperIncomeGrowthRate,FinancialStatementsTime,TFXRatio,MonthlyNetSalesYoY,RevenueMonth" advise="1">
        <values cols="10">
          <value t="str">
            <val>2211</val>
          </value>
          <value t="str">
            <val>長榮鋼</val>
          </value>
          <value t="str">
            <val>219.8</val>
          </value>
          <value t="str">
            <val>41.71</val>
          </value>
          <value t="str">
            <val>93.47</val>
          </value>
          <value t="str">
            <val>30.12</val>
          </value>
          <value t="str">
            <val>2022/09</val>
          </value>
          <value t="str">
            <val>-6.31</val>
          </value>
          <value t="str">
            <val>-53.88</val>
          </value>
          <value t="str">
            <val>2022/11</val>
          </value>
        </values>
      </ddeItem>
      <ddeItem name="2211.TW-OperatingProfitRatio,Price,PriceChangeRatio,InOutRatioNumber,Value,YearReturn,MonthReturn,WeekReturn,FinanceBalanceDif,ChipsField2" advise="1">
        <values cols="10">
          <value t="str">
            <val>19.01</val>
          </value>
          <value>
            <val>52.7</val>
          </value>
          <value>
            <val>0.56999999999999995</val>
          </value>
          <value t="str">
            <val>44.07%</val>
          </value>
          <value t="str">
            <val>3127萬</val>
          </value>
          <value t="str">
            <val>-0.21</val>
          </value>
          <value t="str">
            <val>+2.13</val>
          </value>
          <value t="str">
            <val>+1.35</val>
          </value>
          <value>
            <val>121</val>
          </value>
          <value>
            <val>0</val>
          </value>
        </values>
      </ddeItem>
      <ddeItem name="2227.TW-ChipsField3,ChipsField1,ChipsField25,CashAndStockDividend,CashDividendYieldRate,ProfitFourSeason,ProfitSingle,CName,ExchangeIndustry,CompanyPos" advise="1">
        <values cols="10">
          <value>
            <val>1</val>
          </value>
          <value>
            <val>-4</val>
          </value>
          <value t="str">
            <val>2022/08/25</val>
          </value>
          <value t="str">
            <val>9.06</val>
          </value>
          <value>
            <val>4.6500000000000004</val>
          </value>
          <value t="str">
            <val>9.22</val>
          </value>
          <value t="str">
            <val>3.11</val>
          </value>
          <value t="str">
            <val>裕日車</val>
          </value>
          <value t="str">
            <val>上市汽車</val>
          </value>
          <value t="str">
            <val>裕隆集團為NISSAN在台灣地區研發及銷售成立之公司</val>
          </value>
        </values>
      </ddeItem>
      <ddeItem name="2227.TW-CName,InvestorConferenceDate,DateofMeetingofShareHolders,TradingDate" advise="1">
        <values cols="4">
          <value t="str">
            <val>裕日車</val>
          </value>
          <value t="str">
            <val>2022/11/16</val>
          </value>
          <value t="str">
            <val>2022/06/24</val>
          </value>
          <value t="str">
            <val>2022/12/22</val>
          </value>
        </values>
      </ddeItem>
      <ddeItem name="2227.TW-ID,Name,MarketValue,Capital,NetIncomeGrowthRate,OperIncomeGrowthRate,FinancialStatementsTime,TFXRatio,MonthlyNetSalesYoY,RevenueMonth" advise="1">
        <values cols="10">
          <value t="str">
            <val>2227</val>
          </value>
          <value t="str">
            <val>裕日車</val>
          </value>
          <value t="str">
            <val>585.0</val>
          </value>
          <value t="str">
            <val>30.00</val>
          </value>
          <value t="str">
            <val>-11.69</val>
          </value>
          <value t="str">
            <val>-37.06</val>
          </value>
          <value t="str">
            <val>2022/09</val>
          </value>
          <value t="str">
            <val>5.17</val>
          </value>
          <value t="str">
            <val>35.17</val>
          </value>
          <value t="str">
            <val>2022/11</val>
          </value>
        </values>
      </ddeItem>
      <ddeItem name="2227.TW-OperatingProfitRatio,Price,PriceChangeRatio,InOutRatioNumber,Value,YearReturn,MonthReturn,WeekReturn,FinanceBalanceDif,ChipsField2" advise="1">
        <values cols="10">
          <value t="str">
            <val>0.57</val>
          </value>
          <value>
            <val>195</val>
          </value>
          <value>
            <val>1.3</val>
          </value>
          <value t="str">
            <val>40.00%</val>
          </value>
          <value t="str">
            <val>289萬</val>
          </value>
          <value t="str">
            <val>-17.55</val>
          </value>
          <value t="str">
            <val>+5.69</val>
          </value>
          <value t="str">
            <val>-4.41</val>
          </value>
          <value>
            <val>0</val>
          </value>
          <value>
            <val>0</val>
          </value>
        </values>
      </ddeItem>
      <ddeItem name="222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-6</val>
          </value>
          <value t="str">
            <val>2022/07/28</val>
          </value>
          <value t="str">
            <val>2.00</val>
          </value>
          <value>
            <val>2.65</val>
          </value>
          <value t="str">
            <val>5.10</val>
          </value>
          <value t="str">
            <val>2.51</val>
          </value>
          <value t="str">
            <val>劍麟</val>
          </value>
          <value t="str">
            <val>上市汽車</val>
          </value>
          <value t="str">
            <val>為汽車安全氣囊零組件製造商</val>
          </value>
        </values>
      </ddeItem>
      <ddeItem name="2228.TW-CName,InvestorConferenceDate,DateofMeetingofShareHolders,TradingDate" advise="1">
        <values cols="4">
          <value t="str">
            <val>劍麟</val>
          </value>
          <value t="str">
            <val>2022/10/13</val>
          </value>
          <value t="str">
            <val>2022/06/24</val>
          </value>
          <value t="str">
            <val>2022/12/22</val>
          </value>
        </values>
      </ddeItem>
      <ddeItem name="2228.TW-ID,Name,MarketValue,Capital,NetIncomeGrowthRate,OperIncomeGrowthRate,FinancialStatementsTime,TFXRatio,MonthlyNetSalesYoY,RevenueMonth" advise="1">
        <values cols="10">
          <value t="str">
            <val>2228</val>
          </value>
          <value t="str">
            <val>劍麟</val>
          </value>
          <value t="str">
            <val>57.3</val>
          </value>
          <value t="str">
            <val>7.58</val>
          </value>
          <value t="str">
            <val>71.95</val>
          </value>
          <value t="str">
            <val>186.17</val>
          </value>
          <value t="str">
            <val>2022/09</val>
          </value>
          <value t="str">
            <val>2.39</val>
          </value>
          <value t="str">
            <val>21.57</val>
          </value>
          <value t="str">
            <val>2022/11</val>
          </value>
        </values>
      </ddeItem>
      <ddeItem name="2228.TW-OperatingProfitRatio,Price,PriceChangeRatio,InOutRatioNumber,Value,YearReturn,MonthReturn,WeekReturn,FinanceBalanceDif,ChipsField2" advise="1">
        <values cols="10">
          <value t="str">
            <val>10.34</val>
          </value>
          <value>
            <val>75.599999999999994</val>
          </value>
          <value>
            <val>0.67</val>
          </value>
          <value t="str">
            <val>7.32%</val>
          </value>
          <value t="str">
            <val>309萬</val>
          </value>
          <value t="str">
            <val>+15.35</val>
          </value>
          <value t="str">
            <val>-6.90</val>
          </value>
          <value t="str">
            <val>-4.91</val>
          </value>
          <value>
            <val>-3</val>
          </value>
          <value>
            <val>0</val>
          </value>
        </values>
      </ddeItem>
      <ddeItem name="2231.TW-ChipsField3,ChipsField1,ChipsField25,CashAndStockDividend,CashDividendYieldRate,ProfitFourSeason,ProfitSingle,CName,ExchangeIndustry,CompanyPos" advise="1">
        <values cols="10">
          <value>
            <val>65</val>
          </value>
          <value>
            <val>-283</val>
          </value>
          <value t="str">
            <val>2022/06/22</val>
          </value>
          <value t="str">
            <val>2.00</val>
          </value>
          <value>
            <val>1.38</val>
          </value>
          <value t="str">
            <val>4.41</val>
          </value>
          <value t="str">
            <val>1.26</val>
          </value>
          <value t="str">
            <val>為升</val>
          </value>
          <value t="str">
            <val>上市汽車</val>
          </value>
          <value t="str">
            <val>主要經營電裝品、TPMS及毫米波雷達銷售</val>
          </value>
        </values>
      </ddeItem>
      <ddeItem name="2231.TW-CName,InvestorConferenceDate,DateofMeetingofShareHolders,TradingDate" advise="1">
        <values cols="4">
          <value t="str">
            <val>為升</val>
          </value>
          <value t="str">
            <val>2022/10/20</val>
          </value>
          <value t="str">
            <val>2022/05/26</val>
          </value>
          <value t="str">
            <val>2022/12/22</val>
          </value>
        </values>
      </ddeItem>
      <ddeItem name="2231.TW-ID,Name,MarketValue,Capital,NetIncomeGrowthRate,OperIncomeGrowthRate,FinancialStatementsTime,TFXRatio,MonthlyNetSalesYoY,RevenueMonth" advise="1">
        <values cols="10">
          <value t="str">
            <val>2231</val>
          </value>
          <value t="str">
            <val>為升</val>
          </value>
          <value t="str">
            <val>194.5</val>
          </value>
          <value t="str">
            <val>13.41</val>
          </value>
          <value t="str">
            <val>-19.93</val>
          </value>
          <value t="str">
            <val>-66.89</val>
          </value>
          <value t="str">
            <val>2022/09</val>
          </value>
          <value t="str">
            <val>11.63</val>
          </value>
          <value t="str">
            <val>15.11</val>
          </value>
          <value t="str">
            <val>2022/11</val>
          </value>
        </values>
      </ddeItem>
      <ddeItem name="2231.TW-OperatingProfitRatio,Price,PriceChangeRatio,InOutRatioNumber,Value,YearReturn,MonthReturn,WeekReturn,FinanceBalanceDif,ChipsField2" advise="1">
        <values cols="10">
          <value t="str">
            <val>5.89</val>
          </value>
          <value>
            <val>145</val>
          </value>
          <value>
            <val>0.69</val>
          </value>
          <value t="str">
            <val>31.61%</val>
          </value>
          <value t="str">
            <val>7402萬</val>
          </value>
          <value t="str">
            <val>-10.75</val>
          </value>
          <value t="str">
            <val>-1.69</val>
          </value>
          <value t="str">
            <val>-7.05</val>
          </value>
          <value>
            <val>51</val>
          </value>
          <value>
            <val>51</val>
          </value>
        </values>
      </ddeItem>
      <ddeItem name="223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-8</val>
          </value>
          <value t="str">
            <val>2022/07/29</val>
          </value>
          <value t="str">
            <val>5.40</val>
          </value>
          <value>
            <val>5.44</val>
          </value>
          <value t="str">
            <val>10.46</val>
          </value>
          <value t="str">
            <val>2.78</val>
          </value>
          <value t="str">
            <val>宇隆</val>
          </value>
          <value t="str">
            <val>上市汽車</val>
          </value>
          <value t="str">
            <val>汽車噴油嘴零件大廠</val>
          </value>
        </values>
      </ddeItem>
      <ddeItem name="2233.TW-CName,InvestorConferenceDate,DateofMeetingofShareHolders,TradingDate" advise="1">
        <values cols="4">
          <value t="str">
            <val>宇隆</val>
          </value>
          <value t="str">
            <val>2022/11/29</val>
          </value>
          <value t="str">
            <val>2022/08/31</val>
          </value>
          <value t="str">
            <val>2022/12/22</val>
          </value>
        </values>
      </ddeItem>
      <ddeItem name="2233.TW-ID,Name,MarketValue,Capital,NetIncomeGrowthRate,OperIncomeGrowthRate,FinancialStatementsTime,TFXRatio,MonthlyNetSalesYoY,RevenueMonth" advise="1">
        <values cols="10">
          <value t="str">
            <val>2233</val>
          </value>
          <value t="str">
            <val>宇隆</val>
          </value>
          <value t="str">
            <val>59.8</val>
          </value>
          <value t="str">
            <val>6.03</val>
          </value>
          <value t="str">
            <val>21.96</val>
          </value>
          <value t="str">
            <val>-20.16</val>
          </value>
          <value t="str">
            <val>2022/09</val>
          </value>
          <value t="str">
            <val>15.38</val>
          </value>
          <value t="str">
            <val>12.48</val>
          </value>
          <value t="str">
            <val>2022/11</val>
          </value>
        </values>
      </ddeItem>
      <ddeItem name="2233.TW-OperatingProfitRatio,Price,PriceChangeRatio,InOutRatioNumber,Value,YearReturn,MonthReturn,WeekReturn,FinanceBalanceDif,ChipsField2" advise="1">
        <values cols="10">
          <value t="str">
            <val>16.66</val>
          </value>
          <value>
            <val>99.2</val>
          </value>
          <value>
            <val>0.51</val>
          </value>
          <value t="str">
            <val>50.00%</val>
          </value>
          <value t="str">
            <val>218萬</val>
          </value>
          <value t="str">
            <val>+10.80</val>
          </value>
          <value t="str">
            <val>+4.20</val>
          </value>
          <value t="str">
            <val>-3.22</val>
          </value>
          <value>
            <val>4</val>
          </value>
          <value>
            <val>0</val>
          </value>
        </values>
      </ddeItem>
      <ddeItem name="2236.TW-ChipsField3,ChipsField1,ChipsField25,CashAndStockDividend,CashDividendYieldRate,ProfitFourSeason,ProfitSingle,CName,ExchangeIndustry,CompanyPos" advise="1">
        <values cols="10">
          <value>
            <val>2</val>
          </value>
          <value>
            <val>5</val>
          </value>
          <value t="str">
            <val>2022/09/16</val>
          </value>
          <value t="str">
            <val>0.18</val>
          </value>
          <value>
            <val>19.149999999999999</val>
          </value>
          <value t="str">
            <val>1.27</val>
          </value>
          <value t="str">
            <val>0.30</val>
          </value>
          <value t="str">
            <val>百達-KY</val>
          </value>
          <value t="str">
            <val>上市汽車</val>
          </value>
          <value t="str">
            <val>全球唯二汽車零組件一條龍之新加坡商</val>
          </value>
        </values>
      </ddeItem>
      <ddeItem name="2236.TW-CName,InvestorConferenceDate,DateofMeetingofShareHolders,TradingDate" advise="1">
        <values cols="4">
          <value t="str">
            <val>百達-KY</val>
          </value>
          <value t="str">
            <val>2022/12/06</val>
          </value>
          <value t="str">
            <val>2022/06/20</val>
          </value>
          <value t="str">
            <val>2022/12/22</val>
          </value>
        </values>
      </ddeItem>
      <ddeItem name="2236.TW-ID,Name,MarketValue,Capital,NetIncomeGrowthRate,OperIncomeGrowthRate,FinancialStatementsTime,TFXRatio,MonthlyNetSalesYoY,RevenueMonth" advise="1">
        <values cols="10">
          <value t="str">
            <val>2236</val>
          </value>
          <value t="str">
            <val>百達-KY</val>
          </value>
          <value t="str">
            <val>10.8</val>
          </value>
          <value t="str">
            <val>4.58</val>
          </value>
          <value t="str">
            <val>-23.56</val>
          </value>
          <value t="str">
            <val>-28.57</val>
          </value>
          <value t="str">
            <val>2022/09</val>
          </value>
          <value t="str">
            <val>17.51</val>
          </value>
          <value t="str">
            <val>-5.60</val>
          </value>
          <value t="str">
            <val>2022/11</val>
          </value>
        </values>
      </ddeItem>
      <ddeItem name="2236.TW-OperatingProfitRatio,Price,PriceChangeRatio,InOutRatioNumber,Value,YearReturn,MonthReturn,WeekReturn,FinanceBalanceDif,ChipsField2" advise="1">
        <values cols="10">
          <value t="str">
            <val>5.74</val>
          </value>
          <value>
            <val>23.5</val>
          </value>
          <value>
            <val>-0.63</val>
          </value>
          <value t="str">
            <val>43.73%</val>
          </value>
          <value t="str">
            <val>741萬</val>
          </value>
          <value t="str">
            <val>-1.96</val>
          </value>
          <value t="str">
            <val>+16.92</val>
          </value>
          <value t="str">
            <val>-4.28</val>
          </value>
          <value>
            <val>-6</val>
          </value>
          <value>
            <val>0</val>
          </value>
        </values>
      </ddeItem>
      <ddeItem name="2239.TW-ChipsField3,ChipsField1,ChipsField25,CashAndStockDividend,CashDividendYieldRate,ProfitFourSeason,ProfitSingle,CName,ExchangeIndustry,CompanyPos" advise="1">
        <values cols="10">
          <value>
            <val>-6</val>
          </value>
          <value>
            <val>-6</val>
          </value>
          <value t="str">
            <val>2022/07/21</val>
          </value>
          <value t="str">
            <val>2.50</val>
          </value>
          <value>
            <val>4.2</val>
          </value>
          <value t="str">
            <val>1.71</val>
          </value>
          <value t="str">
            <val>0.77</val>
          </value>
          <value t="str">
            <val>英利-KY</val>
          </value>
          <value t="str">
            <val>上市汽車</val>
          </value>
          <value t="str">
            <val>台商企業，為大陸整車廠提供汽車結構件</val>
          </value>
        </values>
      </ddeItem>
      <ddeItem name="2239.TW-CName,InvestorConferenceDate,DateofMeetingofShareHolders,TradingDate" advise="1">
        <values cols="4">
          <value t="str">
            <val>英利-KY</val>
          </value>
          <value t="str">
            <val>2022/11/16</val>
          </value>
          <value t="str">
            <val>2022/06/24</val>
          </value>
          <value t="str">
            <val>2022/12/22</val>
          </value>
        </values>
      </ddeItem>
      <ddeItem name="2239.TW-ID,Name,MarketValue,Capital,NetIncomeGrowthRate,OperIncomeGrowthRate,FinancialStatementsTime,TFXRatio,MonthlyNetSalesYoY,RevenueMonth" advise="1">
        <values cols="10">
          <value t="str">
            <val>2239</val>
          </value>
          <value t="str">
            <val>英利-KY</val>
          </value>
          <value t="str">
            <val>70.5</val>
          </value>
          <value t="str">
            <val>11.85</val>
          </value>
          <value t="str">
            <val>-121.31</val>
          </value>
          <value t="str">
            <val>-122.82</val>
          </value>
          <value t="str">
            <val>2022/09</val>
          </value>
          <value t="str">
            <val>-8.34</val>
          </value>
          <value t="str">
            <val>14.00</val>
          </value>
          <value t="str">
            <val>2022/11</val>
          </value>
        </values>
      </ddeItem>
      <ddeItem name="2239.TW-OperatingProfitRatio,Price,PriceChangeRatio,InOutRatioNumber,Value,YearReturn,MonthReturn,WeekReturn,FinanceBalanceDif,ChipsField2" advise="1">
        <values cols="10">
          <value t="str">
            <val>-0.59</val>
          </value>
          <value>
            <val>59.5</val>
          </value>
          <value>
            <val>0</val>
          </value>
          <value t="str">
            <val>3.70%</val>
          </value>
          <value t="str">
            <val>167萬</val>
          </value>
          <value t="str">
            <val>-22.79</val>
          </value>
          <value t="str">
            <val>-1.49</val>
          </value>
          <value t="str">
            <val>-5.56</val>
          </value>
          <value>
            <val>-13</val>
          </value>
          <value>
            <val>0</val>
          </value>
        </values>
      </ddeItem>
      <ddeItem name="224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0.00</val>
          </value>
          <value>
            <val>0</val>
          </value>
          <value t="str">
            <val>-2.13</val>
          </value>
          <value t="str">
            <val>-0.68</val>
          </value>
          <value t="str">
            <val>艾姆勒</val>
          </value>
          <value t="str">
            <val>上市汽車</val>
          </value>
          <value t="str">
            <val>主要生產電動車及油電混合車的逆變器散熱產品</val>
          </value>
        </values>
      </ddeItem>
      <ddeItem name="2241.TW-CName,InvestorConferenceDate,DateofMeetingofShareHolders,TradingDate" advise="1">
        <values cols="4">
          <value t="str">
            <val>艾姆勒</val>
          </value>
          <value t="str">
            <val>2022/08/11</val>
          </value>
          <value t="str">
            <val>2022/05/26</val>
          </value>
          <value t="str">
            <val>2022/12/22</val>
          </value>
        </values>
      </ddeItem>
      <ddeItem name="2241.TW-ID,Name,MarketValue,Capital,NetIncomeGrowthRate,OperIncomeGrowthRate,FinancialStatementsTime,TFXRatio,MonthlyNetSalesYoY,RevenueMonth" advise="1">
        <values cols="10">
          <value t="str">
            <val>2241</val>
          </value>
          <value t="str">
            <val>艾姆勒</val>
          </value>
          <value t="str">
            <val>27.6</val>
          </value>
          <value t="str">
            <val>8.96</val>
          </value>
          <value t="str">
            <val>-152.77</val>
          </value>
          <value t="str">
            <val>-665.62</val>
          </value>
          <value t="str">
            <val>2022/09</val>
          </value>
          <value t="str">
            <val>2.49</val>
          </value>
          <value t="str">
            <val>-46.75</val>
          </value>
          <value t="str">
            <val>2022/11</val>
          </value>
        </values>
      </ddeItem>
      <ddeItem name="2241.TW-OperatingProfitRatio,Price,PriceChangeRatio,InOutRatioNumber,Value,YearReturn,MonthReturn,WeekReturn,FinanceBalanceDif,ChipsField2" advise="1">
        <values cols="10">
          <value t="str">
            <val>-36.58</val>
          </value>
          <value>
            <val>30.8</val>
          </value>
          <value>
            <val>0.49</val>
          </value>
          <value t="str">
            <val>7.69%</val>
          </value>
          <value t="str">
            <val>40.0萬</val>
          </value>
          <value t="str">
            <val>-38.89</val>
          </value>
          <value t="str">
            <val>+1.82</val>
          </value>
          <value t="str">
            <val>-4.50</val>
          </value>
          <value>
            <val>-6</val>
          </value>
          <value>
            <val>0</val>
          </value>
        </values>
      </ddeItem>
      <ddeItem name="224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</val>
          </value>
          <value t="str">
            <val>--</val>
          </value>
          <value t="str">
            <val>0.00</val>
          </value>
          <value>
            <val>0</val>
          </value>
          <value t="str">
            <val>-0.37</val>
          </value>
          <value t="str">
            <val>0.10</val>
          </value>
          <value t="str">
            <val>宏旭-KY</val>
          </value>
          <value t="str">
            <val>上市汽車</val>
          </value>
          <value t="str">
            <val>大陸台資第一大、行業前五大的車身模具廠</val>
          </value>
        </values>
      </ddeItem>
      <ddeItem name="2243.TW-CName,InvestorConferenceDate,DateofMeetingofShareHolders,TradingDate" advise="1">
        <values cols="4">
          <value t="str">
            <val>宏旭-KY</val>
          </value>
          <value t="str">
            <val>2022/09/06</val>
          </value>
          <value t="str">
            <val>2022/10/20</val>
          </value>
          <value t="str">
            <val>2022/12/22</val>
          </value>
        </values>
      </ddeItem>
      <ddeItem name="2243.TW-ID,Name,MarketValue,Capital,NetIncomeGrowthRate,OperIncomeGrowthRate,FinancialStatementsTime,TFXRatio,MonthlyNetSalesYoY,RevenueMonth" advise="1">
        <values cols="10">
          <value t="str">
            <val>2243</val>
          </value>
          <value t="str">
            <val>宏旭-KY</val>
          </value>
          <value t="str">
            <val>6.0</val>
          </value>
          <value t="str">
            <val>4.60</val>
          </value>
          <value t="str">
            <val>160.82</val>
          </value>
          <value t="str">
            <val>316.74</val>
          </value>
          <value t="str">
            <val>2022/09</val>
          </value>
          <value t="str">
            <val>-49.09</val>
          </value>
          <value t="str">
            <val>-49.83</val>
          </value>
          <value t="str">
            <val>2022/11</val>
          </value>
        </values>
      </ddeItem>
      <ddeItem name="2243.TW-OperatingProfitRatio,Price,PriceChangeRatio,InOutRatioNumber,Value,YearReturn,MonthReturn,WeekReturn,FinanceBalanceDif,ChipsField2" advise="1">
        <values cols="10">
          <value t="str">
            <val>4.20</val>
          </value>
          <value>
            <val>13.1</val>
          </value>
          <value>
            <val>-2.6</val>
          </value>
          <value t="str">
            <val>39.43%</val>
          </value>
          <value t="str">
            <val>647萬</val>
          </value>
          <value t="str">
            <val>-32.30</val>
          </value>
          <value t="str">
            <val>+4.80</val>
          </value>
          <value t="str">
            <val>+4.80</val>
          </value>
          <value>
            <val>72</val>
          </value>
          <value>
            <val>0</val>
          </value>
        </values>
      </ddeItem>
      <ddeItem name="2247.TW-ChipsField3,ChipsField1,ChipsField25,CashAndStockDividend,CashDividendYieldRate,ProfitFourSeason,ProfitSingle,CName,ExchangeIndustry,CompanyPos" advise="1">
        <values cols="10">
          <value>
            <val>2</val>
          </value>
          <value>
            <val>-3</val>
          </value>
          <value t="str">
            <val>2022/07/05</val>
          </value>
          <value t="str">
            <val>12.00</val>
          </value>
          <value>
            <val>5.7</val>
          </value>
          <value t="str">
            <val>17.45</val>
          </value>
          <value t="str">
            <val>4.38</val>
          </value>
          <value t="str">
            <val>汎德永業</val>
          </value>
          <value t="str">
            <val>上市汽車</val>
          </value>
          <value t="str">
            <val>豪華進口車代理商</val>
          </value>
        </values>
      </ddeItem>
      <ddeItem name="2247.TW-CName,InvestorConferenceDate,DateofMeetingofShareHolders,TradingDate" advise="1">
        <values cols="4">
          <value t="str">
            <val>汎德永業</val>
          </value>
          <value t="str">
            <val>2022/11/17</val>
          </value>
          <value t="str">
            <val>2022/06/17</val>
          </value>
          <value t="str">
            <val>2022/12/22</val>
          </value>
        </values>
      </ddeItem>
      <ddeItem name="2247.TW-ID,Name,MarketValue,Capital,NetIncomeGrowthRate,OperIncomeGrowthRate,FinancialStatementsTime,TFXRatio,MonthlyNetSalesYoY,RevenueMonth" advise="1">
        <values cols="10">
          <value t="str">
            <val>2247</val>
          </value>
          <value t="str">
            <val>汎德永業</val>
          </value>
          <value t="str">
            <val>169.9</val>
          </value>
          <value t="str">
            <val>8.07</val>
          </value>
          <value t="str">
            <val>18.63</val>
          </value>
          <value t="str">
            <val>16.82</val>
          </value>
          <value t="str">
            <val>2022/09</val>
          </value>
          <value t="str">
            <val>17.87</val>
          </value>
          <value t="str">
            <val>11.88</val>
          </value>
          <value t="str">
            <val>2022/11</val>
          </value>
        </values>
      </ddeItem>
      <ddeItem name="2247.TW-OperatingProfitRatio,Price,PriceChangeRatio,InOutRatioNumber,Value,YearReturn,MonthReturn,WeekReturn,FinanceBalanceDif,ChipsField2" advise="1">
        <values cols="10">
          <value t="str">
            <val>3.99</val>
          </value>
          <value>
            <val>210.5</val>
          </value>
          <value>
            <val>1.69</val>
          </value>
          <value t="str">
            <val>83.33%</val>
          </value>
          <value t="str">
            <val>252萬</val>
          </value>
          <value t="str">
            <val>+6.41</val>
          </value>
          <value t="str">
            <val>+0.72</val>
          </value>
          <value t="str">
            <val>-2.55</val>
          </value>
          <value>
            <val>1</val>
          </value>
          <value>
            <val>0</val>
          </value>
        </values>
      </ddeItem>
      <ddeItem name="225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2022/07/28</val>
          </value>
          <value t="str">
            <val>3.22</val>
          </value>
          <value>
            <val>4.45</val>
          </value>
          <value t="str">
            <val>3.71</val>
          </value>
          <value t="str">
            <val>0.84</val>
          </value>
          <value t="str">
            <val>IKKA-KY</val>
          </value>
          <value t="str">
            <val>上市汽車</val>
          </value>
          <value t="str">
            <val>能率集團旗下，日本車用沖壓件OEM廠商</val>
          </value>
        </values>
      </ddeItem>
      <ddeItem name="2250.TW-CName,InvestorConferenceDate,DateofMeetingofShareHolders,TradingDate" advise="1">
        <values cols="4">
          <value t="str">
            <val>IKKA-KY</val>
          </value>
          <value t="str">
            <val>2022/12/07</val>
          </value>
          <value t="str">
            <val>2022/06/24</val>
          </value>
          <value t="str">
            <val>2022/12/22</val>
          </value>
        </values>
      </ddeItem>
      <ddeItem name="2250.TW-ID,Name,MarketValue,Capital,NetIncomeGrowthRate,OperIncomeGrowthRate,FinancialStatementsTime,TFXRatio,MonthlyNetSalesYoY,RevenueMonth" advise="1">
        <values cols="10">
          <value t="str">
            <val>2250</val>
          </value>
          <value t="str">
            <val>IKKA-KY</val>
          </value>
          <value t="str">
            <val>21.1</val>
          </value>
          <value t="str">
            <val>2.92</val>
          </value>
          <value t="str">
            <val>-43.21</val>
          </value>
          <value t="str">
            <val>-60.30</val>
          </value>
          <value t="str">
            <val>2022/09</val>
          </value>
          <value t="str">
            <val>11.07</val>
          </value>
          <value t="str">
            <val>-7.52</val>
          </value>
          <value t="str">
            <val>2022/11</val>
          </value>
        </values>
      </ddeItem>
      <ddeItem name="2250.TW-OperatingProfitRatio,Price,PriceChangeRatio,InOutRatioNumber,Value,YearReturn,MonthReturn,WeekReturn,FinanceBalanceDif,ChipsField2" advise="1">
        <values cols="10">
          <value t="str">
            <val>2.67</val>
          </value>
          <value>
            <val>72.400000000000006</val>
          </value>
          <value>
            <val>-0.14000000000000001</val>
          </value>
          <value t="str">
            <val>21.74%</val>
          </value>
          <value t="str">
            <val>167萬</val>
          </value>
          <value t="str">
            <val>-35.11</val>
          </value>
          <value t="str">
            <val>+5.54</val>
          </value>
          <value t="str">
            <val>-3.85</val>
          </value>
          <value>
            <val>0</val>
          </value>
          <value>
            <val>0</val>
          </value>
        </values>
      </ddeItem>
      <ddeItem name="2301.TW-ChipsField3,ChipsField1,ChipsField25,CashAndStockDividend,CashDividendYieldRate,ProfitFourSeason,ProfitSingle,CName,ExchangeIndustry,CompanyPos" advise="1">
        <values cols="10">
          <value>
            <val>-385</val>
          </value>
          <value>
            <val>15280</val>
          </value>
          <value t="str">
            <val>2022/08/16</val>
          </value>
          <value t="str">
            <val>1.50</val>
          </value>
          <value>
            <val>7</val>
          </value>
          <value t="str">
            <val>5.59</val>
          </value>
          <value t="str">
            <val>1.86</val>
          </value>
          <value t="str">
            <val>光寶科</val>
          </value>
          <value t="str">
            <val>上市電腦及週邊設備</val>
          </value>
          <value t="str">
            <val>台灣第一家上市電子公司，產品應用涵蓋4C領域</val>
          </value>
        </values>
      </ddeItem>
      <ddeItem name="2301.TW-CName,InvestorConferenceDate,DateofMeetingofShareHolders,TradingDate" advise="1">
        <values cols="4">
          <value t="str">
            <val>光寶科</val>
          </value>
          <value t="str">
            <val>2022/12/08</val>
          </value>
          <value t="str">
            <val>2022/05/20</val>
          </value>
          <value t="str">
            <val>2022/12/22</val>
          </value>
        </values>
      </ddeItem>
      <ddeItem name="2301.TW-ID,Name,MarketValue,Capital,NetIncomeGrowthRate,OperIncomeGrowthRate,FinancialStatementsTime,TFXRatio,MonthlyNetSalesYoY,RevenueMonth" advise="1">
        <values cols="10">
          <value t="str">
            <val>2301</val>
          </value>
          <value t="str">
            <val>光寶科</val>
          </value>
          <value t="str">
            <val>1511.6</val>
          </value>
          <value t="str">
            <val>236.31</val>
          </value>
          <value t="str">
            <val>-9.46</val>
          </value>
          <value t="str">
            <val>24.57</val>
          </value>
          <value t="str">
            <val>2022/09</val>
          </value>
          <value t="str">
            <val>-0.34</val>
          </value>
          <value t="str">
            <val>-0.49</val>
          </value>
          <value t="str">
            <val>2022/11</val>
          </value>
        </values>
      </ddeItem>
      <ddeItem name="2301.TW-OperatingProfitRatio,Price,PriceChangeRatio,InOutRatioNumber,Value,YearReturn,MonthReturn,WeekReturn,FinanceBalanceDif,ChipsField2" advise="1">
        <values cols="10">
          <value t="str">
            <val>9.01</val>
          </value>
          <value>
            <val>64.3</val>
          </value>
          <value>
            <val>1.58</val>
          </value>
          <value t="str">
            <val>76.24%</val>
          </value>
          <value t="str">
            <val>16.3億</val>
          </value>
          <value t="str">
            <val>+10.44</val>
          </value>
          <value t="str">
            <val>-2.13</val>
          </value>
          <value t="str">
            <val>-1.23</val>
          </value>
          <value>
            <val>-50</val>
          </value>
          <value>
            <val>-17057</val>
          </value>
        </values>
      </ddeItem>
      <ddeItem name="230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-61</val>
          </value>
          <value t="str">
            <val>2022/07/21</val>
          </value>
          <value t="str">
            <val>0.60</val>
          </value>
          <value>
            <val>3.49</val>
          </value>
          <value t="str">
            <val>1.02</val>
          </value>
          <value t="str">
            <val>0.33</val>
          </value>
          <value t="str">
            <val>麗正</val>
          </value>
          <value t="str">
            <val>上市半導體</val>
          </value>
          <value t="str">
            <val>台灣整流二極體廠商</val>
          </value>
        </values>
      </ddeItem>
      <ddeItem name="2302.TW-CName,InvestorConferenceDate,DateofMeetingofShareHolders,TradingDate" advise="1">
        <values cols="4">
          <value t="str">
            <val>麗正</val>
          </value>
          <value t="str">
            <val>2022/12/01</val>
          </value>
          <value t="str">
            <val>2022/06/23</val>
          </value>
          <value t="str">
            <val>2022/12/22</val>
          </value>
        </values>
      </ddeItem>
      <ddeItem name="2302.TW-ID,Name,MarketValue,Capital,NetIncomeGrowthRate,OperIncomeGrowthRate,FinancialStatementsTime,TFXRatio,MonthlyNetSalesYoY,RevenueMonth" advise="1">
        <values cols="10">
          <value t="str">
            <val>2302</val>
          </value>
          <value t="str">
            <val>麗正</val>
          </value>
          <value t="str">
            <val>28.6</val>
          </value>
          <value t="str">
            <val>16.63</val>
          </value>
          <value t="str">
            <val>134.44</val>
          </value>
          <value t="str">
            <val>92.43</val>
          </value>
          <value t="str">
            <val>2022/09</val>
          </value>
          <value t="str">
            <val>-2.25</val>
          </value>
          <value t="str">
            <val>45.80</val>
          </value>
          <value t="str">
            <val>2022/11</val>
          </value>
        </values>
      </ddeItem>
      <ddeItem name="2302.TW-OperatingProfitRatio,Price,PriceChangeRatio,InOutRatioNumber,Value,YearReturn,MonthReturn,WeekReturn,FinanceBalanceDif,ChipsField2" advise="1">
        <values cols="10">
          <value t="str">
            <val>19.51</val>
          </value>
          <value>
            <val>17.2</val>
          </value>
          <value>
            <val>1.18</val>
          </value>
          <value t="str">
            <val>49.81%</val>
          </value>
          <value t="str">
            <val>442萬</val>
          </value>
          <value t="str">
            <val>+6.85</val>
          </value>
          <value t="str">
            <val>-9.71</val>
          </value>
          <value t="str">
            <val>-7.28</val>
          </value>
          <value>
            <val>5</val>
          </value>
          <value>
            <val>0</val>
          </value>
        </values>
      </ddeItem>
      <ddeItem name="2303.TW-ChipsField3,ChipsField1,ChipsField25,CashAndStockDividend,CashDividendYieldRate,ProfitFourSeason,ProfitSingle,CName,ExchangeIndustry,CompanyPos" advise="1">
        <values cols="10">
          <value>
            <val>-511</val>
          </value>
          <value>
            <val>9639</val>
          </value>
          <value t="str">
            <val>2022/06/22</val>
          </value>
          <value t="str">
            <val>3.00</val>
          </value>
          <value>
            <val>7</val>
          </value>
          <value t="str">
            <val>6.85</val>
          </value>
          <value t="str">
            <val>2.19</val>
          </value>
          <value t="str">
            <val>聯電</val>
          </value>
          <value t="str">
            <val>上市半導體</val>
          </value>
          <value t="str">
            <val>全球前十大晶圓代工廠之一</val>
          </value>
        </values>
      </ddeItem>
      <ddeItem name="2303.TW-CName,InvestorConferenceDate,DateofMeetingofShareHolders,TradingDate" advise="1">
        <values cols="4">
          <value t="str">
            <val>聯電</val>
          </value>
          <value t="str">
            <val>2022/10/26</val>
          </value>
          <value t="str">
            <val>2022/05/27</val>
          </value>
          <value t="str">
            <val>2022/12/22</val>
          </value>
        </values>
      </ddeItem>
      <ddeItem name="2303.TW-ID,Name,MarketValue,Capital,NetIncomeGrowthRate,OperIncomeGrowthRate,FinancialStatementsTime,TFXRatio,MonthlyNetSalesYoY,RevenueMonth" advise="1">
        <values cols="10">
          <value t="str">
            <val>2303</val>
          </value>
          <value t="str">
            <val>聯電</val>
          </value>
          <value t="str">
            <val>5348.4</val>
          </value>
          <value t="str">
            <val>1250.47</val>
          </value>
          <value t="str">
            <val>76.18</val>
          </value>
          <value t="str">
            <val>136.73</val>
          </value>
          <value t="str">
            <val>2022/09</val>
          </value>
          <value t="str">
            <val>-7.39</val>
          </value>
          <value t="str">
            <val>14.67</val>
          </value>
          <value t="str">
            <val>2022/11</val>
          </value>
        </values>
      </ddeItem>
      <ddeItem name="2303.TW-OperatingProfitRatio,Price,PriceChangeRatio,InOutRatioNumber,Value,YearReturn,MonthReturn,WeekReturn,FinanceBalanceDif,ChipsField2" advise="1">
        <values cols="10">
          <value t="str">
            <val>38.25</val>
          </value>
          <value>
            <val>42.85</val>
          </value>
          <value>
            <val>2.02</val>
          </value>
          <value t="str">
            <val>44.14%</val>
          </value>
          <value t="str">
            <val>22.3億</val>
          </value>
          <value t="str">
            <val>-27.46</val>
          </value>
          <value t="str">
            <val>-6.13</val>
          </value>
          <value t="str">
            <val>-3.60</val>
          </value>
          <value>
            <val>-862</val>
          </value>
          <value>
            <val>-13873</val>
          </value>
        </values>
      </ddeItem>
      <ddeItem name="230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-4</val>
          </value>
          <value t="str">
            <val>--</val>
          </value>
          <value t="str">
            <val>0.00</val>
          </value>
          <value>
            <val>0</val>
          </value>
          <value t="str">
            <val>0.38</val>
          </value>
          <value t="str">
            <val>0.17</val>
          </value>
          <value t="str">
            <val>全友</val>
          </value>
          <value t="str">
            <val>上市電腦及週邊設備</val>
          </value>
          <value t="str">
            <val>光罩持股，經營工業用、醫療等數位掃描器</val>
          </value>
        </values>
      </ddeItem>
      <ddeItem name="2305.TW-CName,InvestorConferenceDate,DateofMeetingofShareHolders,TradingDate" advise="1">
        <values cols="4">
          <value t="str">
            <val>全友</val>
          </value>
          <value t="str">
            <val>2022/12/16</val>
          </value>
          <value t="str">
            <val>2022/05/26</val>
          </value>
          <value t="str">
            <val>2022/12/22</val>
          </value>
        </values>
      </ddeItem>
      <ddeItem name="2305.TW-ID,Name,MarketValue,Capital,NetIncomeGrowthRate,OperIncomeGrowthRate,FinancialStatementsTime,TFXRatio,MonthlyNetSalesYoY,RevenueMonth" advise="1">
        <values cols="10">
          <value t="str">
            <val>2305</val>
          </value>
          <value t="str">
            <val>全友</val>
          </value>
          <value t="str">
            <val>52.4</val>
          </value>
          <value t="str">
            <val>20.57</val>
          </value>
          <value t="str">
            <val>805.25</val>
          </value>
          <value t="str">
            <val>-49.87</val>
          </value>
          <value t="str">
            <val>2022/09</val>
          </value>
          <value t="str">
            <val>17.62</val>
          </value>
          <value t="str">
            <val>2.90</val>
          </value>
          <value t="str">
            <val>2022/11</val>
          </value>
        </values>
      </ddeItem>
      <ddeItem name="2305.TW-OperatingProfitRatio,Price,PriceChangeRatio,InOutRatioNumber,Value,YearReturn,MonthReturn,WeekReturn,FinanceBalanceDif,ChipsField2" advise="1">
        <values cols="10">
          <value t="str">
            <val>-18.20</val>
          </value>
          <value>
            <val>25.5</val>
          </value>
          <value>
            <val>0.59</val>
          </value>
          <value t="str">
            <val>38.17%</val>
          </value>
          <value t="str">
            <val>2496萬</val>
          </value>
          <value t="str">
            <val>+176.27</val>
          </value>
          <value t="str">
            <val>-18.92</val>
          </value>
          <value t="str">
            <val>-8.44</val>
          </value>
          <value>
            <val>5</val>
          </value>
          <value>
            <val>0</val>
          </value>
        </values>
      </ddeItem>
      <ddeItem name="2308.TW-ChipsField3,ChipsField1,ChipsField25,CashAndStockDividend,CashDividendYieldRate,ProfitFourSeason,ProfitSingle,CName,ExchangeIndustry,CompanyPos" advise="1">
        <values cols="10">
          <value>
            <val>-384</val>
          </value>
          <value>
            <val>-299</val>
          </value>
          <value t="str">
            <val>2022/06/29</val>
          </value>
          <value t="str">
            <val>5.50</val>
          </value>
          <value>
            <val>1.92</val>
          </value>
          <value t="str">
            <val>11.94</val>
          </value>
          <value t="str">
            <val>4.26</val>
          </value>
          <value t="str">
            <val>台達電</val>
          </value>
          <value t="str">
            <val>上市電子零組件</val>
          </value>
          <value t="str">
            <val>全球第一大電源供應器製造廠</val>
          </value>
        </values>
      </ddeItem>
      <ddeItem name="2308.TW-CName,InvestorConferenceDate,DateofMeetingofShareHolders,TradingDate" advise="1">
        <values cols="4">
          <value t="str">
            <val>台達電</val>
          </value>
          <value t="str">
            <val>2022/11/29</val>
          </value>
          <value t="str">
            <val>2022/06/14</val>
          </value>
          <value t="str">
            <val>2022/12/22</val>
          </value>
        </values>
      </ddeItem>
      <ddeItem name="2308.TW-ID,Name,MarketValue,Capital,NetIncomeGrowthRate,OperIncomeGrowthRate,FinancialStatementsTime,TFXRatio,MonthlyNetSalesYoY,RevenueMonth" advise="1">
        <values cols="10">
          <value t="str">
            <val>2308</val>
          </value>
          <value t="str">
            <val>台達電</val>
          </value>
          <value t="str">
            <val>7442.0</val>
          </value>
          <value t="str">
            <val>259.75</val>
          </value>
          <value t="str">
            <val>28.52</val>
          </value>
          <value t="str">
            <val>27.44</val>
          </value>
          <value t="str">
            <val>2022/09</val>
          </value>
          <value t="str">
            <val>0.50</val>
          </value>
          <value t="str">
            <val>30.63</val>
          </value>
          <value t="str">
            <val>2022/11</val>
          </value>
        </values>
      </ddeItem>
      <ddeItem name="2308.TW-OperatingProfitRatio,Price,PriceChangeRatio,InOutRatioNumber,Value,YearReturn,MonthReturn,WeekReturn,FinanceBalanceDif,ChipsField2" advise="1">
        <values cols="10">
          <value t="str">
            <val>11.00</val>
          </value>
          <value>
            <val>286.5</val>
          </value>
          <value>
            <val>1.06</val>
          </value>
          <value t="str">
            <val>73.48%</val>
          </value>
          <value t="str">
            <val>9.94億</val>
          </value>
          <value t="str">
            <val>+10.28</val>
          </value>
          <value t="str">
            <val>-2.39</val>
          </value>
          <value t="str">
            <val>-3.05</val>
          </value>
          <value>
            <val>127</val>
          </value>
          <value>
            <val>-134</val>
          </value>
        </values>
      </ddeItem>
      <ddeItem name="2312.TW-ChipsField3,ChipsField1,ChipsField25,CashAndStockDividend,CashDividendYieldRate,ProfitFourSeason,ProfitSingle,CName,ExchangeIndustry,CompanyPos" advise="1">
        <values cols="10">
          <value>
            <val>-140</val>
          </value>
          <value>
            <val>-140</val>
          </value>
          <value t="str">
            <val>2022/08/02</val>
          </value>
          <value t="str">
            <val>0.20</val>
          </value>
          <value>
            <val>1.45</val>
          </value>
          <value t="str">
            <val>0.59</val>
          </value>
          <value t="str">
            <val>0.30</val>
          </value>
          <value t="str">
            <val>金寶</val>
          </value>
          <value t="str">
            <val>上市其他電子</val>
          </value>
          <value t="str">
            <val>金仁寶集團旗下消費性電子代工廠</val>
          </value>
        </values>
      </ddeItem>
      <ddeItem name="2312.TW-CName,InvestorConferenceDate,DateofMeetingofShareHolders,TradingDate" advise="1">
        <values cols="4">
          <value t="str">
            <val>金寶</val>
          </value>
          <value t="str">
            <val>2022/12/09</val>
          </value>
          <value t="str">
            <val>2022/06/27</val>
          </value>
          <value t="str">
            <val>2022/12/22</val>
          </value>
        </values>
      </ddeItem>
      <ddeItem name="2312.TW-ID,Name,MarketValue,Capital,NetIncomeGrowthRate,OperIncomeGrowthRate,FinancialStatementsTime,TFXRatio,MonthlyNetSalesYoY,RevenueMonth" advise="1">
        <values cols="10">
          <value t="str">
            <val>2312</val>
          </value>
          <value t="str">
            <val>金寶</val>
          </value>
          <value t="str">
            <val>206.0</val>
          </value>
          <value t="str">
            <val>149.31</val>
          </value>
          <value t="str">
            <val>75.44</val>
          </value>
          <value t="str">
            <val>21.74</val>
          </value>
          <value t="str">
            <val>2022/09</val>
          </value>
          <value t="str">
            <val>9.71</val>
          </value>
          <value t="str">
            <val>47.88</val>
          </value>
          <value t="str">
            <val>2022/11</val>
          </value>
        </values>
      </ddeItem>
      <ddeItem name="2312.TW-OperatingProfitRatio,Price,PriceChangeRatio,InOutRatioNumber,Value,YearReturn,MonthReturn,WeekReturn,FinanceBalanceDif,ChipsField2" advise="1">
        <values cols="10">
          <value t="str">
            <val>1.24</val>
          </value>
          <value>
            <val>13.8</val>
          </value>
          <value>
            <val>0.73</val>
          </value>
          <value t="str">
            <val>42.07%</val>
          </value>
          <value t="str">
            <val>2804萬</val>
          </value>
          <value t="str">
            <val>-5.93</val>
          </value>
          <value t="str">
            <val>-0.72</val>
          </value>
          <value t="str">
            <val>-3.83</val>
          </value>
          <value>
            <val>24</val>
          </value>
          <value>
            <val>0</val>
          </value>
        </values>
      </ddeItem>
      <ddeItem name="2313.TW-ChipsField3,ChipsField1,ChipsField25,CashAndStockDividend,CashDividendYieldRate,ProfitFourSeason,ProfitSingle,CName,ExchangeIndustry,CompanyPos" advise="1">
        <values cols="10">
          <value>
            <val>-283</val>
          </value>
          <value>
            <val>-1749</val>
          </value>
          <value t="str">
            <val>2022/04/07</val>
          </value>
          <value t="str">
            <val>1.80</val>
          </value>
          <value>
            <val>3.88</val>
          </value>
          <value t="str">
            <val>6.60</val>
          </value>
          <value t="str">
            <val>2.11</val>
          </value>
          <value t="str">
            <val>華通</val>
          </value>
          <value t="str">
            <val>上市電子零組件</val>
          </value>
          <value t="str">
            <val>全球HDI板龍頭公司</val>
          </value>
        </values>
      </ddeItem>
      <ddeItem name="2313.TW-CName,InvestorConferenceDate,DateofMeetingofShareHolders,TradingDate" advise="1">
        <values cols="4">
          <value t="str">
            <val>華通</val>
          </value>
          <value t="str">
            <val>2022/08/16</val>
          </value>
          <value t="str">
            <val>2022/06/09</val>
          </value>
          <value t="str">
            <val>2022/12/22</val>
          </value>
        </values>
      </ddeItem>
      <ddeItem name="2313.TW-ID,Name,MarketValue,Capital,NetIncomeGrowthRate,OperIncomeGrowthRate,FinancialStatementsTime,TFXRatio,MonthlyNetSalesYoY,RevenueMonth" advise="1">
        <values cols="10">
          <value t="str">
            <val>2313</val>
          </value>
          <value t="str">
            <val>華通</val>
          </value>
          <value t="str">
            <val>553.6</val>
          </value>
          <value t="str">
            <val>119.18</val>
          </value>
          <value t="str">
            <val>87.58</val>
          </value>
          <value t="str">
            <val>68.38</val>
          </value>
          <value t="str">
            <val>2022/09</val>
          </value>
          <value t="str">
            <val>-9.35</val>
          </value>
          <value t="str">
            <val>4.10</val>
          </value>
          <value t="str">
            <val>2022/11</val>
          </value>
        </values>
      </ddeItem>
      <ddeItem name="2313.TW-OperatingProfitRatio,Price,PriceChangeRatio,InOutRatioNumber,Value,YearReturn,MonthReturn,WeekReturn,FinanceBalanceDif,ChipsField2" advise="1">
        <values cols="10">
          <value t="str">
            <val>12.79</val>
          </value>
          <value>
            <val>46.45</val>
          </value>
          <value>
            <val>-0.43</val>
          </value>
          <value t="str">
            <val>32.80%</val>
          </value>
          <value t="str">
            <val>4.51億</val>
          </value>
          <value t="str">
            <val>+11.74</val>
          </value>
          <value t="str">
            <val>-3.63</val>
          </value>
          <value t="str">
            <val>-2.82</val>
          </value>
          <value>
            <val>287</val>
          </value>
          <value>
            <val>0</val>
          </value>
        </values>
      </ddeItem>
      <ddeItem name="231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9</val>
          </value>
          <value t="str">
            <val>--</val>
          </value>
          <value t="str">
            <val>0.00</val>
          </value>
          <value>
            <val>0</val>
          </value>
          <value t="str">
            <val>-2.17</val>
          </value>
          <value t="str">
            <val>-0.40</val>
          </value>
          <value t="str">
            <val>台揚</val>
          </value>
          <value t="str">
            <val>上市通信網路</val>
          </value>
          <value t="str">
            <val>鴻海轉投資衛星、微波通訊設備製造商</val>
          </value>
        </values>
      </ddeItem>
      <ddeItem name="2314.TW-CName,InvestorConferenceDate,DateofMeetingofShareHolders,TradingDate" advise="1">
        <values cols="4">
          <value t="str">
            <val>台揚</val>
          </value>
          <value t="str">
            <val>--</val>
          </value>
          <value t="str">
            <val>2022/06/14</val>
          </value>
          <value t="str">
            <val>2022/12/22</val>
          </value>
        </values>
      </ddeItem>
      <ddeItem name="2314.TW-ID,Name,MarketValue,Capital,NetIncomeGrowthRate,OperIncomeGrowthRate,FinancialStatementsTime,TFXRatio,MonthlyNetSalesYoY,RevenueMonth" advise="1">
        <values cols="10">
          <value t="str">
            <val>2314</val>
          </value>
          <value t="str">
            <val>台揚</val>
          </value>
          <value t="str">
            <val>91.2</val>
          </value>
          <value t="str">
            <val>23.80</val>
          </value>
          <value t="str">
            <val>-18.55</val>
          </value>
          <value t="str">
            <val>-1.64</val>
          </value>
          <value t="str">
            <val>2022/09</val>
          </value>
          <value t="str">
            <val>2.46</val>
          </value>
          <value t="str">
            <val>16.85</val>
          </value>
          <value t="str">
            <val>2022/11</val>
          </value>
        </values>
      </ddeItem>
      <ddeItem name="2314.TW-OperatingProfitRatio,Price,PriceChangeRatio,InOutRatioNumber,Value,YearReturn,MonthReturn,WeekReturn,FinanceBalanceDif,ChipsField2" advise="1">
        <values cols="10">
          <value t="str">
            <val>-9.77</val>
          </value>
          <value>
            <val>38.299999999999997</val>
          </value>
          <value>
            <val>0.52</val>
          </value>
          <value t="str">
            <val>34.38%</val>
          </value>
          <value t="str">
            <val>1219萬</val>
          </value>
          <value t="str">
            <val>-46.73</val>
          </value>
          <value t="str">
            <val>+1.86</val>
          </value>
          <value t="str">
            <val>-6.13</val>
          </value>
          <value>
            <val>-18</val>
          </value>
          <value>
            <val>0</val>
          </value>
        </values>
      </ddeItem>
      <ddeItem name="2316.TW-ChipsField3,ChipsField1,ChipsField25,CashAndStockDividend,CashDividendYieldRate,ProfitFourSeason,ProfitSingle,CName,ExchangeIndustry,CompanyPos" advise="1">
        <values cols="10">
          <value>
            <val>-2</val>
          </value>
          <value>
            <val>-18</val>
          </value>
          <value t="str">
            <val>2022/07/12</val>
          </value>
          <value t="str">
            <val>1.00</val>
          </value>
          <value>
            <val>3.7</val>
          </value>
          <value t="str">
            <val>3.37</val>
          </value>
          <value t="str">
            <val>0.96</val>
          </value>
          <value t="str">
            <val>楠梓電</val>
          </value>
          <value t="str">
            <val>上市電子零組件</val>
          </value>
          <value t="str">
            <val>國內PCB廠商，並轉投資於深交所掛牌之滬電股份</val>
          </value>
        </values>
      </ddeItem>
      <ddeItem name="2316.TW-CName,InvestorConferenceDate,DateofMeetingofShareHolders,TradingDate" advise="1">
        <values cols="4">
          <value t="str">
            <val>楠梓電</val>
          </value>
          <value t="str">
            <val>2022/12/15</val>
          </value>
          <value t="str">
            <val>2022/06/15</val>
          </value>
          <value t="str">
            <val>2022/12/22</val>
          </value>
        </values>
      </ddeItem>
      <ddeItem name="2316.TW-ID,Name,MarketValue,Capital,NetIncomeGrowthRate,OperIncomeGrowthRate,FinancialStatementsTime,TFXRatio,MonthlyNetSalesYoY,RevenueMonth" advise="1">
        <values cols="10">
          <value t="str">
            <val>2316</val>
          </value>
          <value t="str">
            <val>楠梓電</val>
          </value>
          <value t="str">
            <val>49.3</val>
          </value>
          <value t="str">
            <val>18.27</val>
          </value>
          <value t="str">
            <val>19.92</val>
          </value>
          <value t="str">
            <val>-766.20</val>
          </value>
          <value t="str">
            <val>2022/09</val>
          </value>
          <value t="str">
            <val>-10.05</val>
          </value>
          <value t="str">
            <val>-28.06</val>
          </value>
          <value t="str">
            <val>2022/11</val>
          </value>
        </values>
      </ddeItem>
      <ddeItem name="2316.TW-OperatingProfitRatio,Price,PriceChangeRatio,InOutRatioNumber,Value,YearReturn,MonthReturn,WeekReturn,FinanceBalanceDif,ChipsField2" advise="1">
        <values cols="10">
          <value t="str">
            <val>-3.52</val>
          </value>
          <value>
            <val>27</val>
          </value>
          <value>
            <val>0.56000000000000005</val>
          </value>
          <value t="str">
            <val>64.66%</val>
          </value>
          <value t="str">
            <val>327萬</val>
          </value>
          <value t="str">
            <val>-7.69</val>
          </value>
          <value t="str">
            <val>+8.87</val>
          </value>
          <value t="str">
            <val>+2.08</val>
          </value>
          <value>
            <val>-3</val>
          </value>
          <value>
            <val>0</val>
          </value>
        </values>
      </ddeItem>
      <ddeItem name="2317.TW-ChipsField3,ChipsField1,ChipsField25,CashAndStockDividend,CashDividendYieldRate,ProfitFourSeason,ProfitSingle,CName,ExchangeIndustry,CompanyPos" advise="1">
        <values cols="10">
          <value>
            <val>-1593</val>
          </value>
          <value>
            <val>-12424</val>
          </value>
          <value t="str">
            <val>2022/07/04</val>
          </value>
          <value t="str">
            <val>5.20</val>
          </value>
          <value>
            <val>5.15</val>
          </value>
          <value t="str">
            <val>10.53</val>
          </value>
          <value t="str">
            <val>2.80</val>
          </value>
          <value t="str">
            <val>鴻海</val>
          </value>
          <value t="str">
            <val>上市其他電子</val>
          </value>
          <value t="str">
            <val>全球最大EMS電子專業代工廠</val>
          </value>
        </values>
      </ddeItem>
      <ddeItem name="2317.TW-CName,InvestorConferenceDate,DateofMeetingofShareHolders,TradingDate" advise="1">
        <values cols="4">
          <value t="str">
            <val>鴻海</val>
          </value>
          <value t="str">
            <val>2022/12/13</val>
          </value>
          <value t="str">
            <val>2022/05/31</val>
          </value>
          <value t="str">
            <val>2022/12/22</val>
          </value>
        </values>
      </ddeItem>
      <ddeItem name="2317.TW-ID,Name,MarketValue,Capital,NetIncomeGrowthRate,OperIncomeGrowthRate,FinancialStatementsTime,TFXRatio,MonthlyNetSalesYoY,RevenueMonth" advise="1">
        <values cols="10">
          <value t="str">
            <val>2317</val>
          </value>
          <value t="str">
            <val>鴻海</val>
          </value>
          <value t="str">
            <val>14001.6</val>
          </value>
          <value t="str">
            <val>1386.30</val>
          </value>
          <value t="str">
            <val>3.28</val>
          </value>
          <value t="str">
            <val>34.62</val>
          </value>
          <value t="str">
            <val>2022/09</val>
          </value>
          <value t="str">
            <val>-29.04</val>
          </value>
          <value t="str">
            <val>-11.36</val>
          </value>
          <value t="str">
            <val>2022/11</val>
          </value>
        </values>
      </ddeItem>
      <ddeItem name="2317.TW-OperatingProfitRatio,Price,PriceChangeRatio,InOutRatioNumber,Value,YearReturn,MonthReturn,WeekReturn,FinanceBalanceDif,ChipsField2" advise="1">
        <values cols="10">
          <value t="str">
            <val>2.78</val>
          </value>
          <value>
            <val>101</val>
          </value>
          <value>
            <val>1</val>
          </value>
          <value t="str">
            <val>61.40%</val>
          </value>
          <value t="str">
            <val>21.3億</val>
          </value>
          <value t="str">
            <val>+1.64</val>
          </value>
          <value t="str">
            <val>+1.00</val>
          </value>
          <value t="str">
            <val>-1.46</val>
          </value>
          <value>
            <val>149</val>
          </value>
          <value>
            <val>6730</val>
          </value>
        </values>
      </ddeItem>
      <ddeItem name="232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0.26</val>
          </value>
          <value t="str">
            <val>0.08</val>
          </value>
          <value t="str">
            <val>東訊</val>
          </value>
          <value t="str">
            <val>上市通信網路</val>
          </value>
          <value t="str">
            <val>東元集團轉投資通訊設備製造商及手機通路商</val>
          </value>
        </values>
      </ddeItem>
      <ddeItem name="2321.TW-CName,InvestorConferenceDate,DateofMeetingofShareHolders,TradingDate" advise="1">
        <values cols="4">
          <value t="str">
            <val>東訊</val>
          </value>
          <value t="str">
            <val>2022/11/02</val>
          </value>
          <value t="str">
            <val>2022/11/16</val>
          </value>
          <value t="str">
            <val>2022/12/22</val>
          </value>
        </values>
      </ddeItem>
      <ddeItem name="2321.TW-ID,Name,MarketValue,Capital,NetIncomeGrowthRate,OperIncomeGrowthRate,FinancialStatementsTime,TFXRatio,MonthlyNetSalesYoY,RevenueMonth" advise="1">
        <values cols="10">
          <value t="str">
            <val>2321</val>
          </value>
          <value t="str">
            <val>東訊</val>
          </value>
          <value t="str">
            <val>2.6</val>
          </value>
          <value t="str">
            <val>4.46</val>
          </value>
          <value t="str">
            <val>100.68</val>
          </value>
          <value t="str">
            <val>360.90</val>
          </value>
          <value t="str">
            <val>2022/09</val>
          </value>
          <value t="str">
            <val>24.25</val>
          </value>
          <value t="str">
            <val>-6.76</val>
          </value>
          <value t="str">
            <val>2022/11</val>
          </value>
        </values>
      </ddeItem>
      <ddeItem name="2321.TW-OperatingProfitRatio,Price,PriceChangeRatio,InOutRatioNumber,Value,YearReturn,MonthReturn,WeekReturn,FinanceBalanceDif,ChipsField2" advise="1">
        <values cols="10">
          <value t="str">
            <val>0.51</val>
          </value>
          <value>
            <val>5.82</val>
          </value>
          <value>
            <val>4.68</val>
          </value>
          <value t="str">
            <val>100.00%</val>
          </value>
          <value t="str">
            <val>5820</val>
          </value>
          <value t="str">
            <val>-14.41</val>
          </value>
          <value t="str">
            <val>+13.45</val>
          </value>
          <value t="str">
            <val>+1.39</val>
          </value>
          <value>
            <val>0</val>
          </value>
          <value>
            <val>0</val>
          </value>
        </values>
      </ddeItem>
      <ddeItem name="2323.TW-ChipsField3,ChipsField1,ChipsField25,CashAndStockDividend,CashDividendYieldRate,ProfitFourSeason,ProfitSingle,CName,ExchangeIndustry,CompanyPos" advise="1">
        <values cols="10">
          <value>
            <val>-240</val>
          </value>
          <value>
            <val>-216</val>
          </value>
          <value t="str">
            <val>2022/10/14</val>
          </value>
          <value t="str">
            <val>0.10</val>
          </value>
          <value>
            <val>1.33</val>
          </value>
          <value t="str">
            <val>-0.71</val>
          </value>
          <value t="str">
            <val>-0.25</val>
          </value>
          <value t="str">
            <val>中環</val>
          </value>
          <value t="str">
            <val>上市光電</val>
          </value>
          <value t="str">
            <val>全球前三大光碟片製造商之一</val>
          </value>
        </values>
      </ddeItem>
      <ddeItem name="2323.TW-CName,InvestorConferenceDate,DateofMeetingofShareHolders,TradingDate" advise="1">
        <values cols="4">
          <value t="str">
            <val>中環</val>
          </value>
          <value t="str">
            <val>2022/12/09</val>
          </value>
          <value t="str">
            <val>2022/06/17</val>
          </value>
          <value t="str">
            <val>2022/12/22</val>
          </value>
        </values>
      </ddeItem>
      <ddeItem name="2323.TW-ID,Name,MarketValue,Capital,NetIncomeGrowthRate,OperIncomeGrowthRate,FinancialStatementsTime,TFXRatio,MonthlyNetSalesYoY,RevenueMonth" advise="1">
        <values cols="10">
          <value t="str">
            <val>2323</val>
          </value>
          <value t="str">
            <val>中環</val>
          </value>
          <value t="str">
            <val>81.7</val>
          </value>
          <value t="str">
            <val>108.93</val>
          </value>
          <value t="str">
            <val>-4818.75</val>
          </value>
          <value t="str">
            <val>-100.21</val>
          </value>
          <value t="str">
            <val>2022/09</val>
          </value>
          <value t="str">
            <val>2.02</val>
          </value>
          <value t="str">
            <val>-18.14</val>
          </value>
          <value t="str">
            <val>2022/11</val>
          </value>
        </values>
      </ddeItem>
      <ddeItem name="2323.TW-OperatingProfitRatio,Price,PriceChangeRatio,InOutRatioNumber,Value,YearReturn,MonthReturn,WeekReturn,FinanceBalanceDif,ChipsField2" advise="1">
        <values cols="10">
          <value t="str">
            <val>-4.92</val>
          </value>
          <value>
            <val>7.5</val>
          </value>
          <value>
            <val>1.63</val>
          </value>
          <value t="str">
            <val>64.84%</val>
          </value>
          <value t="str">
            <val>1428萬</val>
          </value>
          <value t="str">
            <val>-12.01</val>
          </value>
          <value t="str">
            <val>+6.99</val>
          </value>
          <value t="str">
            <val>-2.60</val>
          </value>
          <value>
            <val>17</val>
          </value>
          <value>
            <val>0</val>
          </value>
        </values>
      </ddeItem>
      <ddeItem name="2324.TW-ChipsField3,ChipsField1,ChipsField25,CashAndStockDividend,CashDividendYieldRate,ProfitFourSeason,ProfitSingle,CName,ExchangeIndustry,CompanyPos" advise="1">
        <values cols="10">
          <value>
            <val>349</val>
          </value>
          <value>
            <val>12709</val>
          </value>
          <value t="str">
            <val>2022/04/22</val>
          </value>
          <value t="str">
            <val>2.00</val>
          </value>
          <value>
            <val>8.75</val>
          </value>
          <value t="str">
            <val>2.16</val>
          </value>
          <value t="str">
            <val>0.47</val>
          </value>
          <value t="str">
            <val>仁寶</val>
          </value>
          <value t="str">
            <val>上市電腦及週邊設備</val>
          </value>
          <value t="str">
            <val>全球知名NB代工廠</val>
          </value>
        </values>
      </ddeItem>
      <ddeItem name="2324.TW-CName,InvestorConferenceDate,DateofMeetingofShareHolders,TradingDate" advise="1">
        <values cols="4">
          <value t="str">
            <val>仁寶</val>
          </value>
          <value t="str">
            <val>2022/11/15</val>
          </value>
          <value t="str">
            <val>2022/06/24</val>
          </value>
          <value t="str">
            <val>2022/12/22</val>
          </value>
        </values>
      </ddeItem>
      <ddeItem name="2324.TW-ID,Name,MarketValue,Capital,NetIncomeGrowthRate,OperIncomeGrowthRate,FinancialStatementsTime,TFXRatio,MonthlyNetSalesYoY,RevenueMonth" advise="1">
        <values cols="10">
          <value t="str">
            <val>2324</val>
          </value>
          <value t="str">
            <val>仁寶</val>
          </value>
          <value t="str">
            <val>1007.0</val>
          </value>
          <value t="str">
            <val>440.71</val>
          </value>
          <value t="str">
            <val>-30.63</val>
          </value>
          <value t="str">
            <val>-25.42</val>
          </value>
          <value t="str">
            <val>2022/09</val>
          </value>
          <value t="str">
            <val>-14.24</val>
          </value>
          <value t="str">
            <val>-34.03</val>
          </value>
          <value t="str">
            <val>2022/11</val>
          </value>
        </values>
      </ddeItem>
      <ddeItem name="2324.TW-OperatingProfitRatio,Price,PriceChangeRatio,InOutRatioNumber,Value,YearReturn,MonthReturn,WeekReturn,FinanceBalanceDif,ChipsField2" advise="1">
        <values cols="10">
          <value t="str">
            <val>0.85</val>
          </value>
          <value>
            <val>22.85</val>
          </value>
          <value>
            <val>0</val>
          </value>
          <value t="str">
            <val>27.95%</val>
          </value>
          <value t="str">
            <val>5.57億</val>
          </value>
          <value t="str">
            <val>+4.00</val>
          </value>
          <value t="str">
            <val>+8.29</val>
          </value>
          <value t="str">
            <val>+3.86</val>
          </value>
          <value>
            <val>-57</val>
          </value>
          <value>
            <val>-9857</val>
          </value>
        </values>
      </ddeItem>
      <ddeItem name="2327.TW-ChipsField3,ChipsField1,ChipsField25,CashAndStockDividend,CashDividendYieldRate,ProfitFourSeason,ProfitSingle,CName,ExchangeIndustry,CompanyPos" advise="1">
        <values cols="10">
          <value>
            <val>-33</val>
          </value>
          <value>
            <val>-75</val>
          </value>
          <value t="str">
            <val>2022/07/04</val>
          </value>
          <value t="str">
            <val>10.10</val>
          </value>
          <value>
            <val>2.17</val>
          </value>
          <value t="str">
            <val>44.46</val>
          </value>
          <value t="str">
            <val>12.10</val>
          </value>
          <value t="str">
            <val>國巨</val>
          </value>
          <value t="str">
            <val>上市電子零組件</val>
          </value>
          <value t="str">
            <val>全球被動元件供應商，亦為全球晶片電阻大廠</val>
          </value>
        </values>
      </ddeItem>
      <ddeItem name="2327.TW-CName,InvestorConferenceDate,DateofMeetingofShareHolders,TradingDate" advise="1">
        <values cols="4">
          <value t="str">
            <val>國巨</val>
          </value>
          <value t="str">
            <val>2022/11/03</val>
          </value>
          <value t="str">
            <val>2022/06/08</val>
          </value>
          <value t="str">
            <val>2022/12/22</val>
          </value>
        </values>
      </ddeItem>
      <ddeItem name="2327.TW-ID,Name,MarketValue,Capital,NetIncomeGrowthRate,OperIncomeGrowthRate,FinancialStatementsTime,TFXRatio,MonthlyNetSalesYoY,RevenueMonth" advise="1">
        <values cols="10">
          <value t="str">
            <val>2327</val>
          </value>
          <value t="str">
            <val>國巨</val>
          </value>
          <value t="str">
            <val>1965.2</val>
          </value>
          <value t="str">
            <val>42.13</val>
          </value>
          <value t="str">
            <val>-3.23</val>
          </value>
          <value t="str">
            <val>-4.65</val>
          </value>
          <value t="str">
            <val>2022/09</val>
          </value>
          <value t="str">
            <val>2.02</val>
          </value>
          <value t="str">
            <val>12.86</val>
          </value>
          <value t="str">
            <val>2022/11</val>
          </value>
        </values>
      </ddeItem>
      <ddeItem name="2327.TW-OperatingProfitRatio,Price,PriceChangeRatio,InOutRatioNumber,Value,YearReturn,MonthReturn,WeekReturn,FinanceBalanceDif,ChipsField2" advise="1">
        <values cols="10">
          <value t="str">
            <val>24.99</val>
          </value>
          <value>
            <val>466.5</val>
          </value>
          <value>
            <val>2.64</val>
          </value>
          <value t="str">
            <val>55.36%</val>
          </value>
          <value t="str">
            <val>8.03億</val>
          </value>
          <value t="str">
            <val>-14.71</val>
          </value>
          <value t="str">
            <val>+2.75</val>
          </value>
          <value t="str">
            <val>-4.01</val>
          </value>
          <value>
            <val>92</val>
          </value>
          <value>
            <val>78</val>
          </value>
        </values>
      </ddeItem>
      <ddeItem name="2328.TW-ChipsField3,ChipsField1,ChipsField25,CashAndStockDividend,CashDividendYieldRate,ProfitFourSeason,ProfitSingle,CName,ExchangeIndustry,CompanyPos" advise="1">
        <values cols="10">
          <value>
            <val>70</val>
          </value>
          <value>
            <val>0</val>
          </value>
          <value t="str">
            <val>2022/08/30</val>
          </value>
          <value t="str">
            <val>1.00</val>
          </value>
          <value>
            <val>2.61</val>
          </value>
          <value t="str">
            <val>2.42</val>
          </value>
          <value t="str">
            <val>0.95</val>
          </value>
          <value t="str">
            <val>廣宇</val>
          </value>
          <value t="str">
            <val>上市電子零組件</val>
          </value>
          <value t="str">
            <val>鴻海旗下電子零件代工、PCB及連接器廠</val>
          </value>
        </values>
      </ddeItem>
      <ddeItem name="2328.TW-CName,InvestorConferenceDate,DateofMeetingofShareHolders,TradingDate" advise="1">
        <values cols="4">
          <value t="str">
            <val>廣宇</val>
          </value>
          <value t="str">
            <val>2022/12/19</val>
          </value>
          <value t="str">
            <val>2022/06/15</val>
          </value>
          <value t="str">
            <val>2022/12/22</val>
          </value>
        </values>
      </ddeItem>
      <ddeItem name="2328.TW-ID,Name,MarketValue,Capital,NetIncomeGrowthRate,OperIncomeGrowthRate,FinancialStatementsTime,TFXRatio,MonthlyNetSalesYoY,RevenueMonth" advise="1">
        <values cols="10">
          <value t="str">
            <val>2328</val>
          </value>
          <value t="str">
            <val>廣宇</val>
          </value>
          <value t="str">
            <val>198.5</val>
          </value>
          <value t="str">
            <val>51.83</val>
          </value>
          <value t="str">
            <val>38.78</val>
          </value>
          <value t="str">
            <val>14.79</val>
          </value>
          <value t="str">
            <val>2022/09</val>
          </value>
          <value t="str">
            <val>20.52</val>
          </value>
          <value t="str">
            <val>16.08</val>
          </value>
          <value t="str">
            <val>2022/11</val>
          </value>
        </values>
      </ddeItem>
      <ddeItem name="2328.TW-OperatingProfitRatio,Price,PriceChangeRatio,InOutRatioNumber,Value,YearReturn,MonthReturn,WeekReturn,FinanceBalanceDif,ChipsField2" advise="1">
        <values cols="10">
          <value t="str">
            <val>6.02</val>
          </value>
          <value>
            <val>38.299999999999997</val>
          </value>
          <value>
            <val>0.92</val>
          </value>
          <value t="str">
            <val>42.30%</val>
          </value>
          <value t="str">
            <val>9754萬</val>
          </value>
          <value t="str">
            <val>+0.44</val>
          </value>
          <value t="str">
            <val>+12.32</val>
          </value>
          <value t="str">
            <val>-1.03</val>
          </value>
          <value>
            <val>-259</val>
          </value>
          <value>
            <val>0</val>
          </value>
        </values>
      </ddeItem>
      <ddeItem name="2329.TW-ChipsField3,ChipsField1,ChipsField25,CashAndStockDividend,CashDividendYieldRate,ProfitFourSeason,ProfitSingle,CName,ExchangeIndustry,CompanyPos" advise="1">
        <values cols="10">
          <value>
            <val>8</val>
          </value>
          <value>
            <val>340</val>
          </value>
          <value t="str">
            <val>2022/07/21</val>
          </value>
          <value t="str">
            <val>1.00</val>
          </value>
          <value>
            <val>5.59</val>
          </value>
          <value t="str">
            <val>3.16</val>
          </value>
          <value t="str">
            <val>0.65</val>
          </value>
          <value t="str">
            <val>華泰</val>
          </value>
          <value t="str">
            <val>上市半導體</val>
          </value>
          <value t="str">
            <val>與金士頓合作之NAND Flash、記憶卡封測廠</val>
          </value>
        </values>
      </ddeItem>
      <ddeItem name="2329.TW-CName,InvestorConferenceDate,DateofMeetingofShareHolders,TradingDate" advise="1">
        <values cols="4">
          <value t="str">
            <val>華泰</val>
          </value>
          <value t="str">
            <val>2022/11/25</val>
          </value>
          <value t="str">
            <val>2022/06/10</val>
          </value>
          <value t="str">
            <val>2022/12/22</val>
          </value>
        </values>
      </ddeItem>
      <ddeItem name="2329.TW-ID,Name,MarketValue,Capital,NetIncomeGrowthRate,OperIncomeGrowthRate,FinancialStatementsTime,TFXRatio,MonthlyNetSalesYoY,RevenueMonth" advise="1">
        <values cols="10">
          <value t="str">
            <val>2329</val>
          </value>
          <value t="str">
            <val>華泰</val>
          </value>
          <value t="str">
            <val>99.4</val>
          </value>
          <value t="str">
            <val>55.53</val>
          </value>
          <value t="str">
            <val>22.01</val>
          </value>
          <value t="str">
            <val>-4.97</val>
          </value>
          <value t="str">
            <val>2022/09</val>
          </value>
          <value t="str">
            <val>3.67</val>
          </value>
          <value t="str">
            <val>-8.26</val>
          </value>
          <value t="str">
            <val>2022/11</val>
          </value>
        </values>
      </ddeItem>
      <ddeItem name="2329.TW-OperatingProfitRatio,Price,PriceChangeRatio,InOutRatioNumber,Value,YearReturn,MonthReturn,WeekReturn,FinanceBalanceDif,ChipsField2" advise="1">
        <values cols="10">
          <value t="str">
            <val>9.78</val>
          </value>
          <value>
            <val>17.899999999999999</val>
          </value>
          <value>
            <val>1.99</val>
          </value>
          <value t="str">
            <val>66.20%</val>
          </value>
          <value t="str">
            <val>2439萬</val>
          </value>
          <value t="str">
            <val>-23.63</val>
          </value>
          <value t="str">
            <val>-3.24</val>
          </value>
          <value t="str">
            <val>-2.98</val>
          </value>
          <value>
            <val>40</val>
          </value>
          <value>
            <val>0</val>
          </value>
        </values>
      </ddeItem>
      <ddeItem name="2330.TW-ChipsField3,ChipsField1,ChipsField25,CashAndStockDividend,CashDividendYieldRate,ProfitFourSeason,ProfitSingle,CName,ExchangeIndustry,CompanyPos" advise="1">
        <values cols="10">
          <value>
            <val>-1033</val>
          </value>
          <value>
            <val>411</val>
          </value>
          <value t="str">
            <val>2023/03/16</val>
          </value>
          <value t="str">
            <val>2.75</val>
          </value>
          <value>
            <val>2.35</val>
          </value>
          <value t="str">
            <val>34.20</val>
          </value>
          <value t="str">
            <val>10.83</val>
          </value>
          <value t="str">
            <val>台積電</val>
          </value>
          <value t="str">
            <val>上市半導體</val>
          </value>
          <value t="str">
            <val>全球第一大晶圓代工廠</val>
          </value>
        </values>
      </ddeItem>
      <ddeItem name="2330.TW-CName,InvestorConferenceDate,DateofMeetingofShareHolders,TradingDate" advise="1">
        <values cols="4">
          <value t="str">
            <val>台積電</val>
          </value>
          <value t="str">
            <val>2022/10/13</val>
          </value>
          <value t="str">
            <val>2022/06/08</val>
          </value>
          <value t="str">
            <val>2022/12/22</val>
          </value>
        </values>
      </ddeItem>
      <ddeItem name="2330.TW-ID,Name,MarketValue,Capital,NetIncomeGrowthRate,OperIncomeGrowthRate,FinancialStatementsTime,TFXRatio,MonthlyNetSalesYoY,RevenueMonth" advise="1">
        <values cols="10">
          <value t="str">
            <val>2330</val>
          </value>
          <value t="str">
            <val>台積電</val>
          </value>
          <value t="str">
            <val>121354.2</val>
          </value>
          <value t="str">
            <val>2593.04</val>
          </value>
          <value t="str">
            <val>67.41</val>
          </value>
          <value t="str">
            <val>70.42</val>
          </value>
          <value t="str">
            <val>2022/09</val>
          </value>
          <value t="str">
            <val>5.92</val>
          </value>
          <value t="str">
            <val>50.21</val>
          </value>
          <value t="str">
            <val>2022/11</val>
          </value>
        </values>
      </ddeItem>
      <ddeItem name="2330.TW-OperatingProfitRatio,Price,PriceChangeRatio,InOutRatioNumber,Value,YearReturn,MonthReturn,WeekReturn,FinanceBalanceDif,ChipsField2" advise="1">
        <values cols="10">
          <value t="str">
            <val>48.60</val>
          </value>
          <value>
            <val>468</val>
          </value>
          <value>
            <val>1.96</val>
          </value>
          <value t="str">
            <val>66.94%</val>
          </value>
          <value t="str">
            <val>65.2億</val>
          </value>
          <value t="str">
            <val>-19.88</val>
          </value>
          <value t="str">
            <val>-2.35</val>
          </value>
          <value t="str">
            <val>-2.04</val>
          </value>
          <value>
            <val>68</val>
          </value>
          <value>
            <val>-413</val>
          </value>
        </values>
      </ddeItem>
      <ddeItem name="2331.TW-ChipsField3,ChipsField1,ChipsField25,CashAndStockDividend,CashDividendYieldRate,ProfitFourSeason,ProfitSingle,CName,ExchangeIndustry,CompanyPos" advise="1">
        <values cols="10">
          <value>
            <val>9</val>
          </value>
          <value>
            <val>-142</val>
          </value>
          <value t="str">
            <val>--</val>
          </value>
          <value t="str">
            <val>0.00</val>
          </value>
          <value>
            <val>0</val>
          </value>
          <value t="str">
            <val>1.88</val>
          </value>
          <value t="str">
            <val>0.74</val>
          </value>
          <value t="str">
            <val>精英</val>
          </value>
          <value t="str">
            <val>上市電腦及週邊設備</val>
          </value>
          <value t="str">
            <val>屬大同集團之台灣前四大主機板廠</val>
          </value>
        </values>
      </ddeItem>
      <ddeItem name="2331.TW-CName,InvestorConferenceDate,DateofMeetingofShareHolders,TradingDate" advise="1">
        <values cols="4">
          <value t="str">
            <val>精英</val>
          </value>
          <value t="str">
            <val>2022/12/07</val>
          </value>
          <value t="str">
            <val>2022/06/23</val>
          </value>
          <value t="str">
            <val>2022/12/22</val>
          </value>
        </values>
      </ddeItem>
      <ddeItem name="2331.TW-ID,Name,MarketValue,Capital,NetIncomeGrowthRate,OperIncomeGrowthRate,FinancialStatementsTime,TFXRatio,MonthlyNetSalesYoY,RevenueMonth" advise="1">
        <values cols="10">
          <value t="str">
            <val>2331</val>
          </value>
          <value t="str">
            <val>精英</val>
          </value>
          <value t="str">
            <val>120.1</val>
          </value>
          <value t="str">
            <val>55.74</val>
          </value>
          <value t="str">
            <val>4563.76</val>
          </value>
          <value t="str">
            <val>190.00</val>
          </value>
          <value t="str">
            <val>2022/09</val>
          </value>
          <value t="str">
            <val>-12.62</val>
          </value>
          <value t="str">
            <val>-50.33</val>
          </value>
          <value t="str">
            <val>2022/11</val>
          </value>
        </values>
      </ddeItem>
      <ddeItem name="2331.TW-OperatingProfitRatio,Price,PriceChangeRatio,InOutRatioNumber,Value,YearReturn,MonthReturn,WeekReturn,FinanceBalanceDif,ChipsField2" advise="1">
        <values cols="10">
          <value t="str">
            <val>1.11</val>
          </value>
          <value>
            <val>21.55</val>
          </value>
          <value>
            <val>0.23</val>
          </value>
          <value t="str">
            <val>36.17%</val>
          </value>
          <value t="str">
            <val>1039萬</val>
          </value>
          <value t="str">
            <val>-2.05</val>
          </value>
          <value t="str">
            <val>-1.37</val>
          </value>
          <value t="str">
            <val>-6.71</val>
          </value>
          <value>
            <val>-48</val>
          </value>
          <value>
            <val>0</val>
          </value>
        </values>
      </ddeItem>
      <ddeItem name="2332.TW-ChipsField3,ChipsField1,ChipsField25,CashAndStockDividend,CashDividendYieldRate,ProfitFourSeason,ProfitSingle,CName,ExchangeIndustry,CompanyPos" advise="1">
        <values cols="10">
          <value>
            <val>512</val>
          </value>
          <value>
            <val>-3489</val>
          </value>
          <value t="str">
            <val>2022/07/27</val>
          </value>
          <value t="str">
            <val>0.30</val>
          </value>
          <value>
            <val>1.92</val>
          </value>
          <value t="str">
            <val>0.41</val>
          </value>
          <value t="str">
            <val>0.00</val>
          </value>
          <value t="str">
            <val>友訊</val>
          </value>
          <value t="str">
            <val>上市通信網路</val>
          </value>
          <value t="str">
            <val>以D-Link品牌行銷網通設備之全球領導廠商</val>
          </value>
        </values>
      </ddeItem>
      <ddeItem name="2332.TW-CName,InvestorConferenceDate,DateofMeetingofShareHolders,TradingDate" advise="1">
        <values cols="4">
          <value t="str">
            <val>友訊</val>
          </value>
          <value t="str">
            <val>2022/12/19</val>
          </value>
          <value t="str">
            <val>2022/05/27</val>
          </value>
          <value t="str">
            <val>2022/12/22</val>
          </value>
        </values>
      </ddeItem>
      <ddeItem name="2332.TW-ID,Name,MarketValue,Capital,NetIncomeGrowthRate,OperIncomeGrowthRate,FinancialStatementsTime,TFXRatio,MonthlyNetSalesYoY,RevenueMonth" advise="1">
        <values cols="10">
          <value t="str">
            <val>2332</val>
          </value>
          <value t="str">
            <val>友訊</val>
          </value>
          <value t="str">
            <val>93.6</val>
          </value>
          <value t="str">
            <val>59.98</val>
          </value>
          <value t="str">
            <val>41.41</val>
          </value>
          <value t="str">
            <val>37.02</val>
          </value>
          <value t="str">
            <val>2022/09</val>
          </value>
          <value t="str">
            <val>-0.89</val>
          </value>
          <value t="str">
            <val>6.53</val>
          </value>
          <value t="str">
            <val>2022/11</val>
          </value>
        </values>
      </ddeItem>
      <ddeItem name="2332.TW-OperatingProfitRatio,Price,PriceChangeRatio,InOutRatioNumber,Value,YearReturn,MonthReturn,WeekReturn,FinanceBalanceDif,ChipsField2" advise="1">
        <values cols="10">
          <value t="str">
            <val>1.35</val>
          </value>
          <value>
            <val>15.6</val>
          </value>
          <value>
            <val>-1.27</val>
          </value>
          <value t="str">
            <val>37.30%</val>
          </value>
          <value t="str">
            <val>9531萬</val>
          </value>
          <value t="str">
            <val>-13.86</val>
          </value>
          <value t="str">
            <val>+9.09</val>
          </value>
          <value t="str">
            <val>+3.65</val>
          </value>
          <value>
            <val>961</val>
          </value>
          <value>
            <val>0</val>
          </value>
        </values>
      </ddeItem>
      <ddeItem name="2337.TW-ChipsField3,ChipsField1,ChipsField25,CashAndStockDividend,CashDividendYieldRate,ProfitFourSeason,ProfitSingle,CName,ExchangeIndustry,CompanyPos" advise="1">
        <values cols="10">
          <value>
            <val>526</val>
          </value>
          <value>
            <val>-24314</val>
          </value>
          <value t="str">
            <val>2022/07/13</val>
          </value>
          <value t="str">
            <val>1.80</val>
          </value>
          <value>
            <val>5.17</val>
          </value>
          <value t="str">
            <val>6.52</val>
          </value>
          <value t="str">
            <val>1.35</val>
          </value>
          <value t="str">
            <val>旺宏</val>
          </value>
          <value t="str">
            <val>上市半導體</val>
          </value>
          <value t="str">
            <val>全球非揮發性記憶體整合元件領導廠</val>
          </value>
        </values>
      </ddeItem>
      <ddeItem name="2337.TW-CName,InvestorConferenceDate,DateofMeetingofShareHolders,TradingDate" advise="1">
        <values cols="4">
          <value t="str">
            <val>旺宏</val>
          </value>
          <value t="str">
            <val>2022/10/25</val>
          </value>
          <value t="str">
            <val>2022/05/27</val>
          </value>
          <value t="str">
            <val>2022/12/22</val>
          </value>
        </values>
      </ddeItem>
      <ddeItem name="2337.TW-ID,Name,MarketValue,Capital,NetIncomeGrowthRate,OperIncomeGrowthRate,FinancialStatementsTime,TFXRatio,MonthlyNetSalesYoY,RevenueMonth" advise="1">
        <values cols="10">
          <value t="str">
            <val>2337</val>
          </value>
          <value t="str">
            <val>旺宏</val>
          </value>
          <value t="str">
            <val>645.8</val>
          </value>
          <value t="str">
            <val>185.59</val>
          </value>
          <value t="str">
            <val>1.13</val>
          </value>
          <value t="str">
            <val>23.60</val>
          </value>
          <value t="str">
            <val>2022/09</val>
          </value>
          <value t="str">
            <val>-25.87</val>
          </value>
          <value t="str">
            <val>-41.63</val>
          </value>
          <value t="str">
            <val>2022/11</val>
          </value>
        </values>
      </ddeItem>
      <ddeItem name="2337.TW-OperatingProfitRatio,Price,PriceChangeRatio,InOutRatioNumber,Value,YearReturn,MonthReturn,WeekReturn,FinanceBalanceDif,ChipsField2" advise="1">
        <values cols="10">
          <value t="str">
            <val>25.04</val>
          </value>
          <value>
            <val>34.799999999999997</val>
          </value>
          <value>
            <val>-0.14000000000000001</val>
          </value>
          <value t="str">
            <val>64.29%</val>
          </value>
          <value t="str">
            <val>8.24億</val>
          </value>
          <value t="str">
            <val>-10.01</val>
          </value>
          <value t="str">
            <val>+1.75</val>
          </value>
          <value t="str">
            <val>-1.42</val>
          </value>
          <value>
            <val>348</val>
          </value>
          <value>
            <val>21413</val>
          </value>
        </values>
      </ddeItem>
      <ddeItem name="2338.TW-ChipsField3,ChipsField1,ChipsField25,CashAndStockDividend,CashDividendYieldRate,ProfitFourSeason,ProfitSingle,CName,ExchangeIndustry,CompanyPos" advise="1">
        <values cols="10">
          <value>
            <val>10</val>
          </value>
          <value>
            <val>-260</val>
          </value>
          <value t="str">
            <val>2022/08/17</val>
          </value>
          <value t="str">
            <val>2.00</val>
          </value>
          <value>
            <val>2.34</val>
          </value>
          <value t="str">
            <val>1.59</val>
          </value>
          <value t="str">
            <val>2.93</val>
          </value>
          <value t="str">
            <val>光罩</val>
          </value>
          <value t="str">
            <val>上市半導體</val>
          </value>
          <value t="str">
            <val>台灣專業光罩廠商</val>
          </value>
        </values>
      </ddeItem>
      <ddeItem name="2338.TW-CName,InvestorConferenceDate,DateofMeetingofShareHolders,TradingDate" advise="1">
        <values cols="4">
          <value t="str">
            <val>光罩</val>
          </value>
          <value t="str">
            <val>2021/11/16</val>
          </value>
          <value t="str">
            <val>2022/07/26</val>
          </value>
          <value t="str">
            <val>2022/12/22</val>
          </value>
        </values>
      </ddeItem>
      <ddeItem name="2338.TW-ID,Name,MarketValue,Capital,NetIncomeGrowthRate,OperIncomeGrowthRate,FinancialStatementsTime,TFXRatio,MonthlyNetSalesYoY,RevenueMonth" advise="1">
        <values cols="10">
          <value t="str">
            <val>2338</val>
          </value>
          <value t="str">
            <val>光罩</val>
          </value>
          <value t="str">
            <val>218.6</val>
          </value>
          <value t="str">
            <val>25.57</val>
          </value>
          <value t="str">
            <val>-123.63</val>
          </value>
          <value t="str">
            <val>263.98</val>
          </value>
          <value t="str">
            <val>2022/09</val>
          </value>
          <value t="str">
            <val>2.47</val>
          </value>
          <value t="str">
            <val>13.24</val>
          </value>
          <value t="str">
            <val>2022/11</val>
          </value>
        </values>
      </ddeItem>
      <ddeItem name="2338.TW-OperatingProfitRatio,Price,PriceChangeRatio,InOutRatioNumber,Value,YearReturn,MonthReturn,WeekReturn,FinanceBalanceDif,ChipsField2" advise="1">
        <values cols="10">
          <value t="str">
            <val>16.41</val>
          </value>
          <value>
            <val>85.5</val>
          </value>
          <value>
            <val>-0.23</val>
          </value>
          <value t="str">
            <val>43.30%</val>
          </value>
          <value t="str">
            <val>3.04億</val>
          </value>
          <value t="str">
            <val>-11.00</val>
          </value>
          <value t="str">
            <val>+16.49</val>
          </value>
          <value t="str">
            <val>-6.56</val>
          </value>
          <value>
            <val>-75</val>
          </value>
          <value>
            <val>-79</val>
          </value>
        </values>
      </ddeItem>
      <ddeItem name="2340.TW-ChipsField3,ChipsField1,ChipsField25,CashAndStockDividend,CashDividendYieldRate,ProfitFourSeason,ProfitSingle,CName,ExchangeIndustry,CompanyPos" advise="1">
        <values cols="10">
          <value>
            <val>-220</val>
          </value>
          <value>
            <val>79</val>
          </value>
          <value t="str">
            <val>2022/07/21</val>
          </value>
          <value t="str">
            <val>3.00</val>
          </value>
          <value>
            <val>8.57</val>
          </value>
          <value t="str">
            <val>1.25</val>
          </value>
          <value t="str">
            <val>0.24</val>
          </value>
          <value t="str">
            <val>台亞</val>
          </value>
          <value t="str">
            <val>上市半導體</val>
          </value>
          <value t="str">
            <val>日亞化轉投資感測元件與LED發光元件公司</val>
          </value>
        </values>
      </ddeItem>
      <ddeItem name="2340.TW-CName,InvestorConferenceDate,DateofMeetingofShareHolders,TradingDate" advise="1">
        <values cols="4">
          <value t="str">
            <val>台亞</val>
          </value>
          <value t="str">
            <val>2022/11/22</val>
          </value>
          <value t="str">
            <val>2022/06/23</val>
          </value>
          <value t="str">
            <val>2022/12/22</val>
          </value>
        </values>
      </ddeItem>
      <ddeItem name="2340.TW-ID,Name,MarketValue,Capital,NetIncomeGrowthRate,OperIncomeGrowthRate,FinancialStatementsTime,TFXRatio,MonthlyNetSalesYoY,RevenueMonth" advise="1">
        <values cols="10">
          <value t="str">
            <val>2340</val>
          </value>
          <value t="str">
            <val>台亞</val>
          </value>
          <value t="str">
            <val>132.5</val>
          </value>
          <value t="str">
            <val>43.86</val>
          </value>
          <value t="str">
            <val>-43.80</val>
          </value>
          <value t="str">
            <val>-49.79</val>
          </value>
          <value t="str">
            <val>2022/09</val>
          </value>
          <value t="str">
            <val>-7.66</val>
          </value>
          <value t="str">
            <val>-32.95</val>
          </value>
          <value t="str">
            <val>2022/11</val>
          </value>
        </values>
      </ddeItem>
      <ddeItem name="2340.TW-OperatingProfitRatio,Price,PriceChangeRatio,InOutRatioNumber,Value,YearReturn,MonthReturn,WeekReturn,FinanceBalanceDif,ChipsField2" advise="1">
        <values cols="10">
          <value t="str">
            <val>11.44</val>
          </value>
          <value>
            <val>35</val>
          </value>
          <value>
            <val>0.86</val>
          </value>
          <value t="str">
            <val>59.14%</val>
          </value>
          <value t="str">
            <val>2838萬</val>
          </value>
          <value t="str">
            <val>-38.16</val>
          </value>
          <value t="str">
            <val>-6.91</val>
          </value>
          <value t="str">
            <val>-4.24</val>
          </value>
          <value>
            <val>-25</val>
          </value>
          <value>
            <val>0</val>
          </value>
        </values>
      </ddeItem>
      <ddeItem name="2342.TW-ChipsField3,ChipsField1,ChipsField25,CashAndStockDividend,CashDividendYieldRate,ProfitFourSeason,ProfitSingle,CName,ExchangeIndustry,CompanyPos" advise="1">
        <values cols="10">
          <value>
            <val>-2</val>
          </value>
          <value>
            <val>-99</val>
          </value>
          <value t="str">
            <val>2023/02/02</val>
          </value>
          <value t="str">
            <val>1.00</val>
          </value>
          <value>
            <val>1.31</val>
          </value>
          <value t="str">
            <val>3.74</val>
          </value>
          <value t="str">
            <val>1.27</val>
          </value>
          <value t="str">
            <val>茂矽</val>
          </value>
          <value t="str">
            <val>上市半導體</val>
          </value>
          <value t="str">
            <val>轉型專注晶圓代工事業</val>
          </value>
        </values>
      </ddeItem>
      <ddeItem name="2342.TW-CName,InvestorConferenceDate,DateofMeetingofShareHolders,TradingDate" advise="1">
        <values cols="4">
          <value t="str">
            <val>茂矽</val>
          </value>
          <value t="str">
            <val>2022/03/16</val>
          </value>
          <value t="str">
            <val>2022/05/18</val>
          </value>
          <value t="str">
            <val>2022/12/22</val>
          </value>
        </values>
      </ddeItem>
      <ddeItem name="2342.TW-ID,Name,MarketValue,Capital,NetIncomeGrowthRate,OperIncomeGrowthRate,FinancialStatementsTime,TFXRatio,MonthlyNetSalesYoY,RevenueMonth" advise="1">
        <values cols="10">
          <value t="str">
            <val>2342</val>
          </value>
          <value t="str">
            <val>茂矽</val>
          </value>
          <value t="str">
            <val>59.5</val>
          </value>
          <value t="str">
            <val>15.62</val>
          </value>
          <value t="str">
            <val>207.21</val>
          </value>
          <value t="str">
            <val>68.98</val>
          </value>
          <value t="str">
            <val>2022/09</val>
          </value>
          <value t="str">
            <val>-10.88</val>
          </value>
          <value t="str">
            <val>-8.90</val>
          </value>
          <value t="str">
            <val>2022/11</val>
          </value>
        </values>
      </ddeItem>
      <ddeItem name="2342.TW-OperatingProfitRatio,Price,PriceChangeRatio,InOutRatioNumber,Value,YearReturn,MonthReturn,WeekReturn,FinanceBalanceDif,ChipsField2" advise="1">
        <values cols="10">
          <value t="str">
            <val>17.02</val>
          </value>
          <value>
            <val>38.1</val>
          </value>
          <value>
            <val>0.53</val>
          </value>
          <value t="str">
            <val>30.87%</val>
          </value>
          <value t="str">
            <val>1792萬</val>
          </value>
          <value t="str">
            <val>-17.30</val>
          </value>
          <value t="str">
            <val>+2.14</val>
          </value>
          <value t="str">
            <val>-6.16</val>
          </value>
          <value>
            <val>-12</val>
          </value>
          <value>
            <val>0</val>
          </value>
        </values>
      </ddeItem>
      <ddeItem name="2344.TW-ChipsField3,ChipsField1,ChipsField25,CashAndStockDividend,CashDividendYieldRate,ProfitFourSeason,ProfitSingle,CName,ExchangeIndustry,CompanyPos" advise="1">
        <values cols="10">
          <value>
            <val>-795</val>
          </value>
          <value>
            <val>-5444</val>
          </value>
          <value t="str">
            <val>2022/06/16</val>
          </value>
          <value t="str">
            <val>1.00</val>
          </value>
          <value>
            <val>4.93</val>
          </value>
          <value t="str">
            <val>4.17</val>
          </value>
          <value t="str">
            <val>0.67</val>
          </value>
          <value t="str">
            <val>華邦電</val>
          </value>
          <value t="str">
            <val>上市半導體</val>
          </value>
          <value t="str">
            <val>台灣利基型DRAM廠</val>
          </value>
        </values>
      </ddeItem>
      <ddeItem name="2344.TW-CName,InvestorConferenceDate,DateofMeetingofShareHolders,TradingDate" advise="1">
        <values cols="4">
          <value t="str">
            <val>華邦電</val>
          </value>
          <value t="str">
            <val>2022/08/05</val>
          </value>
          <value t="str">
            <val>2022/05/31</val>
          </value>
          <value t="str">
            <val>2022/12/22</val>
          </value>
        </values>
      </ddeItem>
      <ddeItem name="2344.TW-ID,Name,MarketValue,Capital,NetIncomeGrowthRate,OperIncomeGrowthRate,FinancialStatementsTime,TFXRatio,MonthlyNetSalesYoY,RevenueMonth" advise="1">
        <values cols="10">
          <value t="str">
            <val>2344</val>
          </value>
          <value t="str">
            <val>華邦電</val>
          </value>
          <value t="str">
            <val>807.9</val>
          </value>
          <value t="str">
            <val>398.00</val>
          </value>
          <value t="str">
            <val>37.14</val>
          </value>
          <value t="str">
            <val>21.07</val>
          </value>
          <value t="str">
            <val>2022/09</val>
          </value>
          <value t="str">
            <val>4.72</val>
          </value>
          <value t="str">
            <val>-23.83</val>
          </value>
          <value t="str">
            <val>2022/11</val>
          </value>
        </values>
      </ddeItem>
      <ddeItem name="2344.TW-OperatingProfitRatio,Price,PriceChangeRatio,InOutRatioNumber,Value,YearReturn,MonthReturn,WeekReturn,FinanceBalanceDif,ChipsField2" advise="1">
        <values cols="10">
          <value t="str">
            <val>20.69</val>
          </value>
          <value>
            <val>20.3</val>
          </value>
          <value>
            <val>1.25</val>
          </value>
          <value t="str">
            <val>49.84%</val>
          </value>
          <value t="str">
            <val>1.34億</val>
          </value>
          <value t="str">
            <val>-31.87</val>
          </value>
          <value t="str">
            <val>-5.36</val>
          </value>
          <value t="str">
            <val>-4.02</val>
          </value>
          <value>
            <val>183</val>
          </value>
          <value>
            <val>10</val>
          </value>
        </values>
      </ddeItem>
      <ddeItem name="2345.TW-ChipsField3,ChipsField1,ChipsField25,CashAndStockDividend,CashDividendYieldRate,ProfitFourSeason,ProfitSingle,CName,ExchangeIndustry,CompanyPos" advise="1">
        <values cols="10">
          <value>
            <val>-135</val>
          </value>
          <value>
            <val>392</val>
          </value>
          <value t="str">
            <val>2022/08/04</val>
          </value>
          <value t="str">
            <val>6.00</val>
          </value>
          <value>
            <val>2.36</val>
          </value>
          <value t="str">
            <val>13.17</val>
          </value>
          <value t="str">
            <val>4.41</val>
          </value>
          <value t="str">
            <val>智邦</val>
          </value>
          <value t="str">
            <val>上市通信網路</val>
          </value>
          <value t="str">
            <val>以網路交換器為主產品的網通設備代工大廠</val>
          </value>
        </values>
      </ddeItem>
      <ddeItem name="2345.TW-CName,InvestorConferenceDate,DateofMeetingofShareHolders,TradingDate" advise="1">
        <values cols="4">
          <value t="str">
            <val>智邦</val>
          </value>
          <value t="str">
            <val>2022/11/18</val>
          </value>
          <value t="str">
            <val>2022/06/16</val>
          </value>
          <value t="str">
            <val>2022/12/22</val>
          </value>
        </values>
      </ddeItem>
      <ddeItem name="2345.TW-ID,Name,MarketValue,Capital,NetIncomeGrowthRate,OperIncomeGrowthRate,FinancialStatementsTime,TFXRatio,MonthlyNetSalesYoY,RevenueMonth" advise="1">
        <values cols="10">
          <value t="str">
            <val>2345</val>
          </value>
          <value t="str">
            <val>智邦</val>
          </value>
          <value t="str">
            <val>1422.5</val>
          </value>
          <value t="str">
            <val>56.01</val>
          </value>
          <value t="str">
            <val>83.14</val>
          </value>
          <value t="str">
            <val>79.29</val>
          </value>
          <value t="str">
            <val>2022/09</val>
          </value>
          <value t="str">
            <val>3.12</val>
          </value>
          <value t="str">
            <val>27.31</val>
          </value>
          <value t="str">
            <val>2022/11</val>
          </value>
        </values>
      </ddeItem>
      <ddeItem name="2345.TW-OperatingProfitRatio,Price,PriceChangeRatio,InOutRatioNumber,Value,YearReturn,MonthReturn,WeekReturn,FinanceBalanceDif,ChipsField2" advise="1">
        <values cols="10">
          <value t="str">
            <val>11.96</val>
          </value>
          <value>
            <val>254</val>
          </value>
          <value>
            <val>0.4</val>
          </value>
          <value t="str">
            <val>44.07%</val>
          </value>
          <value t="str">
            <val>2.96億</val>
          </value>
          <value t="str">
            <val>+0.45</val>
          </value>
          <value t="str">
            <val>-0.97</val>
          </value>
          <value t="str">
            <val>-1.55</val>
          </value>
          <value>
            <val>-10</val>
          </value>
          <value>
            <val>125</val>
          </value>
        </values>
      </ddeItem>
      <ddeItem name="2347.TW-ChipsField3,ChipsField1,ChipsField25,CashAndStockDividend,CashDividendYieldRate,ProfitFourSeason,ProfitSingle,CName,ExchangeIndustry,CompanyPos" advise="1">
        <values cols="10">
          <value>
            <val>-48</val>
          </value>
          <value>
            <val>436</val>
          </value>
          <value t="str">
            <val>2022/06/09</val>
          </value>
          <value t="str">
            <val>5.00</val>
          </value>
          <value>
            <val>8.1300000000000008</val>
          </value>
          <value t="str">
            <val>9.79</val>
          </value>
          <value t="str">
            <val>5.01</val>
          </value>
          <value t="str">
            <val>聯強</val>
          </value>
          <value t="str">
            <val>上市電子通路</val>
          </value>
          <value t="str">
            <val>亞太最大、全球前三大3C專業通路商</val>
          </value>
        </values>
      </ddeItem>
      <ddeItem name="2347.TW-CName,InvestorConferenceDate,DateofMeetingofShareHolders,TradingDate" advise="1">
        <values cols="4">
          <value t="str">
            <val>聯強</val>
          </value>
          <value t="str">
            <val>2022/11/07</val>
          </value>
          <value t="str">
            <val>2022/05/30</val>
          </value>
          <value t="str">
            <val>2022/12/22</val>
          </value>
        </values>
      </ddeItem>
      <ddeItem name="2347.TW-ID,Name,MarketValue,Capital,NetIncomeGrowthRate,OperIncomeGrowthRate,FinancialStatementsTime,TFXRatio,MonthlyNetSalesYoY,RevenueMonth" advise="1">
        <values cols="10">
          <value t="str">
            <val>2347</val>
          </value>
          <value t="str">
            <val>聯強</val>
          </value>
          <value t="str">
            <val>1025.8</val>
          </value>
          <value t="str">
            <val>166.79</val>
          </value>
          <value t="str">
            <val>-6.25</val>
          </value>
          <value t="str">
            <val>-3.62</val>
          </value>
          <value t="str">
            <val>2022/09</val>
          </value>
          <value t="str">
            <val>-2.46</val>
          </value>
          <value t="str">
            <val>-11.62</val>
          </value>
          <value t="str">
            <val>2022/11</val>
          </value>
        </values>
      </ddeItem>
      <ddeItem name="2347.TW-OperatingProfitRatio,Price,PriceChangeRatio,InOutRatioNumber,Value,YearReturn,MonthReturn,WeekReturn,FinanceBalanceDif,ChipsField2" advise="1">
        <values cols="10">
          <value t="str">
            <val>2.01</val>
          </value>
          <value>
            <val>61.5</val>
          </value>
          <value>
            <val>0.49</val>
          </value>
          <value t="str">
            <val>87.17%</val>
          </value>
          <value t="str">
            <val>6.85億</val>
          </value>
          <value t="str">
            <val>+1.88</val>
          </value>
          <value t="str">
            <val>+8.66</val>
          </value>
          <value t="str">
            <val>+2.67</val>
          </value>
          <value>
            <val>75</val>
          </value>
          <value>
            <val>-268</val>
          </value>
        </values>
      </ddeItem>
      <ddeItem name="2348.TW-ChipsField3,ChipsField1,ChipsField25,CashAndStockDividend,CashDividendYieldRate,ProfitFourSeason,ProfitSingle,CName,ExchangeIndustry,CompanyPos" advise="1">
        <values cols="10">
          <value>
            <val>-5</val>
          </value>
          <value>
            <val>-16</val>
          </value>
          <value t="str">
            <val>2022/08/02</val>
          </value>
          <value t="str">
            <val>8.00</val>
          </value>
          <value>
            <val>12.21</val>
          </value>
          <value t="str">
            <val>10.34</val>
          </value>
          <value t="str">
            <val>1.44</val>
          </value>
          <value t="str">
            <val>海悅</val>
          </value>
          <value t="str">
            <val>上市其他</val>
          </value>
          <value t="str">
            <val>台灣房屋代銷龍頭業者</val>
          </value>
        </values>
      </ddeItem>
      <ddeItem name="2348.TW-CName,InvestorConferenceDate,DateofMeetingofShareHolders,TradingDate" advise="1">
        <values cols="4">
          <value t="str">
            <val>海悅</val>
          </value>
          <value t="str">
            <val>2022/11/30</val>
          </value>
          <value t="str">
            <val>2022/06/17</val>
          </value>
          <value t="str">
            <val>2022/12/22</val>
          </value>
        </values>
      </ddeItem>
      <ddeItem name="2348.TW-ID,Name,MarketValue,Capital,NetIncomeGrowthRate,OperIncomeGrowthRate,FinancialStatementsTime,TFXRatio,MonthlyNetSalesYoY,RevenueMonth" advise="1">
        <values cols="10">
          <value t="str">
            <val>2348</val>
          </value>
          <value t="str">
            <val>海悅</val>
          </value>
          <value t="str">
            <val>76.7</val>
          </value>
          <value t="str">
            <val>11.71</val>
          </value>
          <value t="str">
            <val>-49.78</val>
          </value>
          <value t="str">
            <val>-25.88</val>
          </value>
          <value t="str">
            <val>2022/09</val>
          </value>
          <value t="str">
            <val>8.37</val>
          </value>
          <value t="str">
            <val>-54.37</val>
          </value>
          <value t="str">
            <val>2022/11</val>
          </value>
        </values>
      </ddeItem>
      <ddeItem name="2348.TW-OperatingProfitRatio,Price,PriceChangeRatio,InOutRatioNumber,Value,YearReturn,MonthReturn,WeekReturn,FinanceBalanceDif,ChipsField2" advise="1">
        <values cols="10">
          <value t="str">
            <val>33.29</val>
          </value>
          <value>
            <val>65.5</val>
          </value>
          <value>
            <val>0.92</val>
          </value>
          <value t="str">
            <val>79.84%</val>
          </value>
          <value t="str">
            <val>830萬</val>
          </value>
          <value t="str">
            <val>-27.96</val>
          </value>
          <value t="str">
            <val>+5.65</val>
          </value>
          <value t="str">
            <val>-0.46</val>
          </value>
          <value>
            <val>0</val>
          </value>
          <value>
            <val>0</val>
          </value>
        </values>
      </ddeItem>
      <ddeItem name="234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</val>
          </value>
          <value t="str">
            <val>--</val>
          </value>
          <value t="str">
            <val>0.00</val>
          </value>
          <value>
            <val>0</val>
          </value>
          <value t="str">
            <val>-0.20</val>
          </value>
          <value t="str">
            <val>0.01</val>
          </value>
          <value t="str">
            <val>錸德</val>
          </value>
          <value t="str">
            <val>上市光電</val>
          </value>
          <value t="str">
            <val>全球前三大光碟片製造商之一</val>
          </value>
        </values>
      </ddeItem>
      <ddeItem name="2349.TW-CName,InvestorConferenceDate,DateofMeetingofShareHolders,TradingDate" advise="1">
        <values cols="4">
          <value t="str">
            <val>錸德</val>
          </value>
          <value t="str">
            <val>2022/12/06</val>
          </value>
          <value t="str">
            <val>2022/06/16</val>
          </value>
          <value t="str">
            <val>2022/12/22</val>
          </value>
        </values>
      </ddeItem>
      <ddeItem name="2349.TW-ID,Name,MarketValue,Capital,NetIncomeGrowthRate,OperIncomeGrowthRate,FinancialStatementsTime,TFXRatio,MonthlyNetSalesYoY,RevenueMonth" advise="1">
        <values cols="10">
          <value t="str">
            <val>2349</val>
          </value>
          <value t="str">
            <val>錸德</val>
          </value>
          <value t="str">
            <val>54.7</val>
          </value>
          <value t="str">
            <val>69.37</val>
          </value>
          <value t="str">
            <val>109.72</val>
          </value>
          <value t="str">
            <val>-37.75</val>
          </value>
          <value t="str">
            <val>2022/09</val>
          </value>
          <value t="str">
            <val>8.51</val>
          </value>
          <value t="str">
            <val>9.75</val>
          </value>
          <value t="str">
            <val>2022/11</val>
          </value>
        </values>
      </ddeItem>
      <ddeItem name="2349.TW-OperatingProfitRatio,Price,PriceChangeRatio,InOutRatioNumber,Value,YearReturn,MonthReturn,WeekReturn,FinanceBalanceDif,ChipsField2" advise="1">
        <values cols="10">
          <value t="str">
            <val>-2.46</val>
          </value>
          <value>
            <val>7.88</val>
          </value>
          <value>
            <val>1.1599999999999999</val>
          </value>
          <value t="str">
            <val>48.54%</val>
          </value>
          <value t="str">
            <val>889萬</val>
          </value>
          <value t="str">
            <val>-17.05</val>
          </value>
          <value t="str">
            <val>+7.80</val>
          </value>
          <value t="str">
            <val>-3.08</val>
          </value>
          <value>
            <val>0</val>
          </value>
          <value>
            <val>0</val>
          </value>
        </values>
      </ddeItem>
      <ddeItem name="2351.TW-ChipsField3,ChipsField1,ChipsField25,CashAndStockDividend,CashDividendYieldRate,ProfitFourSeason,ProfitSingle,CName,ExchangeIndustry,CompanyPos" advise="1">
        <values cols="10">
          <value>
            <val>-15</val>
          </value>
          <value>
            <val>434</val>
          </value>
          <value t="str">
            <val>2022/08/03</val>
          </value>
          <value t="str">
            <val>3.00</val>
          </value>
          <value>
            <val>3.05</val>
          </value>
          <value t="str">
            <val>5.46</val>
          </value>
          <value t="str">
            <val>1.41</val>
          </value>
          <value t="str">
            <val>順德</val>
          </value>
          <value t="str">
            <val>上市半導體</val>
          </value>
          <value t="str">
            <val>全球導線架前五大供應商之一</val>
          </value>
        </values>
      </ddeItem>
      <ddeItem name="2351.TW-CName,InvestorConferenceDate,DateofMeetingofShareHolders,TradingDate" advise="1">
        <values cols="4">
          <value t="str">
            <val>順德</val>
          </value>
          <value t="str">
            <val>2022/05/18</val>
          </value>
          <value t="str">
            <val>2022/05/27</val>
          </value>
          <value t="str">
            <val>2022/12/22</val>
          </value>
        </values>
      </ddeItem>
      <ddeItem name="2351.TW-ID,Name,MarketValue,Capital,NetIncomeGrowthRate,OperIncomeGrowthRate,FinancialStatementsTime,TFXRatio,MonthlyNetSalesYoY,RevenueMonth" advise="1">
        <values cols="10">
          <value t="str">
            <val>2351</val>
          </value>
          <value t="str">
            <val>順德</val>
          </value>
          <value t="str">
            <val>179.0</val>
          </value>
          <value t="str">
            <val>18.21</val>
          </value>
          <value t="str">
            <val>21.99</val>
          </value>
          <value t="str">
            <val>-3.74</val>
          </value>
          <value t="str">
            <val>2022/09</val>
          </value>
          <value t="str">
            <val>5.28</val>
          </value>
          <value t="str">
            <val>-2.01</val>
          </value>
          <value t="str">
            <val>2022/11</val>
          </value>
        </values>
      </ddeItem>
      <ddeItem name="2351.TW-OperatingProfitRatio,Price,PriceChangeRatio,InOutRatioNumber,Value,YearReturn,MonthReturn,WeekReturn,FinanceBalanceDif,ChipsField2" advise="1">
        <values cols="10">
          <value t="str">
            <val>10.17</val>
          </value>
          <value>
            <val>98.3</val>
          </value>
          <value>
            <val>1.65</val>
          </value>
          <value t="str">
            <val>38.03%</val>
          </value>
          <value t="str">
            <val>5529萬</val>
          </value>
          <value t="str">
            <val>-37.93</val>
          </value>
          <value t="str">
            <val>-1.70</val>
          </value>
          <value t="str">
            <val>-5.48</val>
          </value>
          <value>
            <val>34</val>
          </value>
          <value>
            <val>-300</val>
          </value>
        </values>
      </ddeItem>
      <ddeItem name="2352.TW-ChipsField3,ChipsField1,ChipsField25,CashAndStockDividend,CashDividendYieldRate,ProfitFourSeason,ProfitSingle,CName,ExchangeIndustry,CompanyPos" advise="1">
        <values cols="10">
          <value>
            <val>-98</val>
          </value>
          <value>
            <val>4598</val>
          </value>
          <value t="str">
            <val>2022/07/28</val>
          </value>
          <value t="str">
            <val>2.50</val>
          </value>
          <value>
            <val>9.24</val>
          </value>
          <value t="str">
            <val>4.51</val>
          </value>
          <value t="str">
            <val>3.24</val>
          </value>
          <value t="str">
            <val>佳世達</val>
          </value>
          <value t="str">
            <val>上市電腦及週邊設備</val>
          </value>
          <value t="str">
            <val>LCD顯示器及投影機大廠</val>
          </value>
        </values>
      </ddeItem>
      <ddeItem name="2352.TW-CName,InvestorConferenceDate,DateofMeetingofShareHolders,TradingDate" advise="1">
        <values cols="4">
          <value t="str">
            <val>佳世達</val>
          </value>
          <value t="str">
            <val>2022/11/07</val>
          </value>
          <value t="str">
            <val>2022/05/30</val>
          </value>
          <value t="str">
            <val>2022/12/22</val>
          </value>
        </values>
      </ddeItem>
      <ddeItem name="2352.TW-ID,Name,MarketValue,Capital,NetIncomeGrowthRate,OperIncomeGrowthRate,FinancialStatementsTime,TFXRatio,MonthlyNetSalesYoY,RevenueMonth" advise="1">
        <values cols="10">
          <value t="str">
            <val>2352</val>
          </value>
          <value t="str">
            <val>佳世達</val>
          </value>
          <value t="str">
            <val>532.0</val>
          </value>
          <value t="str">
            <val>196.68</val>
          </value>
          <value t="str">
            <val>12.44</val>
          </value>
          <value t="str">
            <val>-21.96</val>
          </value>
          <value t="str">
            <val>2022/09</val>
          </value>
          <value t="str">
            <val>1.38</val>
          </value>
          <value t="str">
            <val>-7.88</val>
          </value>
          <value t="str">
            <val>2022/11</val>
          </value>
        </values>
      </ddeItem>
      <ddeItem name="2352.TW-OperatingProfitRatio,Price,PriceChangeRatio,InOutRatioNumber,Value,YearReturn,MonthReturn,WeekReturn,FinanceBalanceDif,ChipsField2" advise="1">
        <values cols="10">
          <value t="str">
            <val>2.38</val>
          </value>
          <value>
            <val>27.05</val>
          </value>
          <value>
            <val>2.27</val>
          </value>
          <value t="str">
            <val>38.18%</val>
          </value>
          <value t="str">
            <val>3.27億</val>
          </value>
          <value t="str">
            <val>-1.65</val>
          </value>
          <value t="str">
            <val>-6.40</val>
          </value>
          <value t="str">
            <val>-2.35</val>
          </value>
          <value>
            <val>-6</val>
          </value>
          <value>
            <val>-6306</val>
          </value>
        </values>
      </ddeItem>
      <ddeItem name="2353.TW-ChipsField3,ChipsField1,ChipsField25,CashAndStockDividend,CashDividendYieldRate,ProfitFourSeason,ProfitSingle,CName,ExchangeIndustry,CompanyPos" advise="1">
        <values cols="10">
          <value>
            <val>-127</val>
          </value>
          <value>
            <val>-1381</val>
          </value>
          <value t="str">
            <val>2022/06/30</val>
          </value>
          <value t="str">
            <val>2.28</val>
          </value>
          <value>
            <val>9.8699999999999992</val>
          </value>
          <value t="str">
            <val>2.69</val>
          </value>
          <value t="str">
            <val>0.63</val>
          </value>
          <value t="str">
            <val>宏碁</val>
          </value>
          <value t="str">
            <val>上市電腦及週邊設備</val>
          </value>
          <value t="str">
            <val>全球前五大NB品牌廠</val>
          </value>
        </values>
      </ddeItem>
      <ddeItem name="2353.TW-CName,InvestorConferenceDate,DateofMeetingofShareHolders,TradingDate" advise="1">
        <values cols="4">
          <value t="str">
            <val>宏碁</val>
          </value>
          <value t="str">
            <val>2021/11/11</val>
          </value>
          <value t="str">
            <val>2022/06/10</val>
          </value>
          <value t="str">
            <val>2022/12/22</val>
          </value>
        </values>
      </ddeItem>
      <ddeItem name="2353.TW-ID,Name,MarketValue,Capital,NetIncomeGrowthRate,OperIncomeGrowthRate,FinancialStatementsTime,TFXRatio,MonthlyNetSalesYoY,RevenueMonth" advise="1">
        <values cols="10">
          <value t="str">
            <val>2353</val>
          </value>
          <value t="str">
            <val>宏碁</val>
          </value>
          <value t="str">
            <val>704.1</val>
          </value>
          <value t="str">
            <val>304.79</val>
          </value>
          <value t="str">
            <val>-29.86</val>
          </value>
          <value t="str">
            <val>-42.29</val>
          </value>
          <value t="str">
            <val>2022/09</val>
          </value>
          <value t="str">
            <val>4.74</val>
          </value>
          <value t="str">
            <val>-34.48</val>
          </value>
          <value t="str">
            <val>2022/11</val>
          </value>
        </values>
      </ddeItem>
      <ddeItem name="2353.TW-OperatingProfitRatio,Price,PriceChangeRatio,InOutRatioNumber,Value,YearReturn,MonthReturn,WeekReturn,FinanceBalanceDif,ChipsField2" advise="1">
        <values cols="10">
          <value t="str">
            <val>2.74</val>
          </value>
          <value>
            <val>23.1</val>
          </value>
          <value>
            <val>1.0900000000000001</val>
          </value>
          <value t="str">
            <val>48.32%</val>
          </value>
          <value t="str">
            <val>9777萬</val>
          </value>
          <value t="str">
            <val>-15.37</val>
          </value>
          <value t="str">
            <val>-5.71</val>
          </value>
          <value t="str">
            <val>-1.28</val>
          </value>
          <value>
            <val>-187</val>
          </value>
          <value>
            <val>2186</val>
          </value>
        </values>
      </ddeItem>
      <ddeItem name="2354.TW-ChipsField3,ChipsField1,ChipsField25,CashAndStockDividend,CashDividendYieldRate,ProfitFourSeason,ProfitSingle,CName,ExchangeIndustry,CompanyPos" advise="1">
        <values cols="10">
          <value>
            <val>-143</val>
          </value>
          <value>
            <val>162</val>
          </value>
          <value t="str">
            <val>2022/07/04</val>
          </value>
          <value t="str">
            <val>1.70</val>
          </value>
          <value>
            <val>3.27</val>
          </value>
          <value t="str">
            <val>3.03</val>
          </value>
          <value t="str">
            <val>1.10</val>
          </value>
          <value t="str">
            <val>鴻準</val>
          </value>
          <value t="str">
            <val>上市其他電子</val>
          </value>
          <value t="str">
            <val>鴻海旗下散熱模組及鋁鎂合金廠</val>
          </value>
        </values>
      </ddeItem>
      <ddeItem name="2354.TW-CName,InvestorConferenceDate,DateofMeetingofShareHolders,TradingDate" advise="1">
        <values cols="4">
          <value t="str">
            <val>鴻準</val>
          </value>
          <value t="str">
            <val>2021/03/22</val>
          </value>
          <value t="str">
            <val>2022/05/31</val>
          </value>
          <value t="str">
            <val>2022/12/22</val>
          </value>
        </values>
      </ddeItem>
      <ddeItem name="2354.TW-ID,Name,MarketValue,Capital,NetIncomeGrowthRate,OperIncomeGrowthRate,FinancialStatementsTime,TFXRatio,MonthlyNetSalesYoY,RevenueMonth" advise="1">
        <values cols="10">
          <value t="str">
            <val>2354</val>
          </value>
          <value t="str">
            <val>鴻準</val>
          </value>
          <value t="str">
            <val>735.5</val>
          </value>
          <value t="str">
            <val>141.45</val>
          </value>
          <value t="str">
            <val>-5.24</val>
          </value>
          <value t="str">
            <val>-29.78</val>
          </value>
          <value t="str">
            <val>2022/09</val>
          </value>
          <value t="str">
            <val>18.79</val>
          </value>
          <value t="str">
            <val>24.86</val>
          </value>
          <value t="str">
            <val>2022/11</val>
          </value>
        </values>
      </ddeItem>
      <ddeItem name="2354.TW-OperatingProfitRatio,Price,PriceChangeRatio,InOutRatioNumber,Value,YearReturn,MonthReturn,WeekReturn,FinanceBalanceDif,ChipsField2" advise="1">
        <values cols="10">
          <value t="str">
            <val>2.87</val>
          </value>
          <value>
            <val>52</val>
          </value>
          <value>
            <val>2.77</val>
          </value>
          <value t="str">
            <val>58.70%</val>
          </value>
          <value t="str">
            <val>1.34億</val>
          </value>
          <value t="str">
            <val>-15.83</val>
          </value>
          <value t="str">
            <val>+4.94</val>
          </value>
          <value t="str">
            <val>-3.17</val>
          </value>
          <value>
            <val>-71</val>
          </value>
          <value>
            <val>0</val>
          </value>
        </values>
      </ddeItem>
      <ddeItem name="2355.TW-ChipsField3,ChipsField1,ChipsField25,CashAndStockDividend,CashDividendYieldRate,ProfitFourSeason,ProfitSingle,CName,ExchangeIndustry,CompanyPos" advise="1">
        <values cols="10">
          <value>
            <val>-38</val>
          </value>
          <value>
            <val>-148</val>
          </value>
          <value t="str">
            <val>2022/07/26</val>
          </value>
          <value t="str">
            <val>0.50</val>
          </value>
          <value>
            <val>1.72</val>
          </value>
          <value t="str">
            <val>0.79</val>
          </value>
          <value t="str">
            <val>0.52</val>
          </value>
          <value t="str">
            <val>敬鵬</val>
          </value>
          <value t="str">
            <val>上市電子零組件</val>
          </value>
          <value t="str">
            <val>全球車用PCB龍頭廠商</val>
          </value>
        </values>
      </ddeItem>
      <ddeItem name="2355.TW-CName,InvestorConferenceDate,DateofMeetingofShareHolders,TradingDate" advise="1">
        <values cols="4">
          <value t="str">
            <val>敬鵬</val>
          </value>
          <value t="str">
            <val>2022/11/24</val>
          </value>
          <value t="str">
            <val>2022/06/24</val>
          </value>
          <value t="str">
            <val>2022/12/22</val>
          </value>
        </values>
      </ddeItem>
      <ddeItem name="2355.TW-ID,Name,MarketValue,Capital,NetIncomeGrowthRate,OperIncomeGrowthRate,FinancialStatementsTime,TFXRatio,MonthlyNetSalesYoY,RevenueMonth" advise="1">
        <values cols="10">
          <value t="str">
            <val>2355</val>
          </value>
          <value t="str">
            <val>敬鵬</val>
          </value>
          <value t="str">
            <val>115.5</val>
          </value>
          <value t="str">
            <val>39.75</val>
          </value>
          <value t="str">
            <val>-6.95</val>
          </value>
          <value t="str">
            <val>48.14</val>
          </value>
          <value t="str">
            <val>2022/09</val>
          </value>
          <value t="str">
            <val>-8.20</val>
          </value>
          <value t="str">
            <val>-6.29</val>
          </value>
          <value t="str">
            <val>2022/11</val>
          </value>
        </values>
      </ddeItem>
      <ddeItem name="2355.TW-OperatingProfitRatio,Price,PriceChangeRatio,InOutRatioNumber,Value,YearReturn,MonthReturn,WeekReturn,FinanceBalanceDif,ChipsField2" advise="1">
        <values cols="10">
          <value t="str">
            <val>-0.45</val>
          </value>
          <value>
            <val>29.05</val>
          </value>
          <value>
            <val>0.87</val>
          </value>
          <value t="str">
            <val>49.48%</val>
          </value>
          <value t="str">
            <val>1148萬</val>
          </value>
          <value t="str">
            <val>-18.90</val>
          </value>
          <value t="str">
            <val>-8.21</val>
          </value>
          <value t="str">
            <val>-5.83</val>
          </value>
          <value>
            <val>-11</val>
          </value>
          <value>
            <val>0</val>
          </value>
        </values>
      </ddeItem>
      <ddeItem name="2356.TW-ChipsField3,ChipsField1,ChipsField25,CashAndStockDividend,CashDividendYieldRate,ProfitFourSeason,ProfitSingle,CName,ExchangeIndustry,CompanyPos" advise="1">
        <values cols="10">
          <value>
            <val>-101</val>
          </value>
          <value>
            <val>15257</val>
          </value>
          <value t="str">
            <val>2022/07/14</val>
          </value>
          <value t="str">
            <val>1.40</val>
          </value>
          <value>
            <val>5.39</val>
          </value>
          <value t="str">
            <val>1.73</val>
          </value>
          <value t="str">
            <val>0.49</val>
          </value>
          <value t="str">
            <val>英業達</val>
          </value>
          <value t="str">
            <val>上市電腦及週邊設備</val>
          </value>
          <value t="str">
            <val>全球知名NB代工大廠</val>
          </value>
        </values>
      </ddeItem>
      <ddeItem name="2356.TW-CName,InvestorConferenceDate,DateofMeetingofShareHolders,TradingDate" advise="1">
        <values cols="4">
          <value t="str">
            <val>英業達</val>
          </value>
          <value t="str">
            <val>2022/11/11</val>
          </value>
          <value t="str">
            <val>2022/06/14</val>
          </value>
          <value t="str">
            <val>2022/12/22</val>
          </value>
        </values>
      </ddeItem>
      <ddeItem name="2356.TW-ID,Name,MarketValue,Capital,NetIncomeGrowthRate,OperIncomeGrowthRate,FinancialStatementsTime,TFXRatio,MonthlyNetSalesYoY,RevenueMonth" advise="1">
        <values cols="10">
          <value t="str">
            <val>2356</val>
          </value>
          <value t="str">
            <val>英業達</val>
          </value>
          <value t="str">
            <val>930.9</val>
          </value>
          <value t="str">
            <val>358.75</val>
          </value>
          <value t="str">
            <val>-1.84</val>
          </value>
          <value t="str">
            <val>40.70</val>
          </value>
          <value t="str">
            <val>2022/09</val>
          </value>
          <value t="str">
            <val>-12.24</val>
          </value>
          <value t="str">
            <val>-8.03</val>
          </value>
          <value t="str">
            <val>2022/11</val>
          </value>
        </values>
      </ddeItem>
      <ddeItem name="2356.TW-OperatingProfitRatio,Price,PriceChangeRatio,InOutRatioNumber,Value,YearReturn,MonthReturn,WeekReturn,FinanceBalanceDif,ChipsField2" advise="1">
        <values cols="10">
          <value t="str">
            <val>1.22</val>
          </value>
          <value>
            <val>25.95</val>
          </value>
          <value>
            <val>0.78</val>
          </value>
          <value t="str">
            <val>27.33%</val>
          </value>
          <value t="str">
            <val>6.06億</val>
          </value>
          <value t="str">
            <val>+10.45</val>
          </value>
          <value t="str">
            <val>+5.92</val>
          </value>
          <value t="str">
            <val>+3.18</val>
          </value>
          <value>
            <val>113</val>
          </value>
          <value>
            <val>-11465</val>
          </value>
        </values>
      </ddeItem>
      <ddeItem name="2357.TW-ChipsField3,ChipsField1,ChipsField25,CashAndStockDividend,CashDividendYieldRate,ProfitFourSeason,ProfitSingle,CName,ExchangeIndustry,CompanyPos" advise="1">
        <values cols="10">
          <value>
            <val>-65</val>
          </value>
          <value>
            <val>2388</val>
          </value>
          <value t="str">
            <val>2022/07/29</val>
          </value>
          <value t="str">
            <val>42.00</val>
          </value>
          <value>
            <val>15.25</val>
          </value>
          <value t="str">
            <val>41.16</val>
          </value>
          <value t="str">
            <val>8.33</val>
          </value>
          <value t="str">
            <val>華碩</val>
          </value>
          <value t="str">
            <val>上市電腦及週邊設備</val>
          </value>
          <value t="str">
            <val>全球最大自有品牌主機板廠，及前五大NB廠</val>
          </value>
        </values>
      </ddeItem>
      <ddeItem name="2357.TW-CName,InvestorConferenceDate,DateofMeetingofShareHolders,TradingDate" advise="1">
        <values cols="4">
          <value t="str">
            <val>華碩</val>
          </value>
          <value t="str">
            <val>2022/11/10</val>
          </value>
          <value t="str">
            <val>2022/06/08</val>
          </value>
          <value t="str">
            <val>2022/12/22</val>
          </value>
        </values>
      </ddeItem>
      <ddeItem name="2357.TW-ID,Name,MarketValue,Capital,NetIncomeGrowthRate,OperIncomeGrowthRate,FinancialStatementsTime,TFXRatio,MonthlyNetSalesYoY,RevenueMonth" advise="1">
        <values cols="10">
          <value t="str">
            <val>2357</val>
          </value>
          <value t="str">
            <val>華碩</val>
          </value>
          <value t="str">
            <val>2046.3</val>
          </value>
          <value t="str">
            <val>74.28</val>
          </value>
          <value t="str">
            <val>-40.26</val>
          </value>
          <value t="str">
            <val>-52.64</val>
          </value>
          <value t="str">
            <val>2022/09</val>
          </value>
          <value t="str">
            <val>13.46</val>
          </value>
          <value t="str">
            <val>-17.09</val>
          </value>
          <value t="str">
            <val>2022/11</val>
          </value>
        </values>
      </ddeItem>
      <ddeItem name="2357.TW-OperatingProfitRatio,Price,PriceChangeRatio,InOutRatioNumber,Value,YearReturn,MonthReturn,WeekReturn,FinanceBalanceDif,ChipsField2" advise="1">
        <values cols="10">
          <value t="str">
            <val>4.21</val>
          </value>
          <value>
            <val>275.5</val>
          </value>
          <value>
            <val>3.57</val>
          </value>
          <value t="str">
            <val>39.94%</val>
          </value>
          <value t="str">
            <val>17.2億</val>
          </value>
          <value t="str">
            <val>-14.37</val>
          </value>
          <value t="str">
            <val>+6.78</val>
          </value>
          <value t="str">
            <val>+0.92</val>
          </value>
          <value>
            <val>36</val>
          </value>
          <value>
            <val>-2741</val>
          </value>
        </values>
      </ddeItem>
      <ddeItem name="235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-162</val>
          </value>
          <value t="str">
            <val>2022/11/22</val>
          </value>
          <value t="str">
            <val>0.27</val>
          </value>
          <value>
            <val>1.8</val>
          </value>
          <value t="str">
            <val>0.73</val>
          </value>
          <value t="str">
            <val>-0.22</val>
          </value>
          <value t="str">
            <val>廷鑫</val>
          </value>
          <value t="str">
            <val>上市其他</val>
          </value>
          <value t="str">
            <val>台灣第二大鋁合金製品廠</val>
          </value>
        </values>
      </ddeItem>
      <ddeItem name="2358.TW-CName,InvestorConferenceDate,DateofMeetingofShareHolders,TradingDate" advise="1">
        <values cols="4">
          <value t="str">
            <val>廷鑫</val>
          </value>
          <value t="str">
            <val>2022/12/16</val>
          </value>
          <value t="str">
            <val>2022/06/21</val>
          </value>
          <value t="str">
            <val>2022/12/22</val>
          </value>
        </values>
      </ddeItem>
      <ddeItem name="2358.TW-ID,Name,MarketValue,Capital,NetIncomeGrowthRate,OperIncomeGrowthRate,FinancialStatementsTime,TFXRatio,MonthlyNetSalesYoY,RevenueMonth" advise="1">
        <values cols="10">
          <value t="str">
            <val>2358</val>
          </value>
          <value t="str">
            <val>廷鑫</val>
          </value>
          <value t="str">
            <val>20.5</val>
          </value>
          <value t="str">
            <val>13.66</val>
          </value>
          <value t="str">
            <val>-66.76</val>
          </value>
          <value t="str">
            <val>-48.44</val>
          </value>
          <value t="str">
            <val>2022/09</val>
          </value>
          <value t="str">
            <val>2.55</val>
          </value>
          <value t="str">
            <val>-58.28</val>
          </value>
          <value t="str">
            <val>2022/11</val>
          </value>
        </values>
      </ddeItem>
      <ddeItem name="2358.TW-OperatingProfitRatio,Price,PriceChangeRatio,InOutRatioNumber,Value,YearReturn,MonthReturn,WeekReturn,FinanceBalanceDif,ChipsField2" advise="1">
        <values cols="10">
          <value t="str">
            <val>4.93</val>
          </value>
          <value>
            <val>15</val>
          </value>
          <value>
            <val>0</val>
          </value>
          <value t="str">
            <val>51.93%</val>
          </value>
          <value t="str">
            <val>1.41億</val>
          </value>
          <value t="str">
            <val>-27.83</val>
          </value>
          <value t="str">
            <val>-3.08</val>
          </value>
          <value t="str">
            <val>+3.45</val>
          </value>
          <value>
            <val>1036</val>
          </value>
          <value>
            <val>0</val>
          </value>
        </values>
      </ddeItem>
      <ddeItem name="2359.TW-ChipsField3,ChipsField1,ChipsField25,CashAndStockDividend,CashDividendYieldRate,ProfitFourSeason,ProfitSingle,CName,ExchangeIndustry,CompanyPos" advise="1">
        <values cols="10">
          <value>
            <val>-5</val>
          </value>
          <value>
            <val>602</val>
          </value>
          <value t="str">
            <val>2022/07/07</val>
          </value>
          <value t="str">
            <val>0.90</val>
          </value>
          <value>
            <val>3.36</val>
          </value>
          <value t="str">
            <val>3.23</val>
          </value>
          <value t="str">
            <val>1.11</val>
          </value>
          <value t="str">
            <val>所羅門</val>
          </value>
          <value t="str">
            <val>上市其他電子</val>
          </value>
          <value t="str">
            <val>3D機器視覺及工業用AI領導品牌</val>
          </value>
        </values>
      </ddeItem>
      <ddeItem name="2359.TW-CName,InvestorConferenceDate,DateofMeetingofShareHolders,TradingDate" advise="1">
        <values cols="4">
          <value t="str">
            <val>所羅門</val>
          </value>
          <value t="str">
            <val>2022/11/22</val>
          </value>
          <value t="str">
            <val>2022/06/08</val>
          </value>
          <value t="str">
            <val>2022/12/22</val>
          </value>
        </values>
      </ddeItem>
      <ddeItem name="2359.TW-ID,Name,MarketValue,Capital,NetIncomeGrowthRate,OperIncomeGrowthRate,FinancialStatementsTime,TFXRatio,MonthlyNetSalesYoY,RevenueMonth" advise="1">
        <values cols="10">
          <value t="str">
            <val>2359</val>
          </value>
          <value t="str">
            <val>所羅門</val>
          </value>
          <value t="str">
            <val>45.9</val>
          </value>
          <value t="str">
            <val>17.15</val>
          </value>
          <value t="str">
            <val>318.20</val>
          </value>
          <value t="str">
            <val>547.31</val>
          </value>
          <value t="str">
            <val>2022/09</val>
          </value>
          <value t="str">
            <val>65.35</val>
          </value>
          <value t="str">
            <val>45.05</val>
          </value>
          <value t="str">
            <val>2022/11</val>
          </value>
        </values>
      </ddeItem>
      <ddeItem name="2359.TW-OperatingProfitRatio,Price,PriceChangeRatio,InOutRatioNumber,Value,YearReturn,MonthReturn,WeekReturn,FinanceBalanceDif,ChipsField2" advise="1">
        <values cols="10">
          <value t="str">
            <val>5.15</val>
          </value>
          <value>
            <val>26.75</val>
          </value>
          <value>
            <val>0</val>
          </value>
          <value t="str">
            <val>42.76%</val>
          </value>
          <value t="str">
            <val>4527萬</val>
          </value>
          <value t="str">
            <val>+57.81</val>
          </value>
          <value t="str">
            <val>+7.43</val>
          </value>
          <value t="str">
            <val>-1.29</val>
          </value>
          <value>
            <val>-32</val>
          </value>
          <value>
            <val>0</val>
          </value>
        </values>
      </ddeItem>
      <ddeItem name="2360.TW-ChipsField3,ChipsField1,ChipsField25,CashAndStockDividend,CashDividendYieldRate,ProfitFourSeason,ProfitSingle,CName,ExchangeIndustry,CompanyPos" advise="1">
        <values cols="10">
          <value>
            <val>-26</val>
          </value>
          <value>
            <val>-61</val>
          </value>
          <value t="str">
            <val>2022/07/25</val>
          </value>
          <value t="str">
            <val>6.98</val>
          </value>
          <value>
            <val>3.92</val>
          </value>
          <value t="str">
            <val>11.67</val>
          </value>
          <value t="str">
            <val>4.12</val>
          </value>
          <value t="str">
            <val>致茂</val>
          </value>
          <value t="str">
            <val>上市其他電子</val>
          </value>
          <value t="str">
            <val>全球知名的自動測試設備品牌大廠</val>
          </value>
        </values>
      </ddeItem>
      <ddeItem name="2360.TW-CName,InvestorConferenceDate,DateofMeetingofShareHolders,TradingDate" advise="1">
        <values cols="4">
          <value t="str">
            <val>致茂</val>
          </value>
          <value t="str">
            <val>2022/10/31</val>
          </value>
          <value t="str">
            <val>2022/06/09</val>
          </value>
          <value t="str">
            <val>2022/12/22</val>
          </value>
        </values>
      </ddeItem>
      <ddeItem name="2360.TW-ID,Name,MarketValue,Capital,NetIncomeGrowthRate,OperIncomeGrowthRate,FinancialStatementsTime,TFXRatio,MonthlyNetSalesYoY,RevenueMonth" advise="1">
        <values cols="10">
          <value t="str">
            <val>2360</val>
          </value>
          <value t="str">
            <val>致茂</val>
          </value>
          <value t="str">
            <val>757.3</val>
          </value>
          <value t="str">
            <val>42.54</val>
          </value>
          <value t="str">
            <val>20.01</val>
          </value>
          <value t="str">
            <val>70.02</val>
          </value>
          <value t="str">
            <val>2022/09</val>
          </value>
          <value t="str">
            <val>-31.36</val>
          </value>
          <value t="str">
            <val>51.62</val>
          </value>
          <value t="str">
            <val>2022/11</val>
          </value>
        </values>
      </ddeItem>
      <ddeItem name="2360.TW-OperatingProfitRatio,Price,PriceChangeRatio,InOutRatioNumber,Value,YearReturn,MonthReturn,WeekReturn,FinanceBalanceDif,ChipsField2" advise="1">
        <values cols="10">
          <value t="str">
            <val>24.91</val>
          </value>
          <value>
            <val>178</val>
          </value>
          <value>
            <val>0.28000000000000003</val>
          </value>
          <value t="str">
            <val>32.10%</val>
          </value>
          <value t="str">
            <val>1.12億</val>
          </value>
          <value t="str">
            <val>-1.03</val>
          </value>
          <value t="str">
            <val>-5.32</val>
          </value>
          <value t="str">
            <val>-1.11</val>
          </value>
          <value>
            <val>4</val>
          </value>
          <value>
            <val>31</val>
          </value>
        </values>
      </ddeItem>
      <ddeItem name="2362.TW-ChipsField3,ChipsField1,ChipsField25,CashAndStockDividend,CashDividendYieldRate,ProfitFourSeason,ProfitSingle,CName,ExchangeIndustry,CompanyPos" advise="1">
        <values cols="10">
          <value>
            <val>-15</val>
          </value>
          <value>
            <val>-15</val>
          </value>
          <value t="str">
            <val>2022/06/24</val>
          </value>
          <value t="str">
            <val>2.10</val>
          </value>
          <value>
            <val>6.81</val>
          </value>
          <value t="str">
            <val>2.17</val>
          </value>
          <value t="str">
            <val>0.10</val>
          </value>
          <value t="str">
            <val>藍天</val>
          </value>
          <value t="str">
            <val>上市電腦及週邊設備</val>
          </value>
          <value t="str">
            <val>筆電製造商，並轉投資大陸最大IT賣場百腦匯</val>
          </value>
        </values>
      </ddeItem>
      <ddeItem name="2362.TW-CName,InvestorConferenceDate,DateofMeetingofShareHolders,TradingDate" advise="1">
        <values cols="4">
          <value t="str">
            <val>藍天</val>
          </value>
          <value t="str">
            <val>2022/11/24</val>
          </value>
          <value t="str">
            <val>2022/06/15</val>
          </value>
          <value t="str">
            <val>2022/12/22</val>
          </value>
        </values>
      </ddeItem>
      <ddeItem name="2362.TW-ID,Name,MarketValue,Capital,NetIncomeGrowthRate,OperIncomeGrowthRate,FinancialStatementsTime,TFXRatio,MonthlyNetSalesYoY,RevenueMonth" advise="1">
        <values cols="10">
          <value t="str">
            <val>2362</val>
          </value>
          <value t="str">
            <val>藍天</val>
          </value>
          <value t="str">
            <val>195.1</val>
          </value>
          <value t="str">
            <val>63.23</val>
          </value>
          <value t="str">
            <val>-43.42</val>
          </value>
          <value t="str">
            <val>-3.89</val>
          </value>
          <value t="str">
            <val>2022/09</val>
          </value>
          <value t="str">
            <val>-12.23</val>
          </value>
          <value t="str">
            <val>-37.62</val>
          </value>
          <value t="str">
            <val>2022/11</val>
          </value>
        </values>
      </ddeItem>
      <ddeItem name="2362.TW-OperatingProfitRatio,Price,PriceChangeRatio,InOutRatioNumber,Value,YearReturn,MonthReturn,WeekReturn,FinanceBalanceDif,ChipsField2" advise="1">
        <values cols="10">
          <value t="str">
            <val>9.16</val>
          </value>
          <value>
            <val>30.85</val>
          </value>
          <value>
            <val>0.82</val>
          </value>
          <value t="str">
            <val>48.89%</val>
          </value>
          <value t="str">
            <val>139萬</val>
          </value>
          <value t="str">
            <val>+5.15</val>
          </value>
          <value t="str">
            <val>-2.37</val>
          </value>
          <value t="str">
            <val>-1.12</val>
          </value>
          <value>
            <val>3</val>
          </value>
          <value>
            <val>0</val>
          </value>
        </values>
      </ddeItem>
      <ddeItem name="2363.TW-ChipsField3,ChipsField1,ChipsField25,CashAndStockDividend,CashDividendYieldRate,ProfitFourSeason,ProfitSingle,CName,ExchangeIndustry,CompanyPos" advise="1">
        <values cols="10">
          <value>
            <val>-8</val>
          </value>
          <value>
            <val>-171</val>
          </value>
          <value t="str">
            <val>2022/08/24</val>
          </value>
          <value t="str">
            <val>1.80</val>
          </value>
          <value>
            <val>11.18</val>
          </value>
          <value t="str">
            <val>0.74</val>
          </value>
          <value t="str">
            <val>-0.12</val>
          </value>
          <value t="str">
            <val>矽統</val>
          </value>
          <value t="str">
            <val>上市半導體</val>
          </value>
          <value t="str">
            <val>轉型為觸控IC設計廠商</val>
          </value>
        </values>
      </ddeItem>
      <ddeItem name="2363.TW-CName,InvestorConferenceDate,DateofMeetingofShareHolders,TradingDate" advise="1">
        <values cols="4">
          <value t="str">
            <val>矽統</val>
          </value>
          <value t="str">
            <val>--</val>
          </value>
          <value t="str">
            <val>2022/06/21</val>
          </value>
          <value t="str">
            <val>2022/12/22</val>
          </value>
        </values>
      </ddeItem>
      <ddeItem name="2363.TW-ID,Name,MarketValue,Capital,NetIncomeGrowthRate,OperIncomeGrowthRate,FinancialStatementsTime,TFXRatio,MonthlyNetSalesYoY,RevenueMonth" advise="1">
        <values cols="10">
          <value t="str">
            <val>2363</val>
          </value>
          <value t="str">
            <val>矽統</val>
          </value>
          <value t="str">
            <val>120.7</val>
          </value>
          <value t="str">
            <val>74.96</val>
          </value>
          <value t="str">
            <val>114.86</val>
          </value>
          <value t="str">
            <val>-33.72</val>
          </value>
          <value t="str">
            <val>2022/09</val>
          </value>
          <value t="str">
            <val>-5.93</val>
          </value>
          <value t="str">
            <val>-43.49</val>
          </value>
          <value t="str">
            <val>2022/11</val>
          </value>
        </values>
      </ddeItem>
      <ddeItem name="2363.TW-OperatingProfitRatio,Price,PriceChangeRatio,InOutRatioNumber,Value,YearReturn,MonthReturn,WeekReturn,FinanceBalanceDif,ChipsField2" advise="1">
        <values cols="10">
          <value t="str">
            <val>-255.81</val>
          </value>
          <value>
            <val>16.100000000000001</val>
          </value>
          <value>
            <val>1.9</val>
          </value>
          <value t="str">
            <val>65.53%</val>
          </value>
          <value t="str">
            <val>2055萬</val>
          </value>
          <value t="str">
            <val>-27.27</val>
          </value>
          <value t="str">
            <val>-3.88</val>
          </value>
          <value t="str">
            <val>-5.57</val>
          </value>
          <value>
            <val>-65</val>
          </value>
          <value>
            <val>0</val>
          </value>
        </values>
      </ddeItem>
      <ddeItem name="2364.TW-ChipsField3,ChipsField1,ChipsField25,CashAndStockDividend,CashDividendYieldRate,ProfitFourSeason,ProfitSingle,CName,ExchangeIndustry,CompanyPos" advise="1">
        <values cols="10">
          <value>
            <val>1</val>
          </value>
          <value>
            <val>-14</val>
          </value>
          <value t="str">
            <val>2022/09/06</val>
          </value>
          <value t="str">
            <val>1.00</val>
          </value>
          <value>
            <val>0.96</val>
          </value>
          <value t="str">
            <val>3.11</val>
          </value>
          <value t="str">
            <val>1.43</val>
          </value>
          <value t="str">
            <val>倫飛</val>
          </value>
          <value t="str">
            <val>上市電腦及週邊設備</val>
          </value>
          <value t="str">
            <val>主攻軍工規格NB廠商</val>
          </value>
        </values>
      </ddeItem>
      <ddeItem name="2364.TW-CName,InvestorConferenceDate,DateofMeetingofShareHolders,TradingDate" advise="1">
        <values cols="4">
          <value t="str">
            <val>倫飛</val>
          </value>
          <value t="str">
            <val>2022/11/25</val>
          </value>
          <value t="str">
            <val>2022/06/10</val>
          </value>
          <value t="str">
            <val>2022/12/22</val>
          </value>
        </values>
      </ddeItem>
      <ddeItem name="2364.TW-ID,Name,MarketValue,Capital,NetIncomeGrowthRate,OperIncomeGrowthRate,FinancialStatementsTime,TFXRatio,MonthlyNetSalesYoY,RevenueMonth" advise="1">
        <values cols="10">
          <value t="str">
            <val>2364</val>
          </value>
          <value t="str">
            <val>倫飛</val>
          </value>
          <value t="str">
            <val>25.8</val>
          </value>
          <value t="str">
            <val>2.48</val>
          </value>
          <value t="str">
            <val>290.17</val>
          </value>
          <value t="str">
            <val>-80.62</val>
          </value>
          <value t="str">
            <val>2022/09</val>
          </value>
          <value t="str">
            <val>7.82</val>
          </value>
          <value t="str">
            <val>85.13</val>
          </value>
          <value t="str">
            <val>2022/11</val>
          </value>
        </values>
      </ddeItem>
      <ddeItem name="2364.TW-OperatingProfitRatio,Price,PriceChangeRatio,InOutRatioNumber,Value,YearReturn,MonthReturn,WeekReturn,FinanceBalanceDif,ChipsField2" advise="1">
        <values cols="10">
          <value t="str">
            <val>0.37</val>
          </value>
          <value>
            <val>104</val>
          </value>
          <value>
            <val>0</val>
          </value>
          <value t="str">
            <val>41.65%</val>
          </value>
          <value t="str">
            <val>6387萬</val>
          </value>
          <value t="str">
            <val>+451.90</val>
          </value>
          <value t="str">
            <val>-14.40</val>
          </value>
          <value t="str">
            <val>-6.73</val>
          </value>
          <value>
            <val>17</val>
          </value>
          <value>
            <val>0</val>
          </value>
        </values>
      </ddeItem>
      <ddeItem name="2365.TW-ChipsField3,ChipsField1,ChipsField25,CashAndStockDividend,CashDividendYieldRate,ProfitFourSeason,ProfitSingle,CName,ExchangeIndustry,CompanyPos" advise="1">
        <values cols="10">
          <value>
            <val>1</val>
          </value>
          <value>
            <val>69</val>
          </value>
          <value t="str">
            <val>2022/08/11</val>
          </value>
          <value t="str">
            <val>0.20</val>
          </value>
          <value>
            <val>1.97</val>
          </value>
          <value t="str">
            <val>0.35</val>
          </value>
          <value t="str">
            <val>0.17</val>
          </value>
          <value t="str">
            <val>昆盈</val>
          </value>
          <value t="str">
            <val>上市電腦及週邊設備</val>
          </value>
          <value t="str">
            <val>「Genius」電腦週邊產品商</val>
          </value>
        </values>
      </ddeItem>
      <ddeItem name="2365.TW-CName,InvestorConferenceDate,DateofMeetingofShareHolders,TradingDate" advise="1">
        <values cols="4">
          <value t="str">
            <val>昆盈</val>
          </value>
          <value t="str">
            <val>2022/12/09</val>
          </value>
          <value t="str">
            <val>2022/06/09</val>
          </value>
          <value t="str">
            <val>2022/12/22</val>
          </value>
        </values>
      </ddeItem>
      <ddeItem name="2365.TW-ID,Name,MarketValue,Capital,NetIncomeGrowthRate,OperIncomeGrowthRate,FinancialStatementsTime,TFXRatio,MonthlyNetSalesYoY,RevenueMonth" advise="1">
        <values cols="10">
          <value t="str">
            <val>2365</val>
          </value>
          <value t="str">
            <val>昆盈</val>
          </value>
          <value t="str">
            <val>22.5</val>
          </value>
          <value t="str">
            <val>22.15</val>
          </value>
          <value t="str">
            <val>70.83</val>
          </value>
          <value t="str">
            <val>-22.86</val>
          </value>
          <value t="str">
            <val>2022/09</val>
          </value>
          <value t="str">
            <val>-32.68</val>
          </value>
          <value t="str">
            <val>-62.57</val>
          </value>
          <value t="str">
            <val>2022/11</val>
          </value>
        </values>
      </ddeItem>
      <ddeItem name="2365.TW-OperatingProfitRatio,Price,PriceChangeRatio,InOutRatioNumber,Value,YearReturn,MonthReturn,WeekReturn,FinanceBalanceDif,ChipsField2" advise="1">
        <values cols="10">
          <value t="str">
            <val>3.79</val>
          </value>
          <value>
            <val>10.15</val>
          </value>
          <value>
            <val>0.5</val>
          </value>
          <value t="str">
            <val>75.78%</val>
          </value>
          <value t="str">
            <val>130萬</val>
          </value>
          <value t="str">
            <val>-9.33</val>
          </value>
          <value t="str">
            <val>+1.00</val>
          </value>
          <value t="str">
            <val>+1.50</val>
          </value>
          <value>
            <val>-25</val>
          </value>
          <value>
            <val>0</val>
          </value>
        </values>
      </ddeItem>
      <ddeItem name="2367.TW-ChipsField3,ChipsField1,ChipsField25,CashAndStockDividend,CashDividendYieldRate,ProfitFourSeason,ProfitSingle,CName,ExchangeIndustry,CompanyPos" advise="1">
        <values cols="10">
          <value>
            <val>-41</val>
          </value>
          <value>
            <val>-817</val>
          </value>
          <value t="str">
            <val>--</val>
          </value>
          <value t="str">
            <val>0.00</val>
          </value>
          <value>
            <val>0</val>
          </value>
          <value t="str">
            <val>0.51</val>
          </value>
          <value t="str">
            <val>0.95</val>
          </value>
          <value t="str">
            <val>燿華</val>
          </value>
          <value t="str">
            <val>上市電子零組件</val>
          </value>
          <value t="str">
            <val>台灣前三大手機印刷電路板廠之一</val>
          </value>
        </values>
      </ddeItem>
      <ddeItem name="2367.TW-CName,InvestorConferenceDate,DateofMeetingofShareHolders,TradingDate" advise="1">
        <values cols="4">
          <value t="str">
            <val>燿華</val>
          </value>
          <value t="str">
            <val>2021/11/11</val>
          </value>
          <value t="str">
            <val>2022/06/21</val>
          </value>
          <value t="str">
            <val>2022/12/22</val>
          </value>
        </values>
      </ddeItem>
      <ddeItem name="2367.TW-ID,Name,MarketValue,Capital,NetIncomeGrowthRate,OperIncomeGrowthRate,FinancialStatementsTime,TFXRatio,MonthlyNetSalesYoY,RevenueMonth" advise="1">
        <values cols="10">
          <value t="str">
            <val>2367</val>
          </value>
          <value t="str">
            <val>燿華</val>
          </value>
          <value t="str">
            <val>117.8</val>
          </value>
          <value t="str">
            <val>66.94</val>
          </value>
          <value t="str">
            <val>901.34</val>
          </value>
          <value t="str">
            <val>124.49</val>
          </value>
          <value t="str">
            <val>2022/09</val>
          </value>
          <value t="str">
            <val>-13.17</val>
          </value>
          <value t="str">
            <val>-2.86</val>
          </value>
          <value t="str">
            <val>2022/11</val>
          </value>
        </values>
      </ddeItem>
      <ddeItem name="2367.TW-OperatingProfitRatio,Price,PriceChangeRatio,InOutRatioNumber,Value,YearReturn,MonthReturn,WeekReturn,FinanceBalanceDif,ChipsField2" advise="1">
        <values cols="10">
          <value t="str">
            <val>2.77</val>
          </value>
          <value>
            <val>17.600000000000001</val>
          </value>
          <value>
            <val>0.56999999999999995</val>
          </value>
          <value t="str">
            <val>41.53%</val>
          </value>
          <value t="str">
            <val>4857萬</val>
          </value>
          <value t="str">
            <val>-6.63</val>
          </value>
          <value t="str">
            <val>-4.86</val>
          </value>
          <value t="str">
            <val>-4.09</val>
          </value>
          <value>
            <val>-24</val>
          </value>
          <value>
            <val>0</val>
          </value>
        </values>
      </ddeItem>
      <ddeItem name="2368.TW-ChipsField3,ChipsField1,ChipsField25,CashAndStockDividend,CashDividendYieldRate,ProfitFourSeason,ProfitSingle,CName,ExchangeIndustry,CompanyPos" advise="1">
        <values cols="10">
          <value>
            <val>-97</val>
          </value>
          <value>
            <val>-675</val>
          </value>
          <value t="str">
            <val>2022/06/27</val>
          </value>
          <value t="str">
            <val>2.20</val>
          </value>
          <value>
            <val>2.46</val>
          </value>
          <value t="str">
            <val>8.39</val>
          </value>
          <value t="str">
            <val>2.73</val>
          </value>
          <value t="str">
            <val>金像電</val>
          </value>
          <value t="str">
            <val>上市電子零組件</val>
          </value>
          <value t="str">
            <val>全球最大伺服器用板製造商</val>
          </value>
        </values>
      </ddeItem>
      <ddeItem name="2368.TW-CName,InvestorConferenceDate,DateofMeetingofShareHolders,TradingDate" advise="1">
        <values cols="4">
          <value t="str">
            <val>金像電</val>
          </value>
          <value t="str">
            <val>2022/12/15</val>
          </value>
          <value t="str">
            <val>2022/06/08</val>
          </value>
          <value t="str">
            <val>2022/12/22</val>
          </value>
        </values>
      </ddeItem>
      <ddeItem name="2368.TW-ID,Name,MarketValue,Capital,NetIncomeGrowthRate,OperIncomeGrowthRate,FinancialStatementsTime,TFXRatio,MonthlyNetSalesYoY,RevenueMonth" advise="1">
        <values cols="10">
          <value t="str">
            <val>2368</val>
          </value>
          <value t="str">
            <val>金像電</val>
          </value>
          <value t="str">
            <val>439.7</val>
          </value>
          <value t="str">
            <val>49.18</val>
          </value>
          <value t="str">
            <val>71.79</val>
          </value>
          <value t="str">
            <val>54.84</val>
          </value>
          <value t="str">
            <val>2022/09</val>
          </value>
          <value t="str">
            <val>-2.44</val>
          </value>
          <value t="str">
            <val>13.00</val>
          </value>
          <value t="str">
            <val>2022/11</val>
          </value>
        </values>
      </ddeItem>
      <ddeItem name="2368.TW-OperatingProfitRatio,Price,PriceChangeRatio,InOutRatioNumber,Value,YearReturn,MonthReturn,WeekReturn,FinanceBalanceDif,ChipsField2" advise="1">
        <values cols="10">
          <value t="str">
            <val>18.58</val>
          </value>
          <value>
            <val>89.4</val>
          </value>
          <value>
            <val>-0.89</val>
          </value>
          <value t="str">
            <val>33.89%</val>
          </value>
          <value t="str">
            <val>4.71億</val>
          </value>
          <value t="str">
            <val>+11.94</val>
          </value>
          <value t="str">
            <val>-9.24</val>
          </value>
          <value t="str">
            <val>-7.84</val>
          </value>
          <value>
            <val>95</val>
          </value>
          <value>
            <val>-377</val>
          </value>
        </values>
      </ddeItem>
      <ddeItem name="2369.TW-ChipsField3,ChipsField1,ChipsField25,CashAndStockDividend,CashDividendYieldRate,ProfitFourSeason,ProfitSingle,CName,ExchangeIndustry,CompanyPos" advise="1">
        <values cols="10">
          <value>
            <val>-40</val>
          </value>
          <value>
            <val>0</val>
          </value>
          <value t="str">
            <val>2022/08/04</val>
          </value>
          <value t="str">
            <val>1.29</val>
          </value>
          <value>
            <val>9.6300000000000008</val>
          </value>
          <value t="str">
            <val>1.28</val>
          </value>
          <value t="str">
            <val>-0.08</val>
          </value>
          <value t="str">
            <val>菱生</val>
          </value>
          <value t="str">
            <val>上市半導體</val>
          </value>
          <value t="str">
            <val>客戶以類比IC為主的小型封裝廠</val>
          </value>
        </values>
      </ddeItem>
      <ddeItem name="2369.TW-CName,InvestorConferenceDate,DateofMeetingofShareHolders,TradingDate" advise="1">
        <values cols="4">
          <value t="str">
            <val>菱生</val>
          </value>
          <value t="str">
            <val>2022/11/22</val>
          </value>
          <value t="str">
            <val>2022/06/10</val>
          </value>
          <value t="str">
            <val>2022/12/22</val>
          </value>
        </values>
      </ddeItem>
      <ddeItem name="2369.TW-ID,Name,MarketValue,Capital,NetIncomeGrowthRate,OperIncomeGrowthRate,FinancialStatementsTime,TFXRatio,MonthlyNetSalesYoY,RevenueMonth" advise="1">
        <values cols="10">
          <value t="str">
            <val>2369</val>
          </value>
          <value t="str">
            <val>菱生</val>
          </value>
          <value t="str">
            <val>50.9</val>
          </value>
          <value t="str">
            <val>38.01</val>
          </value>
          <value t="str">
            <val>-67.93</val>
          </value>
          <value t="str">
            <val>-75.60</val>
          </value>
          <value t="str">
            <val>2022/09</val>
          </value>
          <value t="str">
            <val>2.39</val>
          </value>
          <value t="str">
            <val>-41.35</val>
          </value>
          <value t="str">
            <val>2022/11</val>
          </value>
        </values>
      </ddeItem>
      <ddeItem name="2369.TW-OperatingProfitRatio,Price,PriceChangeRatio,InOutRatioNumber,Value,YearReturn,MonthReturn,WeekReturn,FinanceBalanceDif,ChipsField2" advise="1">
        <values cols="10">
          <value t="str">
            <val>3.33</val>
          </value>
          <value>
            <val>13.4</val>
          </value>
          <value>
            <val>1.52</val>
          </value>
          <value t="str">
            <val>57.56%</val>
          </value>
          <value t="str">
            <val>322萬</val>
          </value>
          <value t="str">
            <val>-43.69</val>
          </value>
          <value t="str">
            <val>-4.29</val>
          </value>
          <value t="str">
            <val>-3.25</val>
          </value>
          <value>
            <val>7</val>
          </value>
          <value>
            <val>0</val>
          </value>
        </values>
      </ddeItem>
      <ddeItem name="2371.TW-ChipsField3,ChipsField1,ChipsField25,CashAndStockDividend,CashDividendYieldRate,ProfitFourSeason,ProfitSingle,CName,ExchangeIndustry,CompanyPos" advise="1">
        <values cols="10">
          <value>
            <val>-116</val>
          </value>
          <value>
            <val>-885</val>
          </value>
          <value t="str">
            <val>--</val>
          </value>
          <value t="str">
            <val>0.00</val>
          </value>
          <value>
            <val>0</val>
          </value>
          <value t="str">
            <val>4.91</val>
          </value>
          <value t="str">
            <val>3.47</val>
          </value>
          <value t="str">
            <val>大同</val>
          </value>
          <value t="str">
            <val>上市電機機械</val>
          </value>
          <value t="str">
            <val>台灣重電及家電大廠，並擁有土地資產</val>
          </value>
        </values>
      </ddeItem>
      <ddeItem name="2371.TW-CName,InvestorConferenceDate,DateofMeetingofShareHolders,TradingDate" advise="1">
        <values cols="4">
          <value t="str">
            <val>大同</val>
          </value>
          <value t="str">
            <val>2022/08/29</val>
          </value>
          <value t="str">
            <val>2022/06/14</val>
          </value>
          <value t="str">
            <val>2022/12/22</val>
          </value>
        </values>
      </ddeItem>
      <ddeItem name="2371.TW-ID,Name,MarketValue,Capital,NetIncomeGrowthRate,OperIncomeGrowthRate,FinancialStatementsTime,TFXRatio,MonthlyNetSalesYoY,RevenueMonth" advise="1">
        <values cols="10">
          <value t="str">
            <val>2371</val>
          </value>
          <value t="str">
            <val>大同</val>
          </value>
          <value t="str">
            <val>788.4</val>
          </value>
          <value t="str">
            <val>233.95</val>
          </value>
          <value t="str">
            <val>1968.02</val>
          </value>
          <value t="str">
            <val>-57.56</val>
          </value>
          <value t="str">
            <val>2022/09</val>
          </value>
          <value t="str">
            <val>-7.23</val>
          </value>
          <value t="str">
            <val>55.77</val>
          </value>
          <value t="str">
            <val>2022/11</val>
          </value>
        </values>
      </ddeItem>
      <ddeItem name="2371.TW-OperatingProfitRatio,Price,PriceChangeRatio,InOutRatioNumber,Value,YearReturn,MonthReturn,WeekReturn,FinanceBalanceDif,ChipsField2" advise="1">
        <values cols="10">
          <value t="str">
            <val>1.76</val>
          </value>
          <value>
            <val>33.700000000000003</val>
          </value>
          <value>
            <val>-0.3</val>
          </value>
          <value t="str">
            <val>37.42%</val>
          </value>
          <value t="str">
            <val>1.18億</val>
          </value>
          <value t="str">
            <val>+6.14</val>
          </value>
          <value t="str">
            <val>+5.81</val>
          </value>
          <value t="str">
            <val>-3.30</val>
          </value>
          <value>
            <val>201</val>
          </value>
          <value>
            <val>0</val>
          </value>
        </values>
      </ddeItem>
      <ddeItem name="2373.TW-ChipsField3,ChipsField1,ChipsField25,CashAndStockDividend,CashDividendYieldRate,ProfitFourSeason,ProfitSingle,CName,ExchangeIndustry,CompanyPos" advise="1">
        <values cols="10">
          <value>
            <val>-6</val>
          </value>
          <value>
            <val>-1</val>
          </value>
          <value t="str">
            <val>2022/07/06</val>
          </value>
          <value t="str">
            <val>6.00</val>
          </value>
          <value>
            <val>7.67</val>
          </value>
          <value t="str">
            <val>5.92</val>
          </value>
          <value t="str">
            <val>2.27</val>
          </value>
          <value t="str">
            <val>震旦行</val>
          </value>
          <value t="str">
            <val>上市其他電子</val>
          </value>
          <value t="str">
            <val>台灣最大的辦公設備與辦公家俱通路商</val>
          </value>
        </values>
      </ddeItem>
      <ddeItem name="2373.TW-CName,InvestorConferenceDate,DateofMeetingofShareHolders,TradingDate" advise="1">
        <values cols="4">
          <value t="str">
            <val>震旦行</val>
          </value>
          <value t="str">
            <val>2022/11/23</val>
          </value>
          <value t="str">
            <val>2022/06/09</val>
          </value>
          <value t="str">
            <val>2022/12/22</val>
          </value>
        </values>
      </ddeItem>
      <ddeItem name="2373.TW-ID,Name,MarketValue,Capital,NetIncomeGrowthRate,OperIncomeGrowthRate,FinancialStatementsTime,TFXRatio,MonthlyNetSalesYoY,RevenueMonth" advise="1">
        <values cols="10">
          <value t="str">
            <val>2373</val>
          </value>
          <value t="str">
            <val>震旦行</val>
          </value>
          <value t="str">
            <val>184.7</val>
          </value>
          <value t="str">
            <val>23.62</val>
          </value>
          <value t="str">
            <val>-7.71</val>
          </value>
          <value t="str">
            <val>-24.73</val>
          </value>
          <value t="str">
            <val>2022/09</val>
          </value>
          <value t="str">
            <val>-0.68</val>
          </value>
          <value t="str">
            <val>-11.50</val>
          </value>
          <value t="str">
            <val>2022/11</val>
          </value>
        </values>
      </ddeItem>
      <ddeItem name="2373.TW-OperatingProfitRatio,Price,PriceChangeRatio,InOutRatioNumber,Value,YearReturn,MonthReturn,WeekReturn,FinanceBalanceDif,ChipsField2" advise="1">
        <values cols="10">
          <value t="str">
            <val>8.10</val>
          </value>
          <value>
            <val>78.2</val>
          </value>
          <value>
            <val>0.64</val>
          </value>
          <value t="str">
            <val>34.78%</val>
          </value>
          <value t="str">
            <val>195萬</val>
          </value>
          <value t="str">
            <val>-6.90</val>
          </value>
          <value t="str">
            <val>+0.51</val>
          </value>
          <value t="str">
            <val>-0.38</val>
          </value>
          <value>
            <val>0</val>
          </value>
          <value>
            <val>0</val>
          </value>
        </values>
      </ddeItem>
      <ddeItem name="2374.TW-ChipsField3,ChipsField1,ChipsField25,CashAndStockDividend,CashDividendYieldRate,ProfitFourSeason,ProfitSingle,CName,ExchangeIndustry,CompanyPos" advise="1">
        <values cols="10">
          <value>
            <val>-13</val>
          </value>
          <value>
            <val>-39</val>
          </value>
          <value t="str">
            <val>2022/07/18</val>
          </value>
          <value t="str">
            <val>1.00</val>
          </value>
          <value>
            <val>4.83</val>
          </value>
          <value t="str">
            <val>0.60</val>
          </value>
          <value t="str">
            <val>0.60</val>
          </value>
          <value t="str">
            <val>佳能</val>
          </value>
          <value t="str">
            <val>上市光電</val>
          </value>
          <value t="str">
            <val>轉型車載鏡頭及AI相機應用為主</val>
          </value>
        </values>
      </ddeItem>
      <ddeItem name="2374.TW-CName,InvestorConferenceDate,DateofMeetingofShareHolders,TradingDate" advise="1">
        <values cols="4">
          <value t="str">
            <val>佳能</val>
          </value>
          <value t="str">
            <val>2022/12/26</val>
          </value>
          <value t="str">
            <val>2022/06/21</val>
          </value>
          <value t="str">
            <val>2022/12/22</val>
          </value>
        </values>
      </ddeItem>
      <ddeItem name="2374.TW-ID,Name,MarketValue,Capital,NetIncomeGrowthRate,OperIncomeGrowthRate,FinancialStatementsTime,TFXRatio,MonthlyNetSalesYoY,RevenueMonth" advise="1">
        <values cols="10">
          <value t="str">
            <val>2374</val>
          </value>
          <value t="str">
            <val>佳能</val>
          </value>
          <value t="str">
            <val>59.5</val>
          </value>
          <value t="str">
            <val>28.76</val>
          </value>
          <value t="str">
            <val>-69.55</val>
          </value>
          <value t="str">
            <val>94.77</val>
          </value>
          <value t="str">
            <val>2022/09</val>
          </value>
          <value t="str">
            <val>-14.04</val>
          </value>
          <value t="str">
            <val>6.00</val>
          </value>
          <value t="str">
            <val>2022/11</val>
          </value>
        </values>
      </ddeItem>
      <ddeItem name="2374.TW-OperatingProfitRatio,Price,PriceChangeRatio,InOutRatioNumber,Value,YearReturn,MonthReturn,WeekReturn,FinanceBalanceDif,ChipsField2" advise="1">
        <values cols="10">
          <value t="str">
            <val>-0.44</val>
          </value>
          <value>
            <val>20.7</val>
          </value>
          <value>
            <val>0.73</val>
          </value>
          <value t="str">
            <val>42.21%</val>
          </value>
          <value t="str">
            <val>512萬</val>
          </value>
          <value t="str">
            <val>-9.02</val>
          </value>
          <value t="str">
            <val>-3.72</val>
          </value>
          <value t="str">
            <val>-4.17</val>
          </value>
          <value>
            <val>22</val>
          </value>
          <value>
            <val>0</val>
          </value>
        </values>
      </ddeItem>
      <ddeItem name="2375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-25</val>
          </value>
          <value t="str">
            <val>2022/06/29</val>
          </value>
          <value t="str">
            <val>2.00</val>
          </value>
          <value>
            <val>3.56</val>
          </value>
          <value t="str">
            <val>6.04</val>
          </value>
          <value t="str">
            <val>1.58</val>
          </value>
          <value t="str">
            <val>凱美</val>
          </value>
          <value t="str">
            <val>上市電子零組件</val>
          </value>
          <value t="str">
            <val>國巨旗下專業鋁質電容廠</val>
          </value>
        </values>
      </ddeItem>
      <ddeItem name="2375.TW-CName,InvestorConferenceDate,DateofMeetingofShareHolders,TradingDate" advise="1">
        <values cols="4">
          <value t="str">
            <val>凱美</val>
          </value>
          <value t="str">
            <val>2022/11/14</val>
          </value>
          <value t="str">
            <val>2022/06/08</val>
          </value>
          <value t="str">
            <val>2022/12/22</val>
          </value>
        </values>
      </ddeItem>
      <ddeItem name="2375.TW-ID,Name,MarketValue,Capital,NetIncomeGrowthRate,OperIncomeGrowthRate,FinancialStatementsTime,TFXRatio,MonthlyNetSalesYoY,RevenueMonth" advise="1">
        <values cols="10">
          <value t="str">
            <val>2375</val>
          </value>
          <value t="str">
            <val>凱美</val>
          </value>
          <value t="str">
            <val>61.1</val>
          </value>
          <value t="str">
            <val>10.87</val>
          </value>
          <value t="str">
            <val>-36.66</val>
          </value>
          <value t="str">
            <val>-65.90</val>
          </value>
          <value t="str">
            <val>2022/09</val>
          </value>
          <value t="str">
            <val>2.99</val>
          </value>
          <value t="str">
            <val>-26.95</val>
          </value>
          <value t="str">
            <val>2022/11</val>
          </value>
        </values>
      </ddeItem>
      <ddeItem name="2375.TW-OperatingProfitRatio,Price,PriceChangeRatio,InOutRatioNumber,Value,YearReturn,MonthReturn,WeekReturn,FinanceBalanceDif,ChipsField2" advise="1">
        <values cols="10">
          <value t="str">
            <val>5.87</val>
          </value>
          <value>
            <val>56.2</val>
          </value>
          <value>
            <val>0.9</val>
          </value>
          <value t="str">
            <val>28.57%</val>
          </value>
          <value t="str">
            <val>1073萬</val>
          </value>
          <value t="str">
            <val>-50.94</val>
          </value>
          <value t="str">
            <val>-0.88</val>
          </value>
          <value t="str">
            <val>-6.95</val>
          </value>
          <value>
            <val>-12</val>
          </value>
          <value>
            <val>0</val>
          </value>
        </values>
      </ddeItem>
      <ddeItem name="2376.TW-ChipsField3,ChipsField1,ChipsField25,CashAndStockDividend,CashDividendYieldRate,ProfitFourSeason,ProfitSingle,CName,ExchangeIndustry,CompanyPos" advise="1">
        <values cols="10">
          <value>
            <val>-75</val>
          </value>
          <value>
            <val>3242</val>
          </value>
          <value t="str">
            <val>2022/08/04</val>
          </value>
          <value t="str">
            <val>12.00</val>
          </value>
          <value>
            <val>11.43</val>
          </value>
          <value t="str">
            <val>14.05</val>
          </value>
          <value t="str">
            <val>1.84</val>
          </value>
          <value t="str">
            <val>技嘉</val>
          </value>
          <value t="str">
            <val>上市電腦及週邊設備</val>
          </value>
          <value t="str">
            <val>全球前三大主機板廠</val>
          </value>
        </values>
      </ddeItem>
      <ddeItem name="2376.TW-CName,InvestorConferenceDate,DateofMeetingofShareHolders,TradingDate" advise="1">
        <values cols="4">
          <value t="str">
            <val>技嘉</val>
          </value>
          <value t="str">
            <val>2022/11/17</val>
          </value>
          <value t="str">
            <val>2022/06/14</val>
          </value>
          <value t="str">
            <val>2022/12/22</val>
          </value>
        </values>
      </ddeItem>
      <ddeItem name="2376.TW-ID,Name,MarketValue,Capital,NetIncomeGrowthRate,OperIncomeGrowthRate,FinancialStatementsTime,TFXRatio,MonthlyNetSalesYoY,RevenueMonth" advise="1">
        <values cols="10">
          <value t="str">
            <val>2376</val>
          </value>
          <value t="str">
            <val>技嘉</val>
          </value>
          <value t="str">
            <val>667.5</val>
          </value>
          <value t="str">
            <val>63.57</val>
          </value>
          <value t="str">
            <val>-45.87</val>
          </value>
          <value t="str">
            <val>-53.51</val>
          </value>
          <value t="str">
            <val>2022/09</val>
          </value>
          <value t="str">
            <val>32.22</val>
          </value>
          <value t="str">
            <val>-8.28</val>
          </value>
          <value t="str">
            <val>2022/11</val>
          </value>
        </values>
      </ddeItem>
      <ddeItem name="2376.TW-OperatingProfitRatio,Price,PriceChangeRatio,InOutRatioNumber,Value,YearReturn,MonthReturn,WeekReturn,FinanceBalanceDif,ChipsField2" advise="1">
        <values cols="10">
          <value t="str">
            <val>6.43</val>
          </value>
          <value>
            <val>105</val>
          </value>
          <value>
            <val>3.96</val>
          </value>
          <value t="str">
            <val>44.26%</val>
          </value>
          <value t="str">
            <val>13.1億</val>
          </value>
          <value t="str">
            <val>-22.13</val>
          </value>
          <value t="str">
            <val>-2.78</val>
          </value>
          <value t="str">
            <val>-1.87</val>
          </value>
          <value>
            <val>-162</val>
          </value>
          <value>
            <val>-4313</val>
          </value>
        </values>
      </ddeItem>
      <ddeItem name="2377.TW-ChipsField3,ChipsField1,ChipsField25,CashAndStockDividend,CashDividendYieldRate,ProfitFourSeason,ProfitSingle,CName,ExchangeIndustry,CompanyPos" advise="1">
        <values cols="10">
          <value>
            <val>-121</val>
          </value>
          <value>
            <val>6343</val>
          </value>
          <value t="str">
            <val>2022/08/17</val>
          </value>
          <value t="str">
            <val>10.50</val>
          </value>
          <value>
            <val>8.94</val>
          </value>
          <value t="str">
            <val>15.74</val>
          </value>
          <value t="str">
            <val>1.90</val>
          </value>
          <value t="str">
            <val>微星</val>
          </value>
          <value t="str">
            <val>上市電腦及週邊設備</val>
          </value>
          <value t="str">
            <val>台灣知名主機板及電競筆電廠</val>
          </value>
        </values>
      </ddeItem>
      <ddeItem name="2377.TW-CName,InvestorConferenceDate,DateofMeetingofShareHolders,TradingDate" advise="1">
        <values cols="4">
          <value t="str">
            <val>微星</val>
          </value>
          <value t="str">
            <val>2022/03/22</val>
          </value>
          <value t="str">
            <val>2022/06/10</val>
          </value>
          <value t="str">
            <val>2022/12/22</val>
          </value>
        </values>
      </ddeItem>
      <ddeItem name="2377.TW-ID,Name,MarketValue,Capital,NetIncomeGrowthRate,OperIncomeGrowthRate,FinancialStatementsTime,TFXRatio,MonthlyNetSalesYoY,RevenueMonth" advise="1">
        <values cols="10">
          <value t="str">
            <val>2377</val>
          </value>
          <value t="str">
            <val>微星</val>
          </value>
          <value t="str">
            <val>992.7</val>
          </value>
          <value t="str">
            <val>84.49</val>
          </value>
          <value t="str">
            <val>-27.78</val>
          </value>
          <value t="str">
            <val>-32.96</val>
          </value>
          <value t="str">
            <val>2022/09</val>
          </value>
          <value t="str">
            <val>8.74</val>
          </value>
          <value t="str">
            <val>-25.18</val>
          </value>
          <value t="str">
            <val>2022/11</val>
          </value>
        </values>
      </ddeItem>
      <ddeItem name="2377.TW-OperatingProfitRatio,Price,PriceChangeRatio,InOutRatioNumber,Value,YearReturn,MonthReturn,WeekReturn,FinanceBalanceDif,ChipsField2" advise="1">
        <values cols="10">
          <value t="str">
            <val>7.40</val>
          </value>
          <value>
            <val>117.5</val>
          </value>
          <value>
            <val>0.43</val>
          </value>
          <value t="str">
            <val>29.39%</val>
          </value>
          <value t="str">
            <val>12.5億</val>
          </value>
          <value t="str">
            <val>-20.96</val>
          </value>
          <value t="str">
            <val>-6.75</val>
          </value>
          <value t="str">
            <val>-4.08</val>
          </value>
          <value>
            <val>68</val>
          </value>
          <value>
            <val>-6850</val>
          </value>
        </values>
      </ddeItem>
      <ddeItem name="2379.TW-ChipsField3,ChipsField1,ChipsField25,CashAndStockDividend,CashDividendYieldRate,ProfitFourSeason,ProfitSingle,CName,ExchangeIndustry,CompanyPos" advise="1">
        <values cols="10">
          <value>
            <val>-92</val>
          </value>
          <value>
            <val>-2697</val>
          </value>
          <value t="str">
            <val>2022/09/12</val>
          </value>
          <value t="str">
            <val>27.00</val>
          </value>
          <value>
            <val>9.2899999999999991</val>
          </value>
          <value t="str">
            <val>36.49</val>
          </value>
          <value t="str">
            <val>8.20</val>
          </value>
          <value t="str">
            <val>瑞昱</val>
          </value>
          <value t="str">
            <val>上市半導體</val>
          </value>
          <value t="str">
            <val>全球超高速乙太網路IC設計龍頭廠商</val>
          </value>
        </values>
      </ddeItem>
      <ddeItem name="2379.TW-CName,InvestorConferenceDate,DateofMeetingofShareHolders,TradingDate" advise="1">
        <values cols="4">
          <value t="str">
            <val>瑞昱</val>
          </value>
          <value t="str">
            <val>2022/10/28</val>
          </value>
          <value t="str">
            <val>2022/06/08</val>
          </value>
          <value t="str">
            <val>2022/12/22</val>
          </value>
        </values>
      </ddeItem>
      <ddeItem name="2379.TW-ID,Name,MarketValue,Capital,NetIncomeGrowthRate,OperIncomeGrowthRate,FinancialStatementsTime,TFXRatio,MonthlyNetSalesYoY,RevenueMonth" advise="1">
        <values cols="10">
          <value t="str">
            <val>2379</val>
          </value>
          <value t="str">
            <val>瑞昱</val>
          </value>
          <value t="str">
            <val>1489.9</val>
          </value>
          <value t="str">
            <val>51.29</val>
          </value>
          <value t="str">
            <val>14.89</val>
          </value>
          <value t="str">
            <val>10.33</val>
          </value>
          <value t="str">
            <val>2022/09</val>
          </value>
          <value t="str">
            <val>-9.81</val>
          </value>
          <value t="str">
            <val>-20.57</val>
          </value>
          <value t="str">
            <val>2022/11</val>
          </value>
        </values>
      </ddeItem>
      <ddeItem name="2379.TW-OperatingProfitRatio,Price,PriceChangeRatio,InOutRatioNumber,Value,YearReturn,MonthReturn,WeekReturn,FinanceBalanceDif,ChipsField2" advise="1">
        <values cols="10">
          <value t="str">
            <val>15.50</val>
          </value>
          <value>
            <val>290.5</val>
          </value>
          <value>
            <val>1.75</val>
          </value>
          <value t="str">
            <val>22.26%</val>
          </value>
          <value t="str">
            <val>13.7億</val>
          </value>
          <value t="str">
            <val>-44.42</val>
          </value>
          <value t="str">
            <val>-10.62</val>
          </value>
          <value t="str">
            <val>-3.65</val>
          </value>
          <value>
            <val>18</val>
          </value>
          <value>
            <val>2563</val>
          </value>
        </values>
      </ddeItem>
      <ddeItem name="238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-22</val>
          </value>
          <value t="str">
            <val>--</val>
          </value>
          <value t="str">
            <val>0.00</val>
          </value>
          <value>
            <val>0</val>
          </value>
          <value t="str">
            <val>-0.13</val>
          </value>
          <value t="str">
            <val>0.28</val>
          </value>
          <value t="str">
            <val>虹光</val>
          </value>
          <value t="str">
            <val>上市電腦及週邊設備</val>
          </value>
          <value t="str">
            <val>提供掃瞄器、MFP等數位化辦公設備供應商</val>
          </value>
        </values>
      </ddeItem>
      <ddeItem name="2380.TW-CName,InvestorConferenceDate,DateofMeetingofShareHolders,TradingDate" advise="1">
        <values cols="4">
          <value t="str">
            <val>虹光</val>
          </value>
          <value t="str">
            <val>2022/12/16</val>
          </value>
          <value t="str">
            <val>2022/06/15</val>
          </value>
          <value t="str">
            <val>2022/12/22</val>
          </value>
        </values>
      </ddeItem>
      <ddeItem name="2380.TW-ID,Name,MarketValue,Capital,NetIncomeGrowthRate,OperIncomeGrowthRate,FinancialStatementsTime,TFXRatio,MonthlyNetSalesYoY,RevenueMonth" advise="1">
        <values cols="10">
          <value t="str">
            <val>2380</val>
          </value>
          <value t="str">
            <val>虹光</val>
          </value>
          <value t="str">
            <val>25.1</val>
          </value>
          <value t="str">
            <val>22.94</val>
          </value>
          <value t="str">
            <val>123.13</val>
          </value>
          <value t="str">
            <val>88.63</val>
          </value>
          <value t="str">
            <val>2022/09</val>
          </value>
          <value t="str">
            <val>-10.15</val>
          </value>
          <value t="str">
            <val>5.84</val>
          </value>
          <value t="str">
            <val>2022/11</val>
          </value>
        </values>
      </ddeItem>
      <ddeItem name="2380.TW-OperatingProfitRatio,Price,PriceChangeRatio,InOutRatioNumber,Value,YearReturn,MonthReturn,WeekReturn,FinanceBalanceDif,ChipsField2" advise="1">
        <values cols="10">
          <value t="str">
            <val>-0.40</val>
          </value>
          <value>
            <val>11.75</val>
          </value>
          <value>
            <val>0</val>
          </value>
          <value t="str">
            <val>41.43%</val>
          </value>
          <value t="str">
            <val>589萬</val>
          </value>
          <value t="str">
            <val>-32.28</val>
          </value>
          <value t="str">
            <val>-13.92</val>
          </value>
          <value t="str">
            <val>-4.47</val>
          </value>
          <value>
            <val>0</val>
          </value>
          <value>
            <val>0</val>
          </value>
        </values>
      </ddeItem>
      <ddeItem name="2382.TW-ChipsField3,ChipsField1,ChipsField25,CashAndStockDividend,CashDividendYieldRate,ProfitFourSeason,ProfitSingle,CName,ExchangeIndustry,CompanyPos" advise="1">
        <values cols="10">
          <value>
            <val>-178</val>
          </value>
          <value>
            <val>10592</val>
          </value>
          <value t="str">
            <val>2022/08/01</val>
          </value>
          <value t="str">
            <val>6.60</val>
          </value>
          <value>
            <val>9.18</val>
          </value>
          <value t="str">
            <val>7.59</val>
          </value>
          <value t="str">
            <val>2.40</val>
          </value>
          <value t="str">
            <val>廣達</val>
          </value>
          <value t="str">
            <val>上市電腦及週邊設備</val>
          </value>
          <value t="str">
            <val>全球知名NB代工廠</val>
          </value>
        </values>
      </ddeItem>
      <ddeItem name="2382.TW-CName,InvestorConferenceDate,DateofMeetingofShareHolders,TradingDate" advise="1">
        <values cols="4">
          <value t="str">
            <val>廣達</val>
          </value>
          <value t="str">
            <val>2022/07/26</val>
          </value>
          <value t="str">
            <val>2022/06/17</val>
          </value>
          <value t="str">
            <val>2022/12/22</val>
          </value>
        </values>
      </ddeItem>
      <ddeItem name="2382.TW-ID,Name,MarketValue,Capital,NetIncomeGrowthRate,OperIncomeGrowthRate,FinancialStatementsTime,TFXRatio,MonthlyNetSalesYoY,RevenueMonth" advise="1">
        <values cols="10">
          <value t="str">
            <val>2382</val>
          </value>
          <value t="str">
            <val>廣達</val>
          </value>
          <value t="str">
            <val>2777.2</val>
          </value>
          <value t="str">
            <val>386.26</val>
          </value>
          <value t="str">
            <val>-17.33</val>
          </value>
          <value t="str">
            <val>-21.17</val>
          </value>
          <value t="str">
            <val>2022/09</val>
          </value>
          <value t="str">
            <val>3.04</val>
          </value>
          <value t="str">
            <val>-1.01</val>
          </value>
          <value t="str">
            <val>2022/11</val>
          </value>
        </values>
      </ddeItem>
      <ddeItem name="2382.TW-OperatingProfitRatio,Price,PriceChangeRatio,InOutRatioNumber,Value,YearReturn,MonthReturn,WeekReturn,FinanceBalanceDif,ChipsField2" advise="1">
        <values cols="10">
          <value t="str">
            <val>2.23</val>
          </value>
          <value>
            <val>71.900000000000006</val>
          </value>
          <value>
            <val>1.99</val>
          </value>
          <value t="str">
            <val>74.91%</val>
          </value>
          <value t="str">
            <val>15.4億</val>
          </value>
          <value t="str">
            <val>-12.67</val>
          </value>
          <value t="str">
            <val>+1.99</val>
          </value>
          <value t="str">
            <val>-1.24</val>
          </value>
          <value>
            <val>-16</val>
          </value>
          <value>
            <val>-13935</val>
          </value>
        </values>
      </ddeItem>
      <ddeItem name="2383.TW-ChipsField3,ChipsField1,ChipsField25,CashAndStockDividend,CashDividendYieldRate,ProfitFourSeason,ProfitSingle,CName,ExchangeIndustry,CompanyPos" advise="1">
        <values cols="10">
          <value>
            <val>-34</val>
          </value>
          <value>
            <val>-2681</val>
          </value>
          <value t="str">
            <val>2022/08/25</val>
          </value>
          <value t="str">
            <val>10.00</val>
          </value>
          <value>
            <val>5.62</val>
          </value>
          <value t="str">
            <val>15.63</val>
          </value>
          <value t="str">
            <val>3.93</val>
          </value>
          <value t="str">
            <val>台光電</val>
          </value>
          <value t="str">
            <val>上市電子零組件</val>
          </value>
          <value t="str">
            <val>全球第一大無鹵素板廠、台灣第二大CCL廠</val>
          </value>
        </values>
      </ddeItem>
      <ddeItem name="2383.TW-CName,InvestorConferenceDate,DateofMeetingofShareHolders,TradingDate" advise="1">
        <values cols="4">
          <value t="str">
            <val>台光電</val>
          </value>
          <value t="str">
            <val>2022/08/18</val>
          </value>
          <value t="str">
            <val>2022/05/26</val>
          </value>
          <value t="str">
            <val>2022/12/22</val>
          </value>
        </values>
      </ddeItem>
      <ddeItem name="2383.TW-ID,Name,MarketValue,Capital,NetIncomeGrowthRate,OperIncomeGrowthRate,FinancialStatementsTime,TFXRatio,MonthlyNetSalesYoY,RevenueMonth" advise="1">
        <values cols="10">
          <value t="str">
            <val>2383</val>
          </value>
          <value t="str">
            <val>台光電</val>
          </value>
          <value t="str">
            <val>592.6</val>
          </value>
          <value t="str">
            <val>33.29</val>
          </value>
          <value t="str">
            <val>-7.27</val>
          </value>
          <value t="str">
            <val>-7.41</val>
          </value>
          <value t="str">
            <val>2022/09</val>
          </value>
          <value t="str">
            <val>-3.73</val>
          </value>
          <value t="str">
            <val>-10.81</val>
          </value>
          <value t="str">
            <val>2022/11</val>
          </value>
        </values>
      </ddeItem>
      <ddeItem name="2383.TW-OperatingProfitRatio,Price,PriceChangeRatio,InOutRatioNumber,Value,YearReturn,MonthReturn,WeekReturn,FinanceBalanceDif,ChipsField2" advise="1">
        <values cols="10">
          <value t="str">
            <val>15.79</val>
          </value>
          <value>
            <val>178</val>
          </value>
          <value>
            <val>3.19</val>
          </value>
          <value t="str">
            <val>65.21%</val>
          </value>
          <value t="str">
            <val>8.69億</val>
          </value>
          <value t="str">
            <val>-31.43</val>
          </value>
          <value t="str">
            <val>+3.19</val>
          </value>
          <value t="str">
            <val>-5.82</val>
          </value>
          <value>
            <val>23</val>
          </value>
          <value>
            <val>2263</val>
          </value>
        </values>
      </ddeItem>
      <ddeItem name="2385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2041</val>
          </value>
          <value t="str">
            <val>2022/06/16</val>
          </value>
          <value t="str">
            <val>6.10</val>
          </value>
          <value>
            <val>7</val>
          </value>
          <value t="str">
            <val>10.24</val>
          </value>
          <value t="str">
            <val>2.97</val>
          </value>
          <value t="str">
            <val>群光</val>
          </value>
          <value t="str">
            <val>上市電子零組件</val>
          </value>
          <value t="str">
            <val>全球PC鍵盤排名前三大之電腦週邊廠</val>
          </value>
        </values>
      </ddeItem>
      <ddeItem name="2385.TW-CName,InvestorConferenceDate,DateofMeetingofShareHolders,TradingDate" advise="1">
        <values cols="4">
          <value t="str">
            <val>群光</val>
          </value>
          <value t="str">
            <val>2022/11/03</val>
          </value>
          <value t="str">
            <val>2022/06/10</val>
          </value>
          <value t="str">
            <val>2022/12/22</val>
          </value>
        </values>
      </ddeItem>
      <ddeItem name="2385.TW-ID,Name,MarketValue,Capital,NetIncomeGrowthRate,OperIncomeGrowthRate,FinancialStatementsTime,TFXRatio,MonthlyNetSalesYoY,RevenueMonth" advise="1">
        <values cols="10">
          <value t="str">
            <val>2385</val>
          </value>
          <value t="str">
            <val>群光</val>
          </value>
          <value t="str">
            <val>654.9</val>
          </value>
          <value t="str">
            <val>75.18</val>
          </value>
          <value t="str">
            <val>24.88</val>
          </value>
          <value t="str">
            <val>31.70</val>
          </value>
          <value t="str">
            <val>2022/09</val>
          </value>
          <value t="str">
            <val>2.67</val>
          </value>
          <value t="str">
            <val>-6.53</val>
          </value>
          <value t="str">
            <val>2022/11</val>
          </value>
        </values>
      </ddeItem>
      <ddeItem name="2385.TW-OperatingProfitRatio,Price,PriceChangeRatio,InOutRatioNumber,Value,YearReturn,MonthReturn,WeekReturn,FinanceBalanceDif,ChipsField2" advise="1">
        <values cols="10">
          <value t="str">
            <val>9.18</val>
          </value>
          <value>
            <val>87.1</val>
          </value>
          <value>
            <val>0.93</val>
          </value>
          <value t="str">
            <val>29.20%</val>
          </value>
          <value t="str">
            <val>3.33億</val>
          </value>
          <value t="str">
            <val>+15.02</val>
          </value>
          <value t="str">
            <val>+7.40</val>
          </value>
          <value t="str">
            <val>+3.57</val>
          </value>
          <value>
            <val>-28</val>
          </value>
          <value>
            <val>-2202</val>
          </value>
        </values>
      </ddeItem>
      <ddeItem name="2387.TW-ChipsField3,ChipsField1,ChipsField25,CashAndStockDividend,CashDividendYieldRate,ProfitFourSeason,ProfitSingle,CName,ExchangeIndustry,CompanyPos" advise="1">
        <values cols="10">
          <value>
            <val>-10</val>
          </value>
          <value>
            <val>-84</val>
          </value>
          <value t="str">
            <val>2022/08/11</val>
          </value>
          <value t="str">
            <val>3.00</val>
          </value>
          <value>
            <val>7.51</val>
          </value>
          <value t="str">
            <val>6.80</val>
          </value>
          <value t="str">
            <val>3.20</val>
          </value>
          <value t="str">
            <val>精元</val>
          </value>
          <value t="str">
            <val>上市電腦及週邊設備</val>
          </value>
          <value t="str">
            <val>全球前三大NB鍵盤廠</val>
          </value>
        </values>
      </ddeItem>
      <ddeItem name="2387.TW-CName,InvestorConferenceDate,DateofMeetingofShareHolders,TradingDate" advise="1">
        <values cols="4">
          <value t="str">
            <val>精元</val>
          </value>
          <value t="str">
            <val>2022/11/29</val>
          </value>
          <value t="str">
            <val>2022/06/17</val>
          </value>
          <value t="str">
            <val>2022/12/22</val>
          </value>
        </values>
      </ddeItem>
      <ddeItem name="2387.TW-ID,Name,MarketValue,Capital,NetIncomeGrowthRate,OperIncomeGrowthRate,FinancialStatementsTime,TFXRatio,MonthlyNetSalesYoY,RevenueMonth" advise="1">
        <values cols="10">
          <value t="str">
            <val>2387</val>
          </value>
          <value t="str">
            <val>精元</val>
          </value>
          <value t="str">
            <val>78.0</val>
          </value>
          <value t="str">
            <val>19.53</val>
          </value>
          <value t="str">
            <val>47.77</val>
          </value>
          <value t="str">
            <val>-14.53</val>
          </value>
          <value t="str">
            <val>2022/09</val>
          </value>
          <value t="str">
            <val>12.72</val>
          </value>
          <value t="str">
            <val>1.07</val>
          </value>
          <value t="str">
            <val>2022/11</val>
          </value>
        </values>
      </ddeItem>
      <ddeItem name="2387.TW-OperatingProfitRatio,Price,PriceChangeRatio,InOutRatioNumber,Value,YearReturn,MonthReturn,WeekReturn,FinanceBalanceDif,ChipsField2" advise="1">
        <values cols="10">
          <value t="str">
            <val>5.67</val>
          </value>
          <value>
            <val>39.950000000000003</val>
          </value>
          <value>
            <val>1.1399999999999999</val>
          </value>
          <value t="str">
            <val>58.43%</val>
          </value>
          <value t="str">
            <val>711萬</val>
          </value>
          <value t="str">
            <val>-3.59</val>
          </value>
          <value t="str">
            <val>-0.25</val>
          </value>
          <value t="str">
            <val>-2.44</val>
          </value>
          <value>
            <val>17</val>
          </value>
          <value>
            <val>0</val>
          </value>
        </values>
      </ddeItem>
      <ddeItem name="2388.TW-ChipsField3,ChipsField1,ChipsField25,CashAndStockDividend,CashDividendYieldRate,ProfitFourSeason,ProfitSingle,CName,ExchangeIndustry,CompanyPos" advise="1">
        <values cols="10">
          <value>
            <val>-197</val>
          </value>
          <value>
            <val>-413</val>
          </value>
          <value t="str">
            <val>2022/04/07</val>
          </value>
          <value t="str">
            <val>1.00</val>
          </value>
          <value>
            <val>1.44</val>
          </value>
          <value t="str">
            <val>6.12</val>
          </value>
          <value t="str">
            <val>0.41</val>
          </value>
          <value t="str">
            <val>威盛</val>
          </value>
          <value t="str">
            <val>上市半導體</val>
          </value>
          <value t="str">
            <val>支援x86平台之IC解決方案廠商</val>
          </value>
        </values>
      </ddeItem>
      <ddeItem name="2388.TW-CName,InvestorConferenceDate,DateofMeetingofShareHolders,TradingDate" advise="1">
        <values cols="4">
          <value t="str">
            <val>威盛</val>
          </value>
          <value t="str">
            <val>2022/11/04</val>
          </value>
          <value t="str">
            <val>2022/06/17</val>
          </value>
          <value t="str">
            <val>2022/12/22</val>
          </value>
        </values>
      </ddeItem>
      <ddeItem name="2388.TW-ID,Name,MarketValue,Capital,NetIncomeGrowthRate,OperIncomeGrowthRate,FinancialStatementsTime,TFXRatio,MonthlyNetSalesYoY,RevenueMonth" advise="1">
        <values cols="10">
          <value t="str">
            <val>2388</val>
          </value>
          <value t="str">
            <val>威盛</val>
          </value>
          <value t="str">
            <val>344.9</val>
          </value>
          <value t="str">
            <val>49.71</val>
          </value>
          <value t="str">
            <val>-81.65</val>
          </value>
          <value t="str">
            <val>116.27</val>
          </value>
          <value t="str">
            <val>2022/09</val>
          </value>
          <value t="str">
            <val>98.42</val>
          </value>
          <value t="str">
            <val>68.97</val>
          </value>
          <value t="str">
            <val>2022/11</val>
          </value>
        </values>
      </ddeItem>
      <ddeItem name="2388.TW-OperatingProfitRatio,Price,PriceChangeRatio,InOutRatioNumber,Value,YearReturn,MonthReturn,WeekReturn,FinanceBalanceDif,ChipsField2" advise="1">
        <values cols="10">
          <value t="str">
            <val>2.23</val>
          </value>
          <value>
            <val>69.400000000000006</val>
          </value>
          <value>
            <val>-0.28999999999999998</val>
          </value>
          <value t="str">
            <val>36.21%</val>
          </value>
          <value t="str">
            <val>6.01億</val>
          </value>
          <value t="str">
            <val>-18.68</val>
          </value>
          <value t="str">
            <val>-1.98</val>
          </value>
          <value t="str">
            <val>-6.85</val>
          </value>
          <value>
            <val>-56</val>
          </value>
          <value>
            <val>0</val>
          </value>
        </values>
      </ddeItem>
      <ddeItem name="239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46</val>
          </value>
          <value t="str">
            <val>2022/07/11</val>
          </value>
          <value t="str">
            <val>1.00</val>
          </value>
          <value>
            <val>7.6</val>
          </value>
          <value t="str">
            <val>-3.26</val>
          </value>
          <value t="str">
            <val>-1.97</val>
          </value>
          <value t="str">
            <val>云辰</val>
          </value>
          <value t="str">
            <val>上市其他電子</val>
          </value>
          <value t="str">
            <val>台灣防盜器龍頭廠商，轉型為智慧家庭解決方案商</val>
          </value>
        </values>
      </ddeItem>
      <ddeItem name="2390.TW-CName,InvestorConferenceDate,DateofMeetingofShareHolders,TradingDate" advise="1">
        <values cols="4">
          <value t="str">
            <val>云辰</val>
          </value>
          <value t="str">
            <val>2021/12/23</val>
          </value>
          <value t="str">
            <val>2022/06/23</val>
          </value>
          <value t="str">
            <val>2022/12/22</val>
          </value>
        </values>
      </ddeItem>
      <ddeItem name="2390.TW-ID,Name,MarketValue,Capital,NetIncomeGrowthRate,OperIncomeGrowthRate,FinancialStatementsTime,TFXRatio,MonthlyNetSalesYoY,RevenueMonth" advise="1">
        <values cols="10">
          <value t="str">
            <val>2390</val>
          </value>
          <value t="str">
            <val>云辰</val>
          </value>
          <value t="str">
            <val>25.3</val>
          </value>
          <value t="str">
            <val>19.26</val>
          </value>
          <value t="str">
            <val>-156.53</val>
          </value>
          <value t="str">
            <val>68.31</val>
          </value>
          <value t="str">
            <val>2022/09</val>
          </value>
          <value t="str">
            <val>-13.21</val>
          </value>
          <value t="str">
            <val>-7.27</val>
          </value>
          <value t="str">
            <val>2022/11</val>
          </value>
        </values>
      </ddeItem>
      <ddeItem name="2390.TW-OperatingProfitRatio,Price,PriceChangeRatio,InOutRatioNumber,Value,YearReturn,MonthReturn,WeekReturn,FinanceBalanceDif,ChipsField2" advise="1">
        <values cols="10">
          <value t="str">
            <val>-9.80</val>
          </value>
          <value>
            <val>13.15</val>
          </value>
          <value>
            <val>1.94</val>
          </value>
          <value t="str">
            <val>59.91%</val>
          </value>
          <value t="str">
            <val>581萬</val>
          </value>
          <value t="str">
            <val>-38.16</val>
          </value>
          <value t="str">
            <val>-1.87</val>
          </value>
          <value t="str">
            <val>-4.36</val>
          </value>
          <value>
            <val>-68</val>
          </value>
          <value>
            <val>0</val>
          </value>
        </values>
      </ddeItem>
      <ddeItem name="2392.TW-ChipsField3,ChipsField1,ChipsField25,CashAndStockDividend,CashDividendYieldRate,ProfitFourSeason,ProfitSingle,CName,ExchangeIndustry,CompanyPos" advise="1">
        <values cols="10">
          <value>
            <val>-12</val>
          </value>
          <value>
            <val>-37</val>
          </value>
          <value t="str">
            <val>2022/07/19</val>
          </value>
          <value t="str">
            <val>1.50</val>
          </value>
          <value>
            <val>4.03</val>
          </value>
          <value t="str">
            <val>2.98</val>
          </value>
          <value t="str">
            <val>1.51</val>
          </value>
          <value t="str">
            <val>正崴</val>
          </value>
          <value t="str">
            <val>上市電子零組件</val>
          </value>
          <value t="str">
            <val>生產3C產品連接器、電池模組、電源管理模組之廠商</val>
          </value>
        </values>
      </ddeItem>
      <ddeItem name="2392.TW-CName,InvestorConferenceDate,DateofMeetingofShareHolders,TradingDate" advise="1">
        <values cols="4">
          <value t="str">
            <val>正崴</val>
          </value>
          <value t="str">
            <val>2022/11/24</val>
          </value>
          <value t="str">
            <val>2022/06/21</val>
          </value>
          <value t="str">
            <val>2022/12/22</val>
          </value>
        </values>
      </ddeItem>
      <ddeItem name="2392.TW-ID,Name,MarketValue,Capital,NetIncomeGrowthRate,OperIncomeGrowthRate,FinancialStatementsTime,TFXRatio,MonthlyNetSalesYoY,RevenueMonth" advise="1">
        <values cols="10">
          <value t="str">
            <val>2392</val>
          </value>
          <value t="str">
            <val>正崴</val>
          </value>
          <value t="str">
            <val>190.6</val>
          </value>
          <value t="str">
            <val>51.23</val>
          </value>
          <value t="str">
            <val>67.87</val>
          </value>
          <value t="str">
            <val>95.47</val>
          </value>
          <value t="str">
            <val>2022/09</val>
          </value>
          <value t="str">
            <val>-10.90</val>
          </value>
          <value t="str">
            <val>-5.53</val>
          </value>
          <value t="str">
            <val>2022/11</val>
          </value>
        </values>
      </ddeItem>
      <ddeItem name="2392.TW-OperatingProfitRatio,Price,PriceChangeRatio,InOutRatioNumber,Value,YearReturn,MonthReturn,WeekReturn,FinanceBalanceDif,ChipsField2" advise="1">
        <values cols="10">
          <value t="str">
            <val>3.67</val>
          </value>
          <value>
            <val>37.200000000000003</val>
          </value>
          <value>
            <val>1.5</val>
          </value>
          <value t="str">
            <val>52.51%</val>
          </value>
          <value t="str">
            <val>1883萬</val>
          </value>
          <value t="str">
            <val>+1.01</val>
          </value>
          <value t="str">
            <val>+4.64</val>
          </value>
          <value t="str">
            <val>-3.00</val>
          </value>
          <value>
            <val>-661</val>
          </value>
          <value>
            <val>0</val>
          </value>
        </values>
      </ddeItem>
      <ddeItem name="2393.TW-ChipsField3,ChipsField1,ChipsField25,CashAndStockDividend,CashDividendYieldRate,ProfitFourSeason,ProfitSingle,CName,ExchangeIndustry,CompanyPos" advise="1">
        <values cols="10">
          <value>
            <val>-17</val>
          </value>
          <value>
            <val>46</val>
          </value>
          <value t="str">
            <val>2022/08/03</val>
          </value>
          <value t="str">
            <val>3.50</val>
          </value>
          <value>
            <val>9.42</val>
          </value>
          <value t="str">
            <val>3.49</val>
          </value>
          <value t="str">
            <val>0.96</val>
          </value>
          <value t="str">
            <val>億光</val>
          </value>
          <value t="str">
            <val>上市光電</val>
          </value>
          <value t="str">
            <val>全球前十大LED封裝廠</val>
          </value>
        </values>
      </ddeItem>
      <ddeItem name="2393.TW-CName,InvestorConferenceDate,DateofMeetingofShareHolders,TradingDate" advise="1">
        <values cols="4">
          <value t="str">
            <val>億光</val>
          </value>
          <value t="str">
            <val>2021/03/24</val>
          </value>
          <value t="str">
            <val>2022/06/17</val>
          </value>
          <value t="str">
            <val>2022/12/22</val>
          </value>
        </values>
      </ddeItem>
      <ddeItem name="2393.TW-ID,Name,MarketValue,Capital,NetIncomeGrowthRate,OperIncomeGrowthRate,FinancialStatementsTime,TFXRatio,MonthlyNetSalesYoY,RevenueMonth" advise="1">
        <values cols="10">
          <value t="str">
            <val>2393</val>
          </value>
          <value t="str">
            <val>億光</val>
          </value>
          <value t="str">
            <val>164.7</val>
          </value>
          <value t="str">
            <val>44.35</val>
          </value>
          <value t="str">
            <val>-21.10</val>
          </value>
          <value t="str">
            <val>-39.19</val>
          </value>
          <value t="str">
            <val>2022/09</val>
          </value>
          <value t="str">
            <val>1.49</val>
          </value>
          <value t="str">
            <val>-21.58</val>
          </value>
          <value t="str">
            <val>2022/11</val>
          </value>
        </values>
      </ddeItem>
      <ddeItem name="2393.TW-OperatingProfitRatio,Price,PriceChangeRatio,InOutRatioNumber,Value,YearReturn,MonthReturn,WeekReturn,FinanceBalanceDif,ChipsField2" advise="1">
        <values cols="10">
          <value t="str">
            <val>8.15</val>
          </value>
          <value>
            <val>37.15</val>
          </value>
          <value>
            <val>0.27</val>
          </value>
          <value t="str">
            <val>36.83%</val>
          </value>
          <value t="str">
            <val>1175萬</val>
          </value>
          <value t="str">
            <val>-20.81</val>
          </value>
          <value t="str">
            <val>+0.13</val>
          </value>
          <value t="str">
            <val>-3.51</val>
          </value>
          <value>
            <val>10</val>
          </value>
          <value>
            <val>0</val>
          </value>
        </values>
      </ddeItem>
      <ddeItem name="2395.TW-ChipsField3,ChipsField1,ChipsField25,CashAndStockDividend,CashDividendYieldRate,ProfitFourSeason,ProfitSingle,CName,ExchangeIndustry,CompanyPos" advise="1">
        <values cols="10">
          <value>
            <val>-20</val>
          </value>
          <value>
            <val>-50</val>
          </value>
          <value t="str">
            <val>2022/07/07</val>
          </value>
          <value t="str">
            <val>7.98</val>
          </value>
          <value>
            <val>2.36</val>
          </value>
          <value t="str">
            <val>13.53</val>
          </value>
          <value t="str">
            <val>4.10</val>
          </value>
          <value t="str">
            <val>研華</val>
          </value>
          <value t="str">
            <val>上市電腦及週邊設備</val>
          </value>
          <value t="str">
            <val>全球前三大工業電腦廠</val>
          </value>
        </values>
      </ddeItem>
      <ddeItem name="2395.TW-CName,InvestorConferenceDate,DateofMeetingofShareHolders,TradingDate" advise="1">
        <values cols="4">
          <value t="str">
            <val>研華</val>
          </value>
          <value t="str">
            <val>2022/10/13</val>
          </value>
          <value t="str">
            <val>2022/05/26</val>
          </value>
          <value t="str">
            <val>2022/12/22</val>
          </value>
        </values>
      </ddeItem>
      <ddeItem name="2395.TW-ID,Name,MarketValue,Capital,NetIncomeGrowthRate,OperIncomeGrowthRate,FinancialStatementsTime,TFXRatio,MonthlyNetSalesYoY,RevenueMonth" advise="1">
        <values cols="10">
          <value t="str">
            <val>2395</val>
          </value>
          <value t="str">
            <val>研華</val>
          </value>
          <value t="str">
            <val>2629.1</val>
          </value>
          <value t="str">
            <val>77.79</val>
          </value>
          <value t="str">
            <val>36.10</val>
          </value>
          <value t="str">
            <val>33.97</val>
          </value>
          <value t="str">
            <val>2022/09</val>
          </value>
          <value t="str">
            <val>1.40</val>
          </value>
          <value t="str">
            <val>12.47</val>
          </value>
          <value t="str">
            <val>2022/11</val>
          </value>
        </values>
      </ddeItem>
      <ddeItem name="2395.TW-OperatingProfitRatio,Price,PriceChangeRatio,InOutRatioNumber,Value,YearReturn,MonthReturn,WeekReturn,FinanceBalanceDif,ChipsField2" advise="1">
        <values cols="10">
          <value t="str">
            <val>18.43</val>
          </value>
          <value>
            <val>338</val>
          </value>
          <value>
            <val>1.65</val>
          </value>
          <value t="str">
            <val>53.80%</val>
          </value>
          <value t="str">
            <val>1.16億</val>
          </value>
          <value t="str">
            <val>-10.49</val>
          </value>
          <value t="str">
            <val>+8.68</val>
          </value>
          <value t="str">
            <val>-0.59</val>
          </value>
          <value>
            <val>-8</val>
          </value>
          <value>
            <val>2</val>
          </value>
        </values>
      </ddeItem>
      <ddeItem name="239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2022/07/19</val>
          </value>
          <value t="str">
            <val>3.60</val>
          </value>
          <value>
            <val>6.12</val>
          </value>
          <value t="str">
            <val>7.07</val>
          </value>
          <value t="str">
            <val>1.70</val>
          </value>
          <value t="str">
            <val>友通</val>
          </value>
          <value t="str">
            <val>上市電腦及週邊設備</val>
          </value>
          <value t="str">
            <val>佳世達集團旗下工業電腦嵌入式解決方案供應商</val>
          </value>
        </values>
      </ddeItem>
      <ddeItem name="2397.TW-CName,InvestorConferenceDate,DateofMeetingofShareHolders,TradingDate" advise="1">
        <values cols="4">
          <value t="str">
            <val>友通</val>
          </value>
          <value t="str">
            <val>2022/11/10</val>
          </value>
          <value t="str">
            <val>2022/06/17</val>
          </value>
          <value t="str">
            <val>2022/12/22</val>
          </value>
        </values>
      </ddeItem>
      <ddeItem name="2397.TW-ID,Name,MarketValue,Capital,NetIncomeGrowthRate,OperIncomeGrowthRate,FinancialStatementsTime,TFXRatio,MonthlyNetSalesYoY,RevenueMonth" advise="1">
        <values cols="10">
          <value t="str">
            <val>2397</val>
          </value>
          <value t="str">
            <val>友通</val>
          </value>
          <value t="str">
            <val>67.3</val>
          </value>
          <value t="str">
            <val>11.45</val>
          </value>
          <value t="str">
            <val>34.52</val>
          </value>
          <value t="str">
            <val>11.35</val>
          </value>
          <value t="str">
            <val>2022/09</val>
          </value>
          <value t="str">
            <val>0.52</val>
          </value>
          <value t="str">
            <val>-1.15</val>
          </value>
          <value t="str">
            <val>2022/11</val>
          </value>
        </values>
      </ddeItem>
      <ddeItem name="2397.TW-OperatingProfitRatio,Price,PriceChangeRatio,InOutRatioNumber,Value,YearReturn,MonthReturn,WeekReturn,FinanceBalanceDif,ChipsField2" advise="1">
        <values cols="10">
          <value t="str">
            <val>4.46</val>
          </value>
          <value>
            <val>58.8</val>
          </value>
          <value>
            <val>-0.34</val>
          </value>
          <value t="str">
            <val>40.00%</val>
          </value>
          <value t="str">
            <val>35.4萬</val>
          </value>
          <value t="str">
            <val>+4.31</val>
          </value>
          <value t="str">
            <val>-0.17</val>
          </value>
          <value t="str">
            <val>-0.84</val>
          </value>
          <value>
            <val>0</val>
          </value>
          <value>
            <val>0</val>
          </value>
        </values>
      </ddeItem>
      <ddeItem name="239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-243</val>
          </value>
          <value t="str">
            <val>2022/08/18</val>
          </value>
          <value t="str">
            <val>1.20</val>
          </value>
          <value>
            <val>8.86</val>
          </value>
          <value t="str">
            <val>0.80</val>
          </value>
          <value t="str">
            <val>0.18</val>
          </value>
          <value t="str">
            <val>映泰</val>
          </value>
          <value t="str">
            <val>上市電腦及週邊設備</val>
          </value>
          <value t="str">
            <val>台灣二線主機板廠</val>
          </value>
        </values>
      </ddeItem>
      <ddeItem name="2399.TW-CName,InvestorConferenceDate,DateofMeetingofShareHolders,TradingDate" advise="1">
        <values cols="4">
          <value t="str">
            <val>映泰</val>
          </value>
          <value t="str">
            <val>2022/11/02</val>
          </value>
          <value t="str">
            <val>2022/06/23</val>
          </value>
          <value t="str">
            <val>2022/12/22</val>
          </value>
        </values>
      </ddeItem>
      <ddeItem name="2399.TW-ID,Name,MarketValue,Capital,NetIncomeGrowthRate,OperIncomeGrowthRate,FinancialStatementsTime,TFXRatio,MonthlyNetSalesYoY,RevenueMonth" advise="1">
        <values cols="10">
          <value t="str">
            <val>2399</val>
          </value>
          <value t="str">
            <val>映泰</val>
          </value>
          <value t="str">
            <val>24.1</val>
          </value>
          <value t="str">
            <val>17.81</val>
          </value>
          <value t="str">
            <val>-79.68</val>
          </value>
          <value t="str">
            <val>-73.69</val>
          </value>
          <value t="str">
            <val>2022/09</val>
          </value>
          <value t="str">
            <val>-12.25</val>
          </value>
          <value t="str">
            <val>-54.12</val>
          </value>
          <value t="str">
            <val>2022/11</val>
          </value>
        </values>
      </ddeItem>
      <ddeItem name="2399.TW-OperatingProfitRatio,Price,PriceChangeRatio,InOutRatioNumber,Value,YearReturn,MonthReturn,WeekReturn,FinanceBalanceDif,ChipsField2" advise="1">
        <values cols="10">
          <value t="str">
            <val>2.02</val>
          </value>
          <value>
            <val>13.55</val>
          </value>
          <value>
            <val>0.37</val>
          </value>
          <value t="str">
            <val>39.11%</val>
          </value>
          <value t="str">
            <val>726萬</val>
          </value>
          <value t="str">
            <val>-36.54</val>
          </value>
          <value t="str">
            <val>-1.45</val>
          </value>
          <value t="str">
            <val>-6.23</val>
          </value>
          <value>
            <val>-27</val>
          </value>
          <value>
            <val>0</val>
          </value>
        </values>
      </ddeItem>
      <ddeItem name="2401.TW-ChipsField3,ChipsField1,ChipsField25,CashAndStockDividend,CashDividendYieldRate,ProfitFourSeason,ProfitSingle,CName,ExchangeIndustry,CompanyPos" advise="1">
        <values cols="10">
          <value>
            <val>-89</val>
          </value>
          <value>
            <val>43</val>
          </value>
          <value t="str">
            <val>2022/07/14</val>
          </value>
          <value t="str">
            <val>2.00</val>
          </value>
          <value>
            <val>8.68</val>
          </value>
          <value t="str">
            <val>1.23</val>
          </value>
          <value t="str">
            <val>0.03</val>
          </value>
          <value t="str">
            <val>凌陽</val>
          </value>
          <value t="str">
            <val>上市半導體</val>
          </value>
          <value t="str">
            <val>台灣多媒體IC設計廠商</val>
          </value>
        </values>
      </ddeItem>
      <ddeItem name="2401.TW-CName,InvestorConferenceDate,DateofMeetingofShareHolders,TradingDate" advise="1">
        <values cols="4">
          <value t="str">
            <val>凌陽</val>
          </value>
          <value t="str">
            <val>2022/08/17</val>
          </value>
          <value t="str">
            <val>2022/06/08</val>
          </value>
          <value t="str">
            <val>2022/12/22</val>
          </value>
        </values>
      </ddeItem>
      <ddeItem name="2401.TW-ID,Name,MarketValue,Capital,NetIncomeGrowthRate,OperIncomeGrowthRate,FinancialStatementsTime,TFXRatio,MonthlyNetSalesYoY,RevenueMonth" advise="1">
        <values cols="10">
          <value t="str">
            <val>2401</val>
          </value>
          <value t="str">
            <val>凌陽</val>
          </value>
          <value t="str">
            <val>136.5</val>
          </value>
          <value t="str">
            <val>59.20</val>
          </value>
          <value t="str">
            <val>-38.73</val>
          </value>
          <value t="str">
            <val>-39.32</val>
          </value>
          <value t="str">
            <val>2022/09</val>
          </value>
          <value t="str">
            <val>-17.24</val>
          </value>
          <value t="str">
            <val>-45.05</val>
          </value>
          <value t="str">
            <val>2022/11</val>
          </value>
        </values>
      </ddeItem>
      <ddeItem name="2401.TW-OperatingProfitRatio,Price,PriceChangeRatio,InOutRatioNumber,Value,YearReturn,MonthReturn,WeekReturn,FinanceBalanceDif,ChipsField2" advise="1">
        <values cols="10">
          <value t="str">
            <val>8.19</val>
          </value>
          <value>
            <val>23.05</val>
          </value>
          <value>
            <val>0.66</val>
          </value>
          <value t="str">
            <val>42.16%</val>
          </value>
          <value t="str">
            <val>1284萬</val>
          </value>
          <value t="str">
            <val>-35.97</val>
          </value>
          <value t="str">
            <val>-4.75</val>
          </value>
          <value t="str">
            <val>-7.43</val>
          </value>
          <value>
            <val>56</val>
          </value>
          <value>
            <val>0</val>
          </value>
        </values>
      </ddeItem>
      <ddeItem name="2402.TW-ChipsField3,ChipsField1,ChipsField25,CashAndStockDividend,CashDividendYieldRate,ProfitFourSeason,ProfitSingle,CName,ExchangeIndustry,CompanyPos" advise="1">
        <values cols="10">
          <value>
            <val>-13</val>
          </value>
          <value>
            <val>-105</val>
          </value>
          <value t="str">
            <val>2022/07/29</val>
          </value>
          <value t="str">
            <val>0.50</val>
          </value>
          <value>
            <val>2.77</val>
          </value>
          <value t="str">
            <val>0.92</val>
          </value>
          <value t="str">
            <val>0.30</val>
          </value>
          <value t="str">
            <val>毅嘉</val>
          </value>
          <value t="str">
            <val>上市電子零組件</val>
          </value>
          <value t="str">
            <val>主業從手機按鍵轉型為軟板廠</val>
          </value>
        </values>
      </ddeItem>
      <ddeItem name="2402.TW-CName,InvestorConferenceDate,DateofMeetingofShareHolders,TradingDate" advise="1">
        <values cols="4">
          <value t="str">
            <val>毅嘉</val>
          </value>
          <value t="str">
            <val>2022/10/04</val>
          </value>
          <value t="str">
            <val>2022/06/16</val>
          </value>
          <value t="str">
            <val>2022/12/22</val>
          </value>
        </values>
      </ddeItem>
      <ddeItem name="2402.TW-ID,Name,MarketValue,Capital,NetIncomeGrowthRate,OperIncomeGrowthRate,FinancialStatementsTime,TFXRatio,MonthlyNetSalesYoY,RevenueMonth" advise="1">
        <values cols="10">
          <value t="str">
            <val>2402</val>
          </value>
          <value t="str">
            <val>毅嘉</val>
          </value>
          <value t="str">
            <val>55.5</val>
          </value>
          <value t="str">
            <val>30.75</val>
          </value>
          <value t="str">
            <val>29.45</val>
          </value>
          <value t="str">
            <val>25.51</val>
          </value>
          <value t="str">
            <val>2022/09</val>
          </value>
          <value t="str">
            <val>1.36</val>
          </value>
          <value t="str">
            <val>40.42</val>
          </value>
          <value t="str">
            <val>2022/11</val>
          </value>
        </values>
      </ddeItem>
      <ddeItem name="2402.TW-OperatingProfitRatio,Price,PriceChangeRatio,InOutRatioNumber,Value,YearReturn,MonthReturn,WeekReturn,FinanceBalanceDif,ChipsField2" advise="1">
        <values cols="10">
          <value t="str">
            <val>3.82</val>
          </value>
          <value>
            <val>18.05</val>
          </value>
          <value>
            <val>1.1200000000000001</val>
          </value>
          <value t="str">
            <val>43.25%</val>
          </value>
          <value t="str">
            <val>2508萬</val>
          </value>
          <value t="str">
            <val>+11.17</val>
          </value>
          <value t="str">
            <val>-1.63</val>
          </value>
          <value t="str">
            <val>-5.25</val>
          </value>
          <value>
            <val>-81</val>
          </value>
          <value>
            <val>0</val>
          </value>
        </values>
      </ddeItem>
      <ddeItem name="2404.TW-ChipsField3,ChipsField1,ChipsField25,CashAndStockDividend,CashDividendYieldRate,ProfitFourSeason,ProfitSingle,CName,ExchangeIndustry,CompanyPos" advise="1">
        <values cols="10">
          <value>
            <val>9</val>
          </value>
          <value>
            <val>-179</val>
          </value>
          <value t="str">
            <val>2022/06/28</val>
          </value>
          <value t="str">
            <val>13.13</val>
          </value>
          <value>
            <val>7.04</val>
          </value>
          <value t="str">
            <val>20.07</val>
          </value>
          <value t="str">
            <val>8.47</val>
          </value>
          <value t="str">
            <val>漢唐</val>
          </value>
          <value t="str">
            <val>上市其他電子</val>
          </value>
          <value t="str">
            <val>台積電最大的無塵室供應商</val>
          </value>
        </values>
      </ddeItem>
      <ddeItem name="2404.TW-CName,InvestorConferenceDate,DateofMeetingofShareHolders,TradingDate" advise="1">
        <values cols="4">
          <value t="str">
            <val>漢唐</val>
          </value>
          <value t="str">
            <val>2022/06/14</val>
          </value>
          <value t="str">
            <val>2022/05/26</val>
          </value>
          <value t="str">
            <val>2022/12/22</val>
          </value>
        </values>
      </ddeItem>
      <ddeItem name="2404.TW-ID,Name,MarketValue,Capital,NetIncomeGrowthRate,OperIncomeGrowthRate,FinancialStatementsTime,TFXRatio,MonthlyNetSalesYoY,RevenueMonth" advise="1">
        <values cols="10">
          <value t="str">
            <val>2404</val>
          </value>
          <value t="str">
            <val>漢唐</val>
          </value>
          <value t="str">
            <val>355.4</val>
          </value>
          <value t="str">
            <val>19.06</val>
          </value>
          <value t="str">
            <val>52.67</val>
          </value>
          <value t="str">
            <val>68.77</val>
          </value>
          <value t="str">
            <val>2022/09</val>
          </value>
          <value t="str">
            <val>-33.05</val>
          </value>
          <value t="str">
            <val>103.66</val>
          </value>
          <value t="str">
            <val>2022/11</val>
          </value>
        </values>
      </ddeItem>
      <ddeItem name="2404.TW-OperatingProfitRatio,Price,PriceChangeRatio,InOutRatioNumber,Value,YearReturn,MonthReturn,WeekReturn,FinanceBalanceDif,ChipsField2" advise="1">
        <values cols="10">
          <value t="str">
            <val>12.92</val>
          </value>
          <value>
            <val>186.5</val>
          </value>
          <value>
            <val>0.81</val>
          </value>
          <value t="str">
            <val>58.15%</val>
          </value>
          <value t="str">
            <val>1.62億</val>
          </value>
          <value t="str">
            <val>+18.91</val>
          </value>
          <value t="str">
            <val>+7.49</val>
          </value>
          <value t="str">
            <val>+2.47</val>
          </value>
          <value>
            <val>-50</val>
          </value>
          <value>
            <val>353</val>
          </value>
        </values>
      </ddeItem>
      <ddeItem name="2405.TW-ChipsField3,ChipsField1,ChipsField25,CashAndStockDividend,CashDividendYieldRate,ProfitFourSeason,ProfitSingle,CName,ExchangeIndustry,CompanyPos" advise="1">
        <values cols="10">
          <value>
            <val>1</val>
          </value>
          <value>
            <val>-39</val>
          </value>
          <value t="str">
            <val>--</val>
          </value>
          <value t="str">
            <val>0.00</val>
          </value>
          <value>
            <val>0</val>
          </value>
          <value t="str">
            <val>0.75</val>
          </value>
          <value t="str">
            <val>0.11</val>
          </value>
          <value t="str">
            <val>輔信</val>
          </value>
          <value t="str">
            <val>上市電腦及週邊設備</val>
          </value>
          <value t="str">
            <val>台灣準系統廠</val>
          </value>
        </values>
      </ddeItem>
      <ddeItem name="2405.TW-CName,InvestorConferenceDate,DateofMeetingofShareHolders,TradingDate" advise="1">
        <values cols="4">
          <value t="str">
            <val>輔信</val>
          </value>
          <value t="str">
            <val>2021/12/01</val>
          </value>
          <value t="str">
            <val>2022/06/08</val>
          </value>
          <value t="str">
            <val>2022/12/22</val>
          </value>
        </values>
      </ddeItem>
      <ddeItem name="2405.TW-ID,Name,MarketValue,Capital,NetIncomeGrowthRate,OperIncomeGrowthRate,FinancialStatementsTime,TFXRatio,MonthlyNetSalesYoY,RevenueMonth" advise="1">
        <values cols="10">
          <value t="str">
            <val>2405</val>
          </value>
          <value t="str">
            <val>輔信</val>
          </value>
          <value t="str">
            <val>40.4</val>
          </value>
          <value t="str">
            <val>34.34</val>
          </value>
          <value t="str">
            <val>268.09</val>
          </value>
          <value t="str">
            <val>-52.28</val>
          </value>
          <value t="str">
            <val>2022/09</val>
          </value>
          <value t="str">
            <val>-9.92</val>
          </value>
          <value t="str">
            <val>-31.82</val>
          </value>
          <value t="str">
            <val>2022/11</val>
          </value>
        </values>
      </ddeItem>
      <ddeItem name="2405.TW-OperatingProfitRatio,Price,PriceChangeRatio,InOutRatioNumber,Value,YearReturn,MonthReturn,WeekReturn,FinanceBalanceDif,ChipsField2" advise="1">
        <values cols="10">
          <value t="str">
            <val>1.86</val>
          </value>
          <value>
            <val>11.75</val>
          </value>
          <value>
            <val>0.43</val>
          </value>
          <value t="str">
            <val>36.24%</val>
          </value>
          <value t="str">
            <val>523萬</val>
          </value>
          <value t="str">
            <val>-36.83</val>
          </value>
          <value t="str">
            <val>-7.11</val>
          </value>
          <value t="str">
            <val>-6.75</val>
          </value>
          <value>
            <val>-337</val>
          </value>
          <value>
            <val>0</val>
          </value>
        </values>
      </ddeItem>
      <ddeItem name="2406.TW-ChipsField3,ChipsField1,ChipsField25,CashAndStockDividend,CashDividendYieldRate,ProfitFourSeason,ProfitSingle,CName,ExchangeIndustry,CompanyPos" advise="1">
        <values cols="10">
          <value>
            <val>-18</val>
          </value>
          <value>
            <val>-44</val>
          </value>
          <value t="str">
            <val>--</val>
          </value>
          <value t="str">
            <val>0.00</val>
          </value>
          <value>
            <val>0</val>
          </value>
          <value t="str">
            <val>-0.35</val>
          </value>
          <value t="str">
            <val>-0.02</val>
          </value>
          <value t="str">
            <val>國碩</val>
          </value>
          <value t="str">
            <val>上市光電</val>
          </value>
          <value t="str">
            <val>台灣太陽能導電銲帶龍頭，並轉投資太陽能導電漿廠碩禾</val>
          </value>
        </values>
      </ddeItem>
      <ddeItem name="2406.TW-CName,InvestorConferenceDate,DateofMeetingofShareHolders,TradingDate" advise="1">
        <values cols="4">
          <value t="str">
            <val>國碩</val>
          </value>
          <value t="str">
            <val>2022/11/23</val>
          </value>
          <value t="str">
            <val>2022/06/24</val>
          </value>
          <value t="str">
            <val>2022/12/22</val>
          </value>
        </values>
      </ddeItem>
      <ddeItem name="2406.TW-ID,Name,MarketValue,Capital,NetIncomeGrowthRate,OperIncomeGrowthRate,FinancialStatementsTime,TFXRatio,MonthlyNetSalesYoY,RevenueMonth" advise="1">
        <values cols="10">
          <value t="str">
            <val>2406</val>
          </value>
          <value t="str">
            <val>國碩</val>
          </value>
          <value t="str">
            <val>66.7</val>
          </value>
          <value t="str">
            <val>35.09</val>
          </value>
          <value t="str">
            <val>-809.91</val>
          </value>
          <value t="str">
            <val>-274.29</val>
          </value>
          <value t="str">
            <val>2022/09</val>
          </value>
          <value t="str">
            <val>3.35</val>
          </value>
          <value t="str">
            <val>-23.72</val>
          </value>
          <value t="str">
            <val>2022/11</val>
          </value>
        </values>
      </ddeItem>
      <ddeItem name="2406.TW-OperatingProfitRatio,Price,PriceChangeRatio,InOutRatioNumber,Value,YearReturn,MonthReturn,WeekReturn,FinanceBalanceDif,ChipsField2" advise="1">
        <values cols="10">
          <value t="str">
            <val>-3.73</val>
          </value>
          <value>
            <val>19</val>
          </value>
          <value>
            <val>1.06</val>
          </value>
          <value t="str">
            <val>55.49%</val>
          </value>
          <value t="str">
            <val>1571萬</val>
          </value>
          <value t="str">
            <val>-44.77</val>
          </value>
          <value t="str">
            <val>+4.11</val>
          </value>
          <value t="str">
            <val>-6.86</val>
          </value>
          <value>
            <val>41</val>
          </value>
          <value>
            <val>0</val>
          </value>
        </values>
      </ddeItem>
      <ddeItem name="2408.TW-ChipsField3,ChipsField1,ChipsField25,CashAndStockDividend,CashDividendYieldRate,ProfitFourSeason,ProfitSingle,CName,ExchangeIndustry,CompanyPos" advise="1">
        <values cols="10">
          <value>
            <val>-483</val>
          </value>
          <value>
            <val>-713</val>
          </value>
          <value t="str">
            <val>2022/06/30</val>
          </value>
          <value t="str">
            <val>3.70</val>
          </value>
          <value>
            <val>7.16</val>
          </value>
          <value t="str">
            <val>7.18</val>
          </value>
          <value t="str">
            <val>0.85</val>
          </value>
          <value t="str">
            <val>南亞科</val>
          </value>
          <value t="str">
            <val>上市半導體</val>
          </value>
          <value t="str">
            <val>轉型利基型及消費型DRAM廠</val>
          </value>
        </values>
      </ddeItem>
      <ddeItem name="2408.TW-CName,InvestorConferenceDate,DateofMeetingofShareHolders,TradingDate" advise="1">
        <values cols="4">
          <value t="str">
            <val>南亞科</val>
          </value>
          <value t="str">
            <val>2022/10/11</val>
          </value>
          <value t="str">
            <val>2022/05/26</val>
          </value>
          <value t="str">
            <val>2022/12/22</val>
          </value>
        </values>
      </ddeItem>
      <ddeItem name="2408.TW-ID,Name,MarketValue,Capital,NetIncomeGrowthRate,OperIncomeGrowthRate,FinancialStatementsTime,TFXRatio,MonthlyNetSalesYoY,RevenueMonth" advise="1">
        <values cols="10">
          <value t="str">
            <val>2408</val>
          </value>
          <value t="str">
            <val>南亞科</val>
          </value>
          <value t="str">
            <val>1601.5</val>
          </value>
          <value t="str">
            <val>309.80</val>
          </value>
          <value t="str">
            <val>-3.84</val>
          </value>
          <value t="str">
            <val>-34.53</val>
          </value>
          <value t="str">
            <val>2022/09</val>
          </value>
          <value t="str">
            <val>-0.40</val>
          </value>
          <value t="str">
            <val>-61.81</val>
          </value>
          <value t="str">
            <val>2022/11</val>
          </value>
        </values>
      </ddeItem>
      <ddeItem name="2408.TW-OperatingProfitRatio,Price,PriceChangeRatio,InOutRatioNumber,Value,YearReturn,MonthReturn,WeekReturn,FinanceBalanceDif,ChipsField2" advise="1">
        <values cols="10">
          <value t="str">
            <val>25.61</val>
          </value>
          <value>
            <val>51.7</val>
          </value>
          <value>
            <val>0.39</val>
          </value>
          <value t="str">
            <val>37.03%</val>
          </value>
          <value t="str">
            <val>3.30億</val>
          </value>
          <value t="str">
            <val>-28.01</val>
          </value>
          <value t="str">
            <val>-11.47</val>
          </value>
          <value t="str">
            <val>-6.85</val>
          </value>
          <value>
            <val>-4</val>
          </value>
          <value>
            <val>457</val>
          </value>
        </values>
      </ddeItem>
      <ddeItem name="2409.TW-ChipsField3,ChipsField1,ChipsField25,CashAndStockDividend,CashDividendYieldRate,ProfitFourSeason,ProfitSingle,CName,ExchangeIndustry,CompanyPos" advise="1">
        <values cols="10">
          <value>
            <val>271</val>
          </value>
          <value>
            <val>8748</val>
          </value>
          <value t="str">
            <val>2022/07/04</val>
          </value>
          <value t="str">
            <val>1.00</val>
          </value>
          <value>
            <val>6.54</val>
          </value>
          <value t="str">
            <val>-0.03</val>
          </value>
          <value t="str">
            <val>-1.23</val>
          </value>
          <value t="str">
            <val>友達</val>
          </value>
          <value t="str">
            <val>上市光電</val>
          </value>
          <value t="str">
            <val>全球前五大面板大廠之一</val>
          </value>
        </values>
      </ddeItem>
      <ddeItem name="2409.TW-CName,InvestorConferenceDate,DateofMeetingofShareHolders,TradingDate" advise="1">
        <values cols="4">
          <value t="str">
            <val>友達</val>
          </value>
          <value t="str">
            <val>2022/10/26</val>
          </value>
          <value t="str">
            <val>2022/06/17</val>
          </value>
          <value t="str">
            <val>2022/12/22</val>
          </value>
        </values>
      </ddeItem>
      <ddeItem name="2409.TW-ID,Name,MarketValue,Capital,NetIncomeGrowthRate,OperIncomeGrowthRate,FinancialStatementsTime,TFXRatio,MonthlyNetSalesYoY,RevenueMonth" advise="1">
        <values cols="10">
          <value t="str">
            <val>2409</val>
          </value>
          <value t="str">
            <val>友達</val>
          </value>
          <value t="str">
            <val>1178.0</val>
          </value>
          <value t="str">
            <val>769.94</val>
          </value>
          <value t="str">
            <val>-121.31</val>
          </value>
          <value t="str">
            <val>-124.77</val>
          </value>
          <value t="str">
            <val>2022/09</val>
          </value>
          <value t="str">
            <val>1.74</val>
          </value>
          <value t="str">
            <val>-43.42</val>
          </value>
          <value t="str">
            <val>2022/11</val>
          </value>
        </values>
      </ddeItem>
      <ddeItem name="2409.TW-OperatingProfitRatio,Price,PriceChangeRatio,InOutRatioNumber,Value,YearReturn,MonthReturn,WeekReturn,FinanceBalanceDif,ChipsField2" advise="1">
        <values cols="10">
          <value t="str">
            <val>-6.73</val>
          </value>
          <value>
            <val>15.3</val>
          </value>
          <value>
            <val>4.4400000000000004</val>
          </value>
          <value t="str">
            <val>41.85%</val>
          </value>
          <value t="str">
            <val>12.3億</val>
          </value>
          <value t="str">
            <val>-32.10</val>
          </value>
          <value t="str">
            <val>-6.42</val>
          </value>
          <value t="str">
            <val>-2.86</val>
          </value>
          <value>
            <val>296</val>
          </value>
          <value>
            <val>-19460</val>
          </value>
        </values>
      </ddeItem>
      <ddeItem name="2412.TW-ChipsField3,ChipsField1,ChipsField25,CashAndStockDividend,CashDividendYieldRate,ProfitFourSeason,ProfitSingle,CName,ExchangeIndustry,CompanyPos" advise="1">
        <values cols="10">
          <value>
            <val>-519</val>
          </value>
          <value>
            <val>-358</val>
          </value>
          <value t="str">
            <val>2022/06/30</val>
          </value>
          <value t="str">
            <val>4.61</val>
          </value>
          <value>
            <val>4.08</val>
          </value>
          <value t="str">
            <val>4.73</val>
          </value>
          <value t="str">
            <val>1.21</val>
          </value>
          <value t="str">
            <val>中華電</val>
          </value>
          <value t="str">
            <val>上市通信網路</val>
          </value>
          <value t="str">
            <val>台灣電信業龍頭</val>
          </value>
        </values>
      </ddeItem>
      <ddeItem name="2412.TW-CName,InvestorConferenceDate,DateofMeetingofShareHolders,TradingDate" advise="1">
        <values cols="4">
          <value t="str">
            <val>中華電</val>
          </value>
          <value t="str">
            <val>2022/11/01</val>
          </value>
          <value t="str">
            <val>2022/05/27</val>
          </value>
          <value t="str">
            <val>2022/12/22</val>
          </value>
        </values>
      </ddeItem>
      <ddeItem name="2412.TW-ID,Name,MarketValue,Capital,NetIncomeGrowthRate,OperIncomeGrowthRate,FinancialStatementsTime,TFXRatio,MonthlyNetSalesYoY,RevenueMonth" advise="1">
        <values cols="10">
          <value t="str">
            <val>2412</val>
          </value>
          <value t="str">
            <val>中華電</val>
          </value>
          <value t="str">
            <val>8765.9</val>
          </value>
          <value t="str">
            <val>775.74</val>
          </value>
          <value t="str">
            <val>3.84</val>
          </value>
          <value t="str">
            <val>6.03</val>
          </value>
          <value t="str">
            <val>2022/09</val>
          </value>
          <value t="str">
            <val>0.41</val>
          </value>
          <value t="str">
            <val>5.84</val>
          </value>
          <value t="str">
            <val>2022/11</val>
          </value>
        </values>
      </ddeItem>
      <ddeItem name="2412.TW-OperatingProfitRatio,Price,PriceChangeRatio,InOutRatioNumber,Value,YearReturn,MonthReturn,WeekReturn,FinanceBalanceDif,ChipsField2" advise="1">
        <values cols="10">
          <value t="str">
            <val>22.81</val>
          </value>
          <value>
            <val>113</val>
          </value>
          <value>
            <val>1.35</val>
          </value>
          <value t="str">
            <val>65.56%</val>
          </value>
          <value t="str">
            <val>7.21億</val>
          </value>
          <value t="str">
            <val>+1.42</val>
          </value>
          <value t="str">
            <val>+3.67</val>
          </value>
          <value t="str">
            <val>+1.35</val>
          </value>
          <value>
            <val>-13</val>
          </value>
          <value>
            <val>746</val>
          </value>
        </values>
      </ddeItem>
      <ddeItem name="2413.TW-ChipsField3,ChipsField1,ChipsField25,CashAndStockDividend,CashDividendYieldRate,ProfitFourSeason,ProfitSingle,CName,ExchangeIndustry,CompanyPos" advise="1">
        <values cols="10">
          <value>
            <val>2</val>
          </value>
          <value>
            <val>-95</val>
          </value>
          <value t="str">
            <val>--</val>
          </value>
          <value t="str">
            <val>0.00</val>
          </value>
          <value>
            <val>0</val>
          </value>
          <value t="str">
            <val>1.83</val>
          </value>
          <value t="str">
            <val>0.81</val>
          </value>
          <value t="str">
            <val>環科</val>
          </value>
          <value t="str">
            <val>上市電子零組件</val>
          </value>
          <value t="str">
            <val>通訊用變壓器、電源供應器與網通產品供應商</val>
          </value>
        </values>
      </ddeItem>
      <ddeItem name="2413.TW-CName,InvestorConferenceDate,DateofMeetingofShareHolders,TradingDate" advise="1">
        <values cols="4">
          <value t="str">
            <val>環科</val>
          </value>
          <value t="str">
            <val>2022/12/14</val>
          </value>
          <value t="str">
            <val>2022/06/20</val>
          </value>
          <value t="str">
            <val>2022/12/22</val>
          </value>
        </values>
      </ddeItem>
      <ddeItem name="2413.TW-ID,Name,MarketValue,Capital,NetIncomeGrowthRate,OperIncomeGrowthRate,FinancialStatementsTime,TFXRatio,MonthlyNetSalesYoY,RevenueMonth" advise="1">
        <values cols="10">
          <value t="str">
            <val>2413</val>
          </value>
          <value t="str">
            <val>環科</val>
          </value>
          <value t="str">
            <val>33.5</val>
          </value>
          <value t="str">
            <val>12.74</val>
          </value>
          <value t="str">
            <val>1445.42</val>
          </value>
          <value t="str">
            <val>183.51</val>
          </value>
          <value t="str">
            <val>2022/09</val>
          </value>
          <value t="str">
            <val>5.09</val>
          </value>
          <value t="str">
            <val>57.55</val>
          </value>
          <value t="str">
            <val>2022/11</val>
          </value>
        </values>
      </ddeItem>
      <ddeItem name="2413.TW-OperatingProfitRatio,Price,PriceChangeRatio,InOutRatioNumber,Value,YearReturn,MonthReturn,WeekReturn,FinanceBalanceDif,ChipsField2" advise="1">
        <values cols="10">
          <value t="str">
            <val>4.10</val>
          </value>
          <value>
            <val>26.3</val>
          </value>
          <value>
            <val>0.56999999999999995</val>
          </value>
          <value t="str">
            <val>38.28%</val>
          </value>
          <value t="str">
            <val>1969萬</val>
          </value>
          <value t="str">
            <val>+16.89</val>
          </value>
          <value t="str">
            <val>-8.84</val>
          </value>
          <value t="str">
            <val>-8.04</val>
          </value>
          <value>
            <val>-6</val>
          </value>
          <value>
            <val>0</val>
          </value>
        </values>
      </ddeItem>
      <ddeItem name="2414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-17</val>
          </value>
          <value t="str">
            <val>2022/07/25</val>
          </value>
          <value t="str">
            <val>2.80</val>
          </value>
          <value>
            <val>9.23</val>
          </value>
          <value t="str">
            <val>3.33</val>
          </value>
          <value t="str">
            <val>0.97</val>
          </value>
          <value t="str">
            <val>精技</val>
          </value>
          <value t="str">
            <val>上市電子通路</val>
          </value>
          <value t="str">
            <val>台灣前三大資訊通路經營商</val>
          </value>
        </values>
      </ddeItem>
      <ddeItem name="2414.TW-CName,InvestorConferenceDate,DateofMeetingofShareHolders,TradingDate" advise="1">
        <values cols="4">
          <value t="str">
            <val>精技</val>
          </value>
          <value t="str">
            <val>2022/08/09</val>
          </value>
          <value t="str">
            <val>2022/06/22</val>
          </value>
          <value t="str">
            <val>2022/12/22</val>
          </value>
        </values>
      </ddeItem>
      <ddeItem name="2414.TW-ID,Name,MarketValue,Capital,NetIncomeGrowthRate,OperIncomeGrowthRate,FinancialStatementsTime,TFXRatio,MonthlyNetSalesYoY,RevenueMonth" advise="1">
        <values cols="10">
          <value t="str">
            <val>2414</val>
          </value>
          <value t="str">
            <val>精技</val>
          </value>
          <value t="str">
            <val>49.1</val>
          </value>
          <value t="str">
            <val>16.17</val>
          </value>
          <value t="str">
            <val>1.73</val>
          </value>
          <value t="str">
            <val>-2.41</val>
          </value>
          <value t="str">
            <val>2022/09</val>
          </value>
          <value t="str">
            <val>-9.59</val>
          </value>
          <value t="str">
            <val>-0.31</val>
          </value>
          <value t="str">
            <val>2022/11</val>
          </value>
        </values>
      </ddeItem>
      <ddeItem name="2414.TW-OperatingProfitRatio,Price,PriceChangeRatio,InOutRatioNumber,Value,YearReturn,MonthReturn,WeekReturn,FinanceBalanceDif,ChipsField2" advise="1">
        <values cols="10">
          <value t="str">
            <val>3.14</val>
          </value>
          <value>
            <val>30.35</val>
          </value>
          <value>
            <val>0.17</val>
          </value>
          <value t="str">
            <val>26.09%</val>
          </value>
          <value t="str">
            <val>143萬</val>
          </value>
          <value t="str">
            <val>-11.35</val>
          </value>
          <value t="str">
            <val>0.00</val>
          </value>
          <value t="str">
            <val>-0.33</val>
          </value>
          <value>
            <val>0</val>
          </value>
          <value>
            <val>0</val>
          </value>
        </values>
      </ddeItem>
      <ddeItem name="2415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0</val>
          </value>
          <value t="str">
            <val>2022/08/31</val>
          </value>
          <value t="str">
            <val>2.10</val>
          </value>
          <value>
            <val>9.91</val>
          </value>
          <value t="str">
            <val>0.70</val>
          </value>
          <value t="str">
            <val>-0.62</val>
          </value>
          <value t="str">
            <val>錩新</val>
          </value>
          <value t="str">
            <val>上市電子零組件</val>
          </value>
          <value t="str">
            <val>全球最大揚聲器鍛造零組件廠</val>
          </value>
        </values>
      </ddeItem>
      <ddeItem name="2415.TW-CName,InvestorConferenceDate,DateofMeetingofShareHolders,TradingDate" advise="1">
        <values cols="4">
          <value t="str">
            <val>錩新</val>
          </value>
          <value t="str">
            <val>2022/12/22</val>
          </value>
          <value t="str">
            <val>2022/06/27</val>
          </value>
          <value t="str">
            <val>2022/12/22</val>
          </value>
        </values>
      </ddeItem>
      <ddeItem name="2415.TW-ID,Name,MarketValue,Capital,NetIncomeGrowthRate,OperIncomeGrowthRate,FinancialStatementsTime,TFXRatio,MonthlyNetSalesYoY,RevenueMonth" advise="1">
        <values cols="10">
          <value t="str">
            <val>2415</val>
          </value>
          <value t="str">
            <val>錩新</val>
          </value>
          <value t="str">
            <val>19.1</val>
          </value>
          <value t="str">
            <val>9.00</val>
          </value>
          <value t="str">
            <val>-84.68</val>
          </value>
          <value t="str">
            <val>-68.53</val>
          </value>
          <value t="str">
            <val>2022/09</val>
          </value>
          <value t="str">
            <val>-12.67</val>
          </value>
          <value t="str">
            <val>-43.55</val>
          </value>
          <value t="str">
            <val>2022/11</val>
          </value>
        </values>
      </ddeItem>
      <ddeItem name="2415.TW-OperatingProfitRatio,Price,PriceChangeRatio,InOutRatioNumber,Value,YearReturn,MonthReturn,WeekReturn,FinanceBalanceDif,ChipsField2" advise="1">
        <values cols="10">
          <value t="str">
            <val>5.72</val>
          </value>
          <value>
            <val>21.2</val>
          </value>
          <value>
            <val>0.95</val>
          </value>
          <value t="str">
            <val>39.53%</val>
          </value>
          <value t="str">
            <val>91.2萬</val>
          </value>
          <value t="str">
            <val>-43.10</val>
          </value>
          <value t="str">
            <val>-8.23</val>
          </value>
          <value t="str">
            <val>-7.22</val>
          </value>
          <value>
            <val>-6</val>
          </value>
          <value>
            <val>0</val>
          </value>
        </values>
      </ddeItem>
      <ddeItem name="2417.TW-ChipsField3,ChipsField1,ChipsField25,CashAndStockDividend,CashDividendYieldRate,ProfitFourSeason,ProfitSingle,CName,ExchangeIndustry,CompanyPos" advise="1">
        <values cols="10">
          <value>
            <val>-2</val>
          </value>
          <value>
            <val>17</val>
          </value>
          <value t="str">
            <val>2022/07/04</val>
          </value>
          <value t="str">
            <val>0.15</val>
          </value>
          <value>
            <val>0.67</val>
          </value>
          <value t="str">
            <val>0.28</val>
          </value>
          <value t="str">
            <val>0.07</val>
          </value>
          <value t="str">
            <val>圓剛</val>
          </value>
          <value t="str">
            <val>上市電腦及週邊設備</val>
          </value>
          <value t="str">
            <val>台灣知名影音視訊媒體解決方案商</val>
          </value>
        </values>
      </ddeItem>
      <ddeItem name="2417.TW-CName,InvestorConferenceDate,DateofMeetingofShareHolders,TradingDate" advise="1">
        <values cols="4">
          <value t="str">
            <val>圓剛</val>
          </value>
          <value t="str">
            <val>2022/12/23</val>
          </value>
          <value t="str">
            <val>2022/06/16</val>
          </value>
          <value t="str">
            <val>2022/12/22</val>
          </value>
        </values>
      </ddeItem>
      <ddeItem name="2417.TW-ID,Name,MarketValue,Capital,NetIncomeGrowthRate,OperIncomeGrowthRate,FinancialStatementsTime,TFXRatio,MonthlyNetSalesYoY,RevenueMonth" advise="1">
        <values cols="10">
          <value t="str">
            <val>2417</val>
          </value>
          <value t="str">
            <val>圓剛</val>
          </value>
          <value t="str">
            <val>35.5</val>
          </value>
          <value t="str">
            <val>15.82</val>
          </value>
          <value t="str">
            <val>-37.66</val>
          </value>
          <value t="str">
            <val>-75.67</val>
          </value>
          <value t="str">
            <val>2022/09</val>
          </value>
          <value t="str">
            <val>13.56</val>
          </value>
          <value t="str">
            <val>-9.88</val>
          </value>
          <value t="str">
            <val>2022/11</val>
          </value>
        </values>
      </ddeItem>
      <ddeItem name="2417.TW-OperatingProfitRatio,Price,PriceChangeRatio,InOutRatioNumber,Value,YearReturn,MonthReturn,WeekReturn,FinanceBalanceDif,ChipsField2" advise="1">
        <values cols="10">
          <value t="str">
            <val>3.52</val>
          </value>
          <value>
            <val>22.4</val>
          </value>
          <value>
            <val>0.9</val>
          </value>
          <value t="str">
            <val>58.62%</val>
          </value>
          <value t="str">
            <val>393萬</val>
          </value>
          <value t="str">
            <val>-9.00</val>
          </value>
          <value t="str">
            <val>+2.05</val>
          </value>
          <value t="str">
            <val>-5.08</val>
          </value>
          <value>
            <val>-10</val>
          </value>
          <value>
            <val>0</val>
          </value>
        </values>
      </ddeItem>
      <ddeItem name="2419.TW-ChipsField3,ChipsField1,ChipsField25,CashAndStockDividend,CashDividendYieldRate,ProfitFourSeason,ProfitSingle,CName,ExchangeIndustry,CompanyPos" advise="1">
        <values cols="10">
          <value>
            <val>-12</val>
          </value>
          <value>
            <val>-290</val>
          </value>
          <value t="str">
            <val>2022/06/08</val>
          </value>
          <value t="str">
            <val>0.50</val>
          </value>
          <value>
            <val>2.06</val>
          </value>
          <value t="str">
            <val>1.16</val>
          </value>
          <value t="str">
            <val>0.34</val>
          </value>
          <value t="str">
            <val>仲琦</val>
          </value>
          <value t="str">
            <val>上市通信網路</val>
          </value>
          <value t="str">
            <val>台灣Cable CPE與系統整合業者</val>
          </value>
        </values>
      </ddeItem>
      <ddeItem name="2419.TW-CName,InvestorConferenceDate,DateofMeetingofShareHolders,TradingDate" advise="1">
        <values cols="4">
          <value t="str">
            <val>仲琦</val>
          </value>
          <value t="str">
            <val>2022/11/02</val>
          </value>
          <value t="str">
            <val>2022/05/30</val>
          </value>
          <value t="str">
            <val>2022/12/22</val>
          </value>
        </values>
      </ddeItem>
      <ddeItem name="2419.TW-ID,Name,MarketValue,Capital,NetIncomeGrowthRate,OperIncomeGrowthRate,FinancialStatementsTime,TFXRatio,MonthlyNetSalesYoY,RevenueMonth" advise="1">
        <values cols="10">
          <value t="str">
            <val>2419</val>
          </value>
          <value t="str">
            <val>仲琦</val>
          </value>
          <value t="str">
            <val>53.7</val>
          </value>
          <value t="str">
            <val>32.13</val>
          </value>
          <value t="str">
            <val>206.33</val>
          </value>
          <value t="str">
            <val>204.91</val>
          </value>
          <value t="str">
            <val>2022/09</val>
          </value>
          <value t="str">
            <val>-1.47</val>
          </value>
          <value t="str">
            <val>84.34</val>
          </value>
          <value t="str">
            <val>2022/11</val>
          </value>
        </values>
      </ddeItem>
      <ddeItem name="2419.TW-OperatingProfitRatio,Price,PriceChangeRatio,InOutRatioNumber,Value,YearReturn,MonthReturn,WeekReturn,FinanceBalanceDif,ChipsField2" advise="1">
        <values cols="10">
          <value t="str">
            <val>6.62</val>
          </value>
          <value>
            <val>24.25</val>
          </value>
          <value>
            <val>0.41</val>
          </value>
          <value t="str">
            <val>35.19%</val>
          </value>
          <value t="str">
            <val>2417萬</val>
          </value>
          <value t="str">
            <val>+3.88</val>
          </value>
          <value t="str">
            <val>-4.15</val>
          </value>
          <value t="str">
            <val>-7.27</val>
          </value>
          <value>
            <val>-12</val>
          </value>
          <value>
            <val>0</val>
          </value>
        </values>
      </ddeItem>
      <ddeItem name="2420.TW-ChipsField3,ChipsField1,ChipsField25,CashAndStockDividend,CashDividendYieldRate,ProfitFourSeason,ProfitSingle,CName,ExchangeIndustry,CompanyPos" advise="1">
        <values cols="10">
          <value>
            <val>-8</val>
          </value>
          <value>
            <val>-15</val>
          </value>
          <value t="str">
            <val>2022/08/29</val>
          </value>
          <value t="str">
            <val>3.00</val>
          </value>
          <value>
            <val>7.6</val>
          </value>
          <value t="str">
            <val>4.50</val>
          </value>
          <value t="str">
            <val>1.33</val>
          </value>
          <value t="str">
            <val>新巨</val>
          </value>
          <value t="str">
            <val>上市電子零組件</val>
          </value>
          <value t="str">
            <val>台灣聚焦高階電源供應器與知名微動開關廠</val>
          </value>
        </values>
      </ddeItem>
      <ddeItem name="2420.TW-CName,InvestorConferenceDate,DateofMeetingofShareHolders,TradingDate" advise="1">
        <values cols="4">
          <value t="str">
            <val>新巨</val>
          </value>
          <value t="str">
            <val>2022/12/06</val>
          </value>
          <value t="str">
            <val>2022/05/27</val>
          </value>
          <value t="str">
            <val>2022/12/22</val>
          </value>
        </values>
      </ddeItem>
      <ddeItem name="2420.TW-ID,Name,MarketValue,Capital,NetIncomeGrowthRate,OperIncomeGrowthRate,FinancialStatementsTime,TFXRatio,MonthlyNetSalesYoY,RevenueMonth" advise="1">
        <values cols="10">
          <value t="str">
            <val>2420</val>
          </value>
          <value t="str">
            <val>新巨</val>
          </value>
          <value t="str">
            <val>60.2</val>
          </value>
          <value t="str">
            <val>15.26</val>
          </value>
          <value t="str">
            <val>24.65</val>
          </value>
          <value t="str">
            <val>14.15</val>
          </value>
          <value t="str">
            <val>2022/09</val>
          </value>
          <value t="str">
            <val>10.39</val>
          </value>
          <value t="str">
            <val>-10.64</val>
          </value>
          <value t="str">
            <val>2022/11</val>
          </value>
        </values>
      </ddeItem>
      <ddeItem name="2420.TW-OperatingProfitRatio,Price,PriceChangeRatio,InOutRatioNumber,Value,YearReturn,MonthReturn,WeekReturn,FinanceBalanceDif,ChipsField2" advise="1">
        <values cols="10">
          <value t="str">
            <val>26.69</val>
          </value>
          <value>
            <val>39.450000000000003</val>
          </value>
          <value>
            <val>0.38</val>
          </value>
          <value t="str">
            <val>33.33%</val>
          </value>
          <value t="str">
            <val>261萬</val>
          </value>
          <value t="str">
            <val>-5.60</val>
          </value>
          <value t="str">
            <val>+1.41</val>
          </value>
          <value t="str">
            <val>-1.13</val>
          </value>
          <value>
            <val>-5</val>
          </value>
          <value>
            <val>0</val>
          </value>
        </values>
      </ddeItem>
      <ddeItem name="2421.TW-ChipsField3,ChipsField1,ChipsField25,CashAndStockDividend,CashDividendYieldRate,ProfitFourSeason,ProfitSingle,CName,ExchangeIndustry,CompanyPos" advise="1">
        <values cols="10">
          <value>
            <val>-9</val>
          </value>
          <value>
            <val>306</val>
          </value>
          <value t="str">
            <val>2022/06/28</val>
          </value>
          <value t="str">
            <val>1.20</val>
          </value>
          <value>
            <val>2.6</val>
          </value>
          <value t="str">
            <val>3.92</val>
          </value>
          <value t="str">
            <val>1.42</val>
          </value>
          <value t="str">
            <val>建準</val>
          </value>
          <value t="str">
            <val>上市電子零組件</val>
          </value>
          <value t="str">
            <val>PC散熱風扇知名廠商</val>
          </value>
        </values>
      </ddeItem>
      <ddeItem name="2421.TW-CName,InvestorConferenceDate,DateofMeetingofShareHolders,TradingDate" advise="1">
        <values cols="4">
          <value t="str">
            <val>建準</val>
          </value>
          <value t="str">
            <val>2021/12/21</val>
          </value>
          <value t="str">
            <val>2022/06/10</val>
          </value>
          <value t="str">
            <val>2022/12/22</val>
          </value>
        </values>
      </ddeItem>
      <ddeItem name="2421.TW-ID,Name,MarketValue,Capital,NetIncomeGrowthRate,OperIncomeGrowthRate,FinancialStatementsTime,TFXRatio,MonthlyNetSalesYoY,RevenueMonth" advise="1">
        <values cols="10">
          <value t="str">
            <val>2421</val>
          </value>
          <value t="str">
            <val>建準</val>
          </value>
          <value t="str">
            <val>115.8</val>
          </value>
          <value t="str">
            <val>25.09</val>
          </value>
          <value t="str">
            <val>216.48</val>
          </value>
          <value t="str">
            <val>209.70</val>
          </value>
          <value t="str">
            <val>2022/09</val>
          </value>
          <value t="str">
            <val>-2.68</val>
          </value>
          <value t="str">
            <val>-0.67</val>
          </value>
          <value t="str">
            <val>2022/11</val>
          </value>
        </values>
      </ddeItem>
      <ddeItem name="2421.TW-OperatingProfitRatio,Price,PriceChangeRatio,InOutRatioNumber,Value,YearReturn,MonthReturn,WeekReturn,FinanceBalanceDif,ChipsField2" advise="1">
        <values cols="10">
          <value t="str">
            <val>7.35</val>
          </value>
          <value>
            <val>46.15</val>
          </value>
          <value>
            <val>0.76</val>
          </value>
          <value t="str">
            <val>47.94%</val>
          </value>
          <value t="str">
            <val>4727萬</val>
          </value>
          <value t="str">
            <val>+19.17</val>
          </value>
          <value t="str">
            <val>+3.36</val>
          </value>
          <value t="str">
            <val>+0.33</val>
          </value>
          <value>
            <val>-50</val>
          </value>
          <value>
            <val>0</val>
          </value>
        </values>
      </ddeItem>
      <ddeItem name="242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2022/06/22</val>
          </value>
          <value t="str">
            <val>1.50</val>
          </value>
          <value>
            <val>5.49</val>
          </value>
          <value t="str">
            <val>2.69</val>
          </value>
          <value t="str">
            <val>0.82</val>
          </value>
          <value t="str">
            <val>固緯</val>
          </value>
          <value t="str">
            <val>上市其他電子</val>
          </value>
          <value t="str">
            <val>台灣知名的電子量測儀器廠</val>
          </value>
        </values>
      </ddeItem>
      <ddeItem name="2423.TW-CName,InvestorConferenceDate,DateofMeetingofShareHolders,TradingDate" advise="1">
        <values cols="4">
          <value t="str">
            <val>固緯</val>
          </value>
          <value t="str">
            <val>2022/07/28</val>
          </value>
          <value t="str">
            <val>2022/05/27</val>
          </value>
          <value t="str">
            <val>2022/12/22</val>
          </value>
        </values>
      </ddeItem>
      <ddeItem name="2423.TW-ID,Name,MarketValue,Capital,NetIncomeGrowthRate,OperIncomeGrowthRate,FinancialStatementsTime,TFXRatio,MonthlyNetSalesYoY,RevenueMonth" advise="1">
        <values cols="10">
          <value t="str">
            <val>2423</val>
          </value>
          <value t="str">
            <val>固緯</val>
          </value>
          <value t="str">
            <val>39.6</val>
          </value>
          <value t="str">
            <val>14.50</val>
          </value>
          <value t="str">
            <val>50.51</val>
          </value>
          <value t="str">
            <val>26.16</val>
          </value>
          <value t="str">
            <val>2022/09</val>
          </value>
          <value t="str">
            <val>15.27</val>
          </value>
          <value t="str">
            <val>14.76</val>
          </value>
          <value t="str">
            <val>2022/11</val>
          </value>
        </values>
      </ddeItem>
      <ddeItem name="2423.TW-OperatingProfitRatio,Price,PriceChangeRatio,InOutRatioNumber,Value,YearReturn,MonthReturn,WeekReturn,FinanceBalanceDif,ChipsField2" advise="1">
        <values cols="10">
          <value t="str">
            <val>16.75</val>
          </value>
          <value>
            <val>27.3</val>
          </value>
          <value>
            <val>0.55000000000000004</val>
          </value>
          <value t="str">
            <val>43.14%</val>
          </value>
          <value t="str">
            <val>283萬</val>
          </value>
          <value t="str">
            <val>+2.45</val>
          </value>
          <value t="str">
            <val>+1.49</val>
          </value>
          <value t="str">
            <val>0.00</val>
          </value>
          <value>
            <val>1</val>
          </value>
          <value>
            <val>0</val>
          </value>
        </values>
      </ddeItem>
      <ddeItem name="242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-5.91</val>
          </value>
          <value t="str">
            <val>-1.26</val>
          </value>
          <value t="str">
            <val>隴華</val>
          </value>
          <value t="str">
            <val>上市電腦及週邊設備</val>
          </value>
          <value t="str">
            <val>轉型經營海上衛星寬頻業務</val>
          </value>
        </values>
      </ddeItem>
      <ddeItem name="2424.TW-CName,InvestorConferenceDate,DateofMeetingofShareHolders,TradingDate" advise="1">
        <values cols="4">
          <value t="str">
            <val>隴華</val>
          </value>
          <value t="str">
            <val>2022/11/29</val>
          </value>
          <value t="str">
            <val>2022/06/17</val>
          </value>
          <value t="str">
            <val>2022/12/22</val>
          </value>
        </values>
      </ddeItem>
      <ddeItem name="2424.TW-ID,Name,MarketValue,Capital,NetIncomeGrowthRate,OperIncomeGrowthRate,FinancialStatementsTime,TFXRatio,MonthlyNetSalesYoY,RevenueMonth" advise="1">
        <values cols="10">
          <value t="str">
            <val>2424</val>
          </value>
          <value t="str">
            <val>隴華</val>
          </value>
          <value t="str">
            <val>3.6</val>
          </value>
          <value t="str">
            <val>4.25</val>
          </value>
          <value t="str">
            <val>17.63</val>
          </value>
          <value t="str">
            <val>16.61</val>
          </value>
          <value t="str">
            <val>2022/09</val>
          </value>
          <value t="str">
            <val>540.04</val>
          </value>
          <value t="str">
            <val>380.11</val>
          </value>
          <value t="str">
            <val>2022/11</val>
          </value>
        </values>
      </ddeItem>
      <ddeItem name="2424.TW-OperatingProfitRatio,Price,PriceChangeRatio,InOutRatioNumber,Value,YearReturn,MonthReturn,WeekReturn,FinanceBalanceDif,ChipsField2" advise="1">
        <values cols="10">
          <value t="str">
            <val>-245.11</val>
          </value>
          <value>
            <val>20.05</val>
          </value>
          <value>
            <val>-3.37</val>
          </value>
          <value t="str">
            <val>50.00%</val>
          </value>
          <value t="str">
            <val>18.7萬</val>
          </value>
          <value t="str">
            <val>-7.60</val>
          </value>
          <value t="str">
            <val>-4.98</val>
          </value>
          <value t="str">
            <val>-2.91</val>
          </value>
          <value>
            <val>0</val>
          </value>
          <value>
            <val>0</val>
          </value>
        </values>
      </ddeItem>
      <ddeItem name="2425.TW-ChipsField3,ChipsField1,ChipsField25,CashAndStockDividend,CashDividendYieldRate,ProfitFourSeason,ProfitSingle,CName,ExchangeIndustry,CompanyPos" advise="1">
        <values cols="10">
          <value>
            <val>1</val>
          </value>
          <value>
            <val>-15</val>
          </value>
          <value t="str">
            <val>2022/07/01</val>
          </value>
          <value t="str">
            <val>0.60</val>
          </value>
          <value>
            <val>2.11</val>
          </value>
          <value t="str">
            <val>3.94</val>
          </value>
          <value t="str">
            <val>1.50</val>
          </value>
          <value t="str">
            <val>承啟</val>
          </value>
          <value t="str">
            <val>上市電腦及週邊設備</val>
          </value>
          <value t="str">
            <val>台灣繪圖卡廠商，與大陸七彩紅合作推平板電腦</val>
          </value>
        </values>
      </ddeItem>
      <ddeItem name="2425.TW-CName,InvestorConferenceDate,DateofMeetingofShareHolders,TradingDate" advise="1">
        <values cols="4">
          <value t="str">
            <val>承啟</val>
          </value>
          <value t="str">
            <val>2022/12/16</val>
          </value>
          <value t="str">
            <val>2022/06/15</val>
          </value>
          <value t="str">
            <val>2022/12/22</val>
          </value>
        </values>
      </ddeItem>
      <ddeItem name="2425.TW-ID,Name,MarketValue,Capital,NetIncomeGrowthRate,OperIncomeGrowthRate,FinancialStatementsTime,TFXRatio,MonthlyNetSalesYoY,RevenueMonth" advise="1">
        <values cols="10">
          <value t="str">
            <val>2425</val>
          </value>
          <value t="str">
            <val>承啟</val>
          </value>
          <value t="str">
            <val>28.9</val>
          </value>
          <value t="str">
            <val>9.65</val>
          </value>
          <value t="str">
            <val>261.09</val>
          </value>
          <value t="str">
            <val>0.72</val>
          </value>
          <value t="str">
            <val>2022/09</val>
          </value>
          <value t="str">
            <val>47.55</val>
          </value>
          <value t="str">
            <val>-6.67</val>
          </value>
          <value t="str">
            <val>2022/11</val>
          </value>
        </values>
      </ddeItem>
      <ddeItem name="2425.TW-OperatingProfitRatio,Price,PriceChangeRatio,InOutRatioNumber,Value,YearReturn,MonthReturn,WeekReturn,FinanceBalanceDif,ChipsField2" advise="1">
        <values cols="10">
          <value t="str">
            <val>5.53</val>
          </value>
          <value>
            <val>28.45</val>
          </value>
          <value>
            <val>-1.73</val>
          </value>
          <value t="str">
            <val>54.04%</val>
          </value>
          <value t="str">
            <val>1929萬</val>
          </value>
          <value t="str">
            <val>+5.30</val>
          </value>
          <value t="str">
            <val>+4.02</val>
          </value>
          <value t="str">
            <val>-5.17</val>
          </value>
          <value>
            <val>45</val>
          </value>
          <value>
            <val>0</val>
          </value>
        </values>
      </ddeItem>
      <ddeItem name="2426.TW-ChipsField3,ChipsField1,ChipsField25,CashAndStockDividend,CashDividendYieldRate,ProfitFourSeason,ProfitSingle,CName,ExchangeIndustry,CompanyPos" advise="1">
        <values cols="10">
          <value>
            <val>-15</val>
          </value>
          <value>
            <val>28</val>
          </value>
          <value t="str">
            <val>2022/08/18</val>
          </value>
          <value t="str">
            <val>1.00</val>
          </value>
          <value>
            <val>5.88</val>
          </value>
          <value t="str">
            <val>1.34</val>
          </value>
          <value t="str">
            <val>-0.21</val>
          </value>
          <value t="str">
            <val>鼎元</val>
          </value>
          <value t="str">
            <val>上市光電</val>
          </value>
          <value t="str">
            <val>台灣大型LED晶粒切割、檢測廠</val>
          </value>
        </values>
      </ddeItem>
      <ddeItem name="2426.TW-CName,InvestorConferenceDate,DateofMeetingofShareHolders,TradingDate" advise="1">
        <values cols="4">
          <value t="str">
            <val>鼎元</val>
          </value>
          <value t="str">
            <val>2022/12/15</val>
          </value>
          <value t="str">
            <val>2022/06/08</val>
          </value>
          <value t="str">
            <val>2022/12/22</val>
          </value>
        </values>
      </ddeItem>
      <ddeItem name="2426.TW-ID,Name,MarketValue,Capital,NetIncomeGrowthRate,OperIncomeGrowthRate,FinancialStatementsTime,TFXRatio,MonthlyNetSalesYoY,RevenueMonth" advise="1">
        <values cols="10">
          <value t="str">
            <val>2426</val>
          </value>
          <value t="str">
            <val>鼎元</val>
          </value>
          <value t="str">
            <val>51.1</val>
          </value>
          <value t="str">
            <val>30.06</val>
          </value>
          <value t="str">
            <val>-156.31</val>
          </value>
          <value t="str">
            <val>-62.73</val>
          </value>
          <value t="str">
            <val>2022/09</val>
          </value>
          <value t="str">
            <val>-1.98</val>
          </value>
          <value t="str">
            <val>-32.46</val>
          </value>
          <value t="str">
            <val>2022/11</val>
          </value>
        </values>
      </ddeItem>
      <ddeItem name="2426.TW-OperatingProfitRatio,Price,PriceChangeRatio,InOutRatioNumber,Value,YearReturn,MonthReturn,WeekReturn,FinanceBalanceDif,ChipsField2" advise="1">
        <values cols="10">
          <value t="str">
            <val>5.05</val>
          </value>
          <value>
            <val>17</val>
          </value>
          <value>
            <val>0.59</val>
          </value>
          <value t="str">
            <val>31.62%</val>
          </value>
          <value t="str">
            <val>200萬</val>
          </value>
          <value t="str">
            <val>-36.42</val>
          </value>
          <value t="str">
            <val>-3.13</val>
          </value>
          <value t="str">
            <val>-5.29</val>
          </value>
          <value>
            <val>4</val>
          </value>
          <value>
            <val>0</val>
          </value>
        </values>
      </ddeItem>
      <ddeItem name="242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2022/08/01</val>
          </value>
          <value t="str">
            <val>0.35</val>
          </value>
          <value>
            <val>2.93</val>
          </value>
          <value t="str">
            <val>1.20</val>
          </value>
          <value t="str">
            <val>0.33</val>
          </value>
          <value t="str">
            <val>三商電</val>
          </value>
          <value t="str">
            <val>上市資訊服務</val>
          </value>
          <value t="str">
            <val>以金融、電訊與交通產業為主之系統整合商</val>
          </value>
        </values>
      </ddeItem>
      <ddeItem name="2427.TW-CName,InvestorConferenceDate,DateofMeetingofShareHolders,TradingDate" advise="1">
        <values cols="4">
          <value t="str">
            <val>三商電</val>
          </value>
          <value t="str">
            <val>2022/04/15</val>
          </value>
          <value t="str">
            <val>2022/06/17</val>
          </value>
          <value t="str">
            <val>2022/12/22</val>
          </value>
        </values>
      </ddeItem>
      <ddeItem name="2427.TW-ID,Name,MarketValue,Capital,NetIncomeGrowthRate,OperIncomeGrowthRate,FinancialStatementsTime,TFXRatio,MonthlyNetSalesYoY,RevenueMonth" advise="1">
        <values cols="10">
          <value t="str">
            <val>2427</val>
          </value>
          <value t="str">
            <val>三商電</val>
          </value>
          <value t="str">
            <val>22.0</val>
          </value>
          <value t="str">
            <val>18.43</val>
          </value>
          <value t="str">
            <val>68.24</val>
          </value>
          <value t="str">
            <val>63.83</val>
          </value>
          <value t="str">
            <val>2022/09</val>
          </value>
          <value t="str">
            <val>35.28</val>
          </value>
          <value t="str">
            <val>11.70</val>
          </value>
          <value t="str">
            <val>2022/11</val>
          </value>
        </values>
      </ddeItem>
      <ddeItem name="2427.TW-OperatingProfitRatio,Price,PriceChangeRatio,InOutRatioNumber,Value,YearReturn,MonthReturn,WeekReturn,FinanceBalanceDif,ChipsField2" advise="1">
        <values cols="10">
          <value t="str">
            <val>7.16</val>
          </value>
          <value>
            <val>11.95</val>
          </value>
          <value>
            <val>0.42</val>
          </value>
          <value t="str">
            <val>30.95%</val>
          </value>
          <value t="str">
            <val>100萬</val>
          </value>
          <value t="str">
            <val>+5.92</val>
          </value>
          <value t="str">
            <val>+2.58</val>
          </value>
          <value t="str">
            <val>0.00</val>
          </value>
          <value>
            <val>12</val>
          </value>
          <value>
            <val>0</val>
          </value>
        </values>
      </ddeItem>
      <ddeItem name="2428.TW-ChipsField3,ChipsField1,ChipsField25,CashAndStockDividend,CashDividendYieldRate,ProfitFourSeason,ProfitSingle,CName,ExchangeIndustry,CompanyPos" advise="1">
        <values cols="10">
          <value>
            <val>-6</val>
          </value>
          <value>
            <val>-36</val>
          </value>
          <value t="str">
            <val>2022/08/24</val>
          </value>
          <value t="str">
            <val>6.30</val>
          </value>
          <value>
            <val>5.27</val>
          </value>
          <value t="str">
            <val>12.20</val>
          </value>
          <value t="str">
            <val>3.13</val>
          </value>
          <value t="str">
            <val>興勤</val>
          </value>
          <value t="str">
            <val>上市電子零組件</val>
          </value>
          <value t="str">
            <val>全球知名熱敏電阻廠</val>
          </value>
        </values>
      </ddeItem>
      <ddeItem name="2428.TW-CName,InvestorConferenceDate,DateofMeetingofShareHolders,TradingDate" advise="1">
        <values cols="4">
          <value t="str">
            <val>興勤</val>
          </value>
          <value t="str">
            <val>2022/12/28</val>
          </value>
          <value t="str">
            <val>2022/06/16</val>
          </value>
          <value t="str">
            <val>2022/12/22</val>
          </value>
        </values>
      </ddeItem>
      <ddeItem name="2428.TW-ID,Name,MarketValue,Capital,NetIncomeGrowthRate,OperIncomeGrowthRate,FinancialStatementsTime,TFXRatio,MonthlyNetSalesYoY,RevenueMonth" advise="1">
        <values cols="10">
          <value t="str">
            <val>2428</val>
          </value>
          <value t="str">
            <val>興勤</val>
          </value>
          <value t="str">
            <val>153.1</val>
          </value>
          <value t="str">
            <val>12.81</val>
          </value>
          <value t="str">
            <val>-0.99</val>
          </value>
          <value t="str">
            <val>-30.41</val>
          </value>
          <value t="str">
            <val>2022/09</val>
          </value>
          <value t="str">
            <val>-0.85</val>
          </value>
          <value t="str">
            <val>-0.48</val>
          </value>
          <value t="str">
            <val>2022/11</val>
          </value>
        </values>
      </ddeItem>
      <ddeItem name="2428.TW-OperatingProfitRatio,Price,PriceChangeRatio,InOutRatioNumber,Value,YearReturn,MonthReturn,WeekReturn,FinanceBalanceDif,ChipsField2" advise="1">
        <values cols="10">
          <value t="str">
            <val>21.03</val>
          </value>
          <value>
            <val>119.5</val>
          </value>
          <value>
            <val>0.84</val>
          </value>
          <value t="str">
            <val>37.76%</val>
          </value>
          <value t="str">
            <val>1765萬</val>
          </value>
          <value t="str">
            <val>-20.63</val>
          </value>
          <value t="str">
            <val>+3.02</val>
          </value>
          <value t="str">
            <val>-4.02</val>
          </value>
          <value>
            <val>-17</val>
          </value>
          <value>
            <val>0</val>
          </value>
        </values>
      </ddeItem>
      <ddeItem name="242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-0.81</val>
          </value>
          <value t="str">
            <val>-0.23</val>
          </value>
          <value t="str">
            <val>銘旺科</val>
          </value>
          <value t="str">
            <val>上市光電</val>
          </value>
          <value t="str">
            <val>台灣觸控面板公司</val>
          </value>
        </values>
      </ddeItem>
      <ddeItem name="2429.TW-CName,InvestorConferenceDate,DateofMeetingofShareHolders,TradingDate" advise="1">
        <values cols="4">
          <value t="str">
            <val>銘旺科</val>
          </value>
          <value t="str">
            <val>2022/12/20</val>
          </value>
          <value t="str">
            <val>2022/06/30</val>
          </value>
          <value t="str">
            <val>2022/12/22</val>
          </value>
        </values>
      </ddeItem>
      <ddeItem name="2429.TW-ID,Name,MarketValue,Capital,NetIncomeGrowthRate,OperIncomeGrowthRate,FinancialStatementsTime,TFXRatio,MonthlyNetSalesYoY,RevenueMonth" advise="1">
        <values cols="10">
          <value t="str">
            <val>2429</val>
          </value>
          <value t="str">
            <val>銘旺科</val>
          </value>
          <value t="str">
            <val>2.9</val>
          </value>
          <value t="str">
            <val>4.37</val>
          </value>
          <value t="str">
            <val>-250.09</val>
          </value>
          <value t="str">
            <val>-125.30</val>
          </value>
          <value t="str">
            <val>2022/09</val>
          </value>
          <value t="str">
            <val>9.27</val>
          </value>
          <value t="str">
            <val>-30.23</val>
          </value>
          <value t="str">
            <val>2022/11</val>
          </value>
        </values>
      </ddeItem>
      <ddeItem name="2429.TW-OperatingProfitRatio,Price,PriceChangeRatio,InOutRatioNumber,Value,YearReturn,MonthReturn,WeekReturn,FinanceBalanceDif,ChipsField2" advise="1">
        <values cols="10">
          <value t="str">
            <val>-7.05</val>
          </value>
          <value>
            <val>10.7</val>
          </value>
          <value>
            <val>-2.2799999999999998</val>
          </value>
          <value t="str">
            <val>50.00%</val>
          </value>
          <value t="str">
            <val>2.13萬</val>
          </value>
          <value t="str">
            <val>-49.17</val>
          </value>
          <value t="str">
            <val>+3.38</val>
          </value>
          <value t="str">
            <val>-0.47</val>
          </value>
          <value>
            <val>0</val>
          </value>
          <value>
            <val>0</val>
          </value>
        </values>
      </ddeItem>
      <ddeItem name="2430.TW-ChipsField3,ChipsField1,ChipsField25,CashAndStockDividend,CashDividendYieldRate,ProfitFourSeason,ProfitSingle,CName,ExchangeIndustry,CompanyPos" advise="1">
        <values cols="10">
          <value>
            <val>-4</val>
          </value>
          <value>
            <val>-5</val>
          </value>
          <value t="str">
            <val>2022/03/16</val>
          </value>
          <value t="str">
            <val>3.54</val>
          </value>
          <value>
            <val>8.4600000000000009</val>
          </value>
          <value t="str">
            <val>4.42</val>
          </value>
          <value t="str">
            <val>1.04</val>
          </value>
          <value t="str">
            <val>燦坤</val>
          </value>
          <value t="str">
            <val>上市電子通路</val>
          </value>
          <value t="str">
            <val>全台最大3C連鎖通路</val>
          </value>
        </values>
      </ddeItem>
      <ddeItem name="2430.TW-CName,InvestorConferenceDate,DateofMeetingofShareHolders,TradingDate" advise="1">
        <values cols="4">
          <value t="str">
            <val>燦坤</val>
          </value>
          <value t="str">
            <val>2022/12/14</val>
          </value>
          <value t="str">
            <val>2022/05/16</val>
          </value>
          <value t="str">
            <val>2022/12/22</val>
          </value>
        </values>
      </ddeItem>
      <ddeItem name="2430.TW-ID,Name,MarketValue,Capital,NetIncomeGrowthRate,OperIncomeGrowthRate,FinancialStatementsTime,TFXRatio,MonthlyNetSalesYoY,RevenueMonth" advise="1">
        <values cols="10">
          <value t="str">
            <val>2430</val>
          </value>
          <value t="str">
            <val>燦坤</val>
          </value>
          <value t="str">
            <val>48.9</val>
          </value>
          <value t="str">
            <val>11.68</val>
          </value>
          <value t="str">
            <val>2.91</val>
          </value>
          <value t="str">
            <val>-1.05</val>
          </value>
          <value t="str">
            <val>2022/09</val>
          </value>
          <value t="str">
            <val>-0.84</val>
          </value>
          <value t="str">
            <val>-16.62</val>
          </value>
          <value t="str">
            <val>2022/11</val>
          </value>
        </values>
      </ddeItem>
      <ddeItem name="2430.TW-OperatingProfitRatio,Price,PriceChangeRatio,InOutRatioNumber,Value,YearReturn,MonthReturn,WeekReturn,FinanceBalanceDif,ChipsField2" advise="1">
        <values cols="10">
          <value t="str">
            <val>3.33</val>
          </value>
          <value>
            <val>41.85</val>
          </value>
          <value>
            <val>0.84</val>
          </value>
          <value t="str">
            <val>14.29%</val>
          </value>
          <value t="str">
            <val>117萬</val>
          </value>
          <value t="str">
            <val>-6.10</val>
          </value>
          <value t="str">
            <val>+1.82</val>
          </value>
          <value t="str">
            <val>-0.36</val>
          </value>
          <value>
            <val>0</val>
          </value>
          <value>
            <val>0</val>
          </value>
        </values>
      </ddeItem>
      <ddeItem name="243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-27</val>
          </value>
          <value t="str">
            <val>2022/07/28</val>
          </value>
          <value t="str">
            <val>0.45</val>
          </value>
          <value>
            <val>4.3899999999999997</val>
          </value>
          <value t="str">
            <val>-0.22</val>
          </value>
          <value t="str">
            <val>0.01</val>
          </value>
          <value t="str">
            <val>聯昌</val>
          </value>
          <value t="str">
            <val>上市電子零組件</val>
          </value>
          <value t="str">
            <val>東元轉投資，專注於LCD顯示器電源供應器製造商</val>
          </value>
        </values>
      </ddeItem>
      <ddeItem name="2431.TW-CName,InvestorConferenceDate,DateofMeetingofShareHolders,TradingDate" advise="1">
        <values cols="4">
          <value t="str">
            <val>聯昌</val>
          </value>
          <value t="str">
            <val>2022/08/31</val>
          </value>
          <value t="str">
            <val>2022/06/24</val>
          </value>
          <value t="str">
            <val>2022/12/22</val>
          </value>
        </values>
      </ddeItem>
      <ddeItem name="2431.TW-ID,Name,MarketValue,Capital,NetIncomeGrowthRate,OperIncomeGrowthRate,FinancialStatementsTime,TFXRatio,MonthlyNetSalesYoY,RevenueMonth" advise="1">
        <values cols="10">
          <value t="str">
            <val>2431</val>
          </value>
          <value t="str">
            <val>聯昌</val>
          </value>
          <value t="str">
            <val>11.4</val>
          </value>
          <value t="str">
            <val>11.09</val>
          </value>
          <value t="str">
            <val>-103.49</val>
          </value>
          <value t="str">
            <val>-2.47</val>
          </value>
          <value t="str">
            <val>2022/09</val>
          </value>
          <value t="str">
            <val>-9.53</val>
          </value>
          <value t="str">
            <val>-56.02</val>
          </value>
          <value t="str">
            <val>2022/11</val>
          </value>
        </values>
      </ddeItem>
      <ddeItem name="2431.TW-OperatingProfitRatio,Price,PriceChangeRatio,InOutRatioNumber,Value,YearReturn,MonthReturn,WeekReturn,FinanceBalanceDif,ChipsField2" advise="1">
        <values cols="10">
          <value t="str">
            <val>-8.22</val>
          </value>
          <value>
            <val>10.25</val>
          </value>
          <value>
            <val>1.49</val>
          </value>
          <value t="str">
            <val>66.67%</val>
          </value>
          <value t="str">
            <val>97.3萬</val>
          </value>
          <value t="str">
            <val>-19.48</val>
          </value>
          <value t="str">
            <val>0.00</val>
          </value>
          <value t="str">
            <val>+0.49</val>
          </value>
          <value>
            <val>12</val>
          </value>
          <value>
            <val>0</val>
          </value>
        </values>
      </ddeItem>
      <ddeItem name="243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2022/07/06</val>
          </value>
          <value t="str">
            <val>3.50</val>
          </value>
          <value>
            <val>7.28</val>
          </value>
          <value t="str">
            <val>3.86</val>
          </value>
          <value t="str">
            <val>1.89</val>
          </value>
          <value t="str">
            <val>互盛電</val>
          </value>
          <value t="str">
            <val>上市其他電子</val>
          </value>
          <value t="str">
            <val>日本理光辦公事務機器之台灣代理商</val>
          </value>
        </values>
      </ddeItem>
      <ddeItem name="2433.TW-CName,InvestorConferenceDate,DateofMeetingofShareHolders,TradingDate" advise="1">
        <values cols="4">
          <value t="str">
            <val>互盛電</val>
          </value>
          <value t="str">
            <val>2022/11/23</val>
          </value>
          <value t="str">
            <val>2022/06/08</val>
          </value>
          <value t="str">
            <val>2022/12/22</val>
          </value>
        </values>
      </ddeItem>
      <ddeItem name="2433.TW-ID,Name,MarketValue,Capital,NetIncomeGrowthRate,OperIncomeGrowthRate,FinancialStatementsTime,TFXRatio,MonthlyNetSalesYoY,RevenueMonth" advise="1">
        <values cols="10">
          <value t="str">
            <val>2433</val>
          </value>
          <value t="str">
            <val>互盛電</val>
          </value>
          <value t="str">
            <val>69.5</val>
          </value>
          <value t="str">
            <val>14.45</val>
          </value>
          <value t="str">
            <val>3.19</val>
          </value>
          <value t="str">
            <val>5.13</val>
          </value>
          <value t="str">
            <val>2022/09</val>
          </value>
          <value t="str">
            <val>-1.13</val>
          </value>
          <value t="str">
            <val>-17.41</val>
          </value>
          <value t="str">
            <val>2022/11</val>
          </value>
        </values>
      </ddeItem>
      <ddeItem name="2433.TW-OperatingProfitRatio,Price,PriceChangeRatio,InOutRatioNumber,Value,YearReturn,MonthReturn,WeekReturn,FinanceBalanceDif,ChipsField2" advise="1">
        <values cols="10">
          <value t="str">
            <val>14.03</val>
          </value>
          <value>
            <val>48.1</val>
          </value>
          <value>
            <val>0.1</val>
          </value>
          <value t="str">
            <val>15.15%</val>
          </value>
          <value t="str">
            <val>164萬</val>
          </value>
          <value t="str">
            <val>+1.04</val>
          </value>
          <value t="str">
            <val>+0.84</val>
          </value>
          <value t="str">
            <val>-0.41</val>
          </value>
          <value>
            <val>-3</val>
          </value>
          <value>
            <val>0</val>
          </value>
        </values>
      </ddeItem>
      <ddeItem name="243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-0.28</val>
          </value>
          <value t="str">
            <val>0.62</val>
          </value>
          <value t="str">
            <val>統懋</val>
          </value>
          <value t="str">
            <val>上市半導體</val>
          </value>
          <value t="str">
            <val>台灣上下游垂直整合之二極體廠</val>
          </value>
        </values>
      </ddeItem>
      <ddeItem name="2434.TW-CName,InvestorConferenceDate,DateofMeetingofShareHolders,TradingDate" advise="1">
        <values cols="4">
          <value t="str">
            <val>統懋</val>
          </value>
          <value t="str">
            <val>2022/12/21</val>
          </value>
          <value t="str">
            <val>2022/06/15</val>
          </value>
          <value t="str">
            <val>2022/12/22</val>
          </value>
        </values>
      </ddeItem>
      <ddeItem name="2434.TW-ID,Name,MarketValue,Capital,NetIncomeGrowthRate,OperIncomeGrowthRate,FinancialStatementsTime,TFXRatio,MonthlyNetSalesYoY,RevenueMonth" advise="1">
        <values cols="10">
          <value t="str">
            <val>2434</val>
          </value>
          <value t="str">
            <val>統懋</val>
          </value>
          <value t="str">
            <val>4.9</val>
          </value>
          <value t="str">
            <val>3.70</val>
          </value>
          <value t="str">
            <val>58.28</val>
          </value>
          <value t="str">
            <val>-257.48</val>
          </value>
          <value t="str">
            <val>2022/09</val>
          </value>
          <value t="str">
            <val>-1.10</val>
          </value>
          <value t="str">
            <val>-16.77</val>
          </value>
          <value t="str">
            <val>2022/11</val>
          </value>
        </values>
      </ddeItem>
      <ddeItem name="2434.TW-OperatingProfitRatio,Price,PriceChangeRatio,InOutRatioNumber,Value,YearReturn,MonthReturn,WeekReturn,FinanceBalanceDif,ChipsField2" advise="1">
        <values cols="10">
          <value t="str">
            <val>-74.52</val>
          </value>
          <value>
            <val>28.9</val>
          </value>
          <value>
            <val>0</val>
          </value>
          <value t="str">
            <val>52.78%</val>
          </value>
          <value t="str">
            <val>205萬</val>
          </value>
          <value t="str">
            <val>-26.84</val>
          </value>
          <value t="str">
            <val>-3.83</val>
          </value>
          <value t="str">
            <val>-0.69</val>
          </value>
          <value>
            <val>0</val>
          </value>
          <value>
            <val>0</val>
          </value>
        </values>
      </ddeItem>
      <ddeItem name="2436.TW-ChipsField3,ChipsField1,ChipsField25,CashAndStockDividend,CashDividendYieldRate,ProfitFourSeason,ProfitSingle,CName,ExchangeIndustry,CompanyPos" advise="1">
        <values cols="10">
          <value>
            <val>-7</val>
          </value>
          <value>
            <val>-87</val>
          </value>
          <value t="str">
            <val>2022/09/01</val>
          </value>
          <value t="str">
            <val>3.00</val>
          </value>
          <value>
            <val>7.2</val>
          </value>
          <value t="str">
            <val>1.82</val>
          </value>
          <value t="str">
            <val>-0.15</val>
          </value>
          <value t="str">
            <val>偉詮電</val>
          </value>
          <value t="str">
            <val>上市半導體</val>
          </value>
          <value t="str">
            <val>台灣類比IC暨消費性IC設計廠商</val>
          </value>
        </values>
      </ddeItem>
      <ddeItem name="2436.TW-CName,InvestorConferenceDate,DateofMeetingofShareHolders,TradingDate" advise="1">
        <values cols="4">
          <value t="str">
            <val>偉詮電</val>
          </value>
          <value t="str">
            <val>2022/08/25</val>
          </value>
          <value t="str">
            <val>2022/06/23</val>
          </value>
          <value t="str">
            <val>2022/12/22</val>
          </value>
        </values>
      </ddeItem>
      <ddeItem name="2436.TW-ID,Name,MarketValue,Capital,NetIncomeGrowthRate,OperIncomeGrowthRate,FinancialStatementsTime,TFXRatio,MonthlyNetSalesYoY,RevenueMonth" advise="1">
        <values cols="10">
          <value t="str">
            <val>2436</val>
          </value>
          <value t="str">
            <val>偉詮電</val>
          </value>
          <value t="str">
            <val>74.1</val>
          </value>
          <value t="str">
            <val>17.80</val>
          </value>
          <value t="str">
            <val>-76.19</val>
          </value>
          <value t="str">
            <val>-5.53</val>
          </value>
          <value t="str">
            <val>2022/09</val>
          </value>
          <value t="str">
            <val>1.43</val>
          </value>
          <value t="str">
            <val>-28.35</val>
          </value>
          <value t="str">
            <val>2022/11</val>
          </value>
        </values>
      </ddeItem>
      <ddeItem name="2436.TW-OperatingProfitRatio,Price,PriceChangeRatio,InOutRatioNumber,Value,YearReturn,MonthReturn,WeekReturn,FinanceBalanceDif,ChipsField2" advise="1">
        <values cols="10">
          <value t="str">
            <val>11.86</val>
          </value>
          <value>
            <val>41.65</val>
          </value>
          <value>
            <val>0.85</val>
          </value>
          <value t="str">
            <val>44.36%</val>
          </value>
          <value t="str">
            <val>2729萬</val>
          </value>
          <value t="str">
            <val>-55.57</val>
          </value>
          <value t="str">
            <val>-7.24</val>
          </value>
          <value t="str">
            <val>-7.55</val>
          </value>
          <value>
            <val>-72</val>
          </value>
          <value>
            <val>0</val>
          </value>
        </values>
      </ddeItem>
      <ddeItem name="243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-0.17</val>
          </value>
          <value t="str">
            <val>-0.08</val>
          </value>
          <value t="str">
            <val>翔耀</val>
          </value>
          <value t="str">
            <val>上市光電</val>
          </value>
          <value t="str">
            <val>主要經營玻璃基板薄化加工及機電設備</val>
          </value>
        </values>
      </ddeItem>
      <ddeItem name="2438.TW-CName,InvestorConferenceDate,DateofMeetingofShareHolders,TradingDate" advise="1">
        <values cols="4">
          <value t="str">
            <val>翔耀</val>
          </value>
          <value t="str">
            <val>2022/11/30</val>
          </value>
          <value t="str">
            <val>2022/06/22</val>
          </value>
          <value t="str">
            <val>2022/12/22</val>
          </value>
        </values>
      </ddeItem>
      <ddeItem name="2438.TW-ID,Name,MarketValue,Capital,NetIncomeGrowthRate,OperIncomeGrowthRate,FinancialStatementsTime,TFXRatio,MonthlyNetSalesYoY,RevenueMonth" advise="1">
        <values cols="10">
          <value t="str">
            <val>2438</val>
          </value>
          <value t="str">
            <val>翔耀</val>
          </value>
          <value t="str">
            <val>8.2</val>
          </value>
          <value t="str">
            <val>6.02</val>
          </value>
          <value t="str">
            <val>-168.96</val>
          </value>
          <value t="str">
            <val>-197.27</val>
          </value>
          <value t="str">
            <val>2022/09</val>
          </value>
          <value t="str">
            <val>0.43</val>
          </value>
          <value t="str">
            <val>-64.39</val>
          </value>
          <value t="str">
            <val>2022/11</val>
          </value>
        </values>
      </ddeItem>
      <ddeItem name="2438.TW-OperatingProfitRatio,Price,PriceChangeRatio,InOutRatioNumber,Value,YearReturn,MonthReturn,WeekReturn,FinanceBalanceDif,ChipsField2" advise="1">
        <values cols="10">
          <value t="str">
            <val>-8.28</val>
          </value>
          <value>
            <val>13.7</val>
          </value>
          <value>
            <val>-0.36</val>
          </value>
          <value t="str">
            <val>9.52%</val>
          </value>
          <value t="str">
            <val>28.6萬</val>
          </value>
          <value t="str">
            <val>-7.12</val>
          </value>
          <value t="str">
            <val>+5.38</val>
          </value>
          <value t="str">
            <val>+0.37</val>
          </value>
          <value>
            <val>0</val>
          </value>
          <value>
            <val>0</val>
          </value>
        </values>
      </ddeItem>
      <ddeItem name="2439.TW-ChipsField3,ChipsField1,ChipsField25,CashAndStockDividend,CashDividendYieldRate,ProfitFourSeason,ProfitSingle,CName,ExchangeIndustry,CompanyPos" advise="1">
        <values cols="10">
          <value>
            <val>65</val>
          </value>
          <value>
            <val>-95</val>
          </value>
          <value t="str">
            <val>2022/08/25</val>
          </value>
          <value t="str">
            <val>3.97</val>
          </value>
          <value>
            <val>5.03</val>
          </value>
          <value t="str">
            <val>7.66</val>
          </value>
          <value t="str">
            <val>2.74</val>
          </value>
          <value t="str">
            <val>美律</val>
          </value>
          <value t="str">
            <val>上市通信網路</val>
          </value>
          <value t="str">
            <val>全球前十大手機電聲元件供應商</val>
          </value>
        </values>
      </ddeItem>
      <ddeItem name="2439.TW-CName,InvestorConferenceDate,DateofMeetingofShareHolders,TradingDate" advise="1">
        <values cols="4">
          <value t="str">
            <val>美律</val>
          </value>
          <value t="str">
            <val>2022/09/14</val>
          </value>
          <value t="str">
            <val>2022/06/15</val>
          </value>
          <value t="str">
            <val>2022/12/22</val>
          </value>
        </values>
      </ddeItem>
      <ddeItem name="2439.TW-ID,Name,MarketValue,Capital,NetIncomeGrowthRate,OperIncomeGrowthRate,FinancialStatementsTime,TFXRatio,MonthlyNetSalesYoY,RevenueMonth" advise="1">
        <values cols="10">
          <value t="str">
            <val>2439</val>
          </value>
          <value t="str">
            <val>美律</val>
          </value>
          <value t="str">
            <val>172.4</val>
          </value>
          <value t="str">
            <val>21.81</val>
          </value>
          <value t="str">
            <val>80.81</val>
          </value>
          <value t="str">
            <val>79.17</val>
          </value>
          <value t="str">
            <val>2022/09</val>
          </value>
          <value t="str">
            <val>-26.03</val>
          </value>
          <value t="str">
            <val>-30.07</val>
          </value>
          <value t="str">
            <val>2022/11</val>
          </value>
        </values>
      </ddeItem>
      <ddeItem name="2439.TW-OperatingProfitRatio,Price,PriceChangeRatio,InOutRatioNumber,Value,YearReturn,MonthReturn,WeekReturn,FinanceBalanceDif,ChipsField2" advise="1">
        <values cols="10">
          <value t="str">
            <val>2.62</val>
          </value>
          <value>
            <val>79</val>
          </value>
          <value>
            <val>-0.25</val>
          </value>
          <value t="str">
            <val>46.11%</val>
          </value>
          <value t="str">
            <val>4274萬</val>
          </value>
          <value t="str">
            <val>-10.71</val>
          </value>
          <value t="str">
            <val>-9.51</val>
          </value>
          <value t="str">
            <val>-2.47</val>
          </value>
          <value>
            <val>-42</val>
          </value>
          <value>
            <val>0</val>
          </value>
        </values>
      </ddeItem>
      <ddeItem name="244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--</val>
          </value>
          <value t="str">
            <val>0.00</val>
          </value>
          <value>
            <val>0</val>
          </value>
          <value t="str">
            <val>-0.01</val>
          </value>
          <value t="str">
            <val>0.03</val>
          </value>
          <value t="str">
            <val>太空梭</val>
          </value>
          <value t="str">
            <val>上市電子零組件</val>
          </value>
          <value t="str">
            <val>跨入上游絞銅線製造銷售業務</val>
          </value>
        </values>
      </ddeItem>
      <ddeItem name="2440.TW-CName,InvestorConferenceDate,DateofMeetingofShareHolders,TradingDate" advise="1">
        <values cols="4">
          <value t="str">
            <val>太空梭</val>
          </value>
          <value t="str">
            <val>2022/09/26</val>
          </value>
          <value t="str">
            <val>2022/06/24</val>
          </value>
          <value t="str">
            <val>2022/12/22</val>
          </value>
        </values>
      </ddeItem>
      <ddeItem name="2440.TW-ID,Name,MarketValue,Capital,NetIncomeGrowthRate,OperIncomeGrowthRate,FinancialStatementsTime,TFXRatio,MonthlyNetSalesYoY,RevenueMonth" advise="1">
        <values cols="10">
          <value t="str">
            <val>2440</val>
          </value>
          <value t="str">
            <val>太空梭</val>
          </value>
          <value t="str">
            <val>16.8</val>
          </value>
          <value t="str">
            <val>13.91</val>
          </value>
          <value t="str">
            <val>-127.76</val>
          </value>
          <value t="str">
            <val>-85.45</val>
          </value>
          <value t="str">
            <val>2022/09</val>
          </value>
          <value t="str">
            <val>14.95</val>
          </value>
          <value t="str">
            <val>-25.63</val>
          </value>
          <value t="str">
            <val>2022/11</val>
          </value>
        </values>
      </ddeItem>
      <ddeItem name="2440.TW-OperatingProfitRatio,Price,PriceChangeRatio,InOutRatioNumber,Value,YearReturn,MonthReturn,WeekReturn,FinanceBalanceDif,ChipsField2" advise="1">
        <values cols="10">
          <value t="str">
            <val>0.80</val>
          </value>
          <value>
            <val>12.1</val>
          </value>
          <value>
            <val>0</val>
          </value>
          <value t="str">
            <val>28.99%</val>
          </value>
          <value t="str">
            <val>83.9萬</val>
          </value>
          <value t="str">
            <val>-27.54</val>
          </value>
          <value t="str">
            <val>-4.35</val>
          </value>
          <value t="str">
            <val>-4.35</val>
          </value>
          <value>
            <val>10</val>
          </value>
          <value>
            <val>0</val>
          </value>
        </values>
      </ddeItem>
      <ddeItem name="2441.TW-ChipsField3,ChipsField1,ChipsField25,CashAndStockDividend,CashDividendYieldRate,ProfitFourSeason,ProfitSingle,CName,ExchangeIndustry,CompanyPos" advise="1">
        <values cols="10">
          <value>
            <val>47</val>
          </value>
          <value>
            <val>3995</val>
          </value>
          <value t="str">
            <val>2022/08/25</val>
          </value>
          <value t="str">
            <val>5.00</val>
          </value>
          <value>
            <val>10.130000000000001</val>
          </value>
          <value t="str">
            <val>7.10</val>
          </value>
          <value t="str">
            <val>1.07</val>
          </value>
          <value t="str">
            <val>超豐</val>
          </value>
          <value t="str">
            <val>上市半導體</val>
          </value>
          <value t="str">
            <val>力成轉投資之消費性IC後段封測廠</val>
          </value>
        </values>
      </ddeItem>
      <ddeItem name="2441.TW-CName,InvestorConferenceDate,DateofMeetingofShareHolders,TradingDate" advise="1">
        <values cols="4">
          <value t="str">
            <val>超豐</val>
          </value>
          <value t="str">
            <val>2022/07/26</val>
          </value>
          <value t="str">
            <val>2022/05/26</val>
          </value>
          <value t="str">
            <val>2022/12/22</val>
          </value>
        </values>
      </ddeItem>
      <ddeItem name="2441.TW-ID,Name,MarketValue,Capital,NetIncomeGrowthRate,OperIncomeGrowthRate,FinancialStatementsTime,TFXRatio,MonthlyNetSalesYoY,RevenueMonth" advise="1">
        <values cols="10">
          <value t="str">
            <val>2441</val>
          </value>
          <value t="str">
            <val>超豐</val>
          </value>
          <value t="str">
            <val>280.7</val>
          </value>
          <value t="str">
            <val>56.88</val>
          </value>
          <value t="str">
            <val>-16.39</val>
          </value>
          <value t="str">
            <val>-22.89</val>
          </value>
          <value t="str">
            <val>2022/09</val>
          </value>
          <value t="str">
            <val>1.29</val>
          </value>
          <value t="str">
            <val>-38.94</val>
          </value>
          <value t="str">
            <val>2022/11</val>
          </value>
        </values>
      </ddeItem>
      <ddeItem name="2441.TW-OperatingProfitRatio,Price,PriceChangeRatio,InOutRatioNumber,Value,YearReturn,MonthReturn,WeekReturn,FinanceBalanceDif,ChipsField2" advise="1">
        <values cols="10">
          <value t="str">
            <val>25.13</val>
          </value>
          <value>
            <val>49.35</val>
          </value>
          <value>
            <val>5.9</val>
          </value>
          <value t="str">
            <val>76.38%</val>
          </value>
          <value t="str">
            <val>6.00億</val>
          </value>
          <value t="str">
            <val>-29.68</val>
          </value>
          <value t="str">
            <val>+1.75</val>
          </value>
          <value t="str">
            <val>+1.75</val>
          </value>
          <value>
            <val>54</val>
          </value>
          <value>
            <val>-5798</val>
          </value>
        </values>
      </ddeItem>
      <ddeItem name="2442.TW-ChipsField3,ChipsField1,ChipsField25,CashAndStockDividend,CashDividendYieldRate,ProfitFourSeason,ProfitSingle,CName,ExchangeIndustry,CompanyPos" advise="1">
        <values cols="10">
          <value>
            <val>-8</val>
          </value>
          <value>
            <val>42</val>
          </value>
          <value t="str">
            <val>2022/08/29</val>
          </value>
          <value t="str">
            <val>0.72</val>
          </value>
          <value>
            <val>5.43</val>
          </value>
          <value t="str">
            <val>0.61</val>
          </value>
          <value t="str">
            <val>-0.12</val>
          </value>
          <value t="str">
            <val>新美齊</val>
          </value>
          <value t="str">
            <val>上市電腦及週邊設備</val>
          </value>
          <value t="str">
            <val>轉型從事不動產建設開發</val>
          </value>
        </values>
      </ddeItem>
      <ddeItem name="2442.TW-CName,InvestorConferenceDate,DateofMeetingofShareHolders,TradingDate" advise="1">
        <values cols="4">
          <value t="str">
            <val>新美齊</val>
          </value>
          <value t="str">
            <val>2022/12/14</val>
          </value>
          <value t="str">
            <val>2022/05/24</val>
          </value>
          <value t="str">
            <val>2022/12/22</val>
          </value>
        </values>
      </ddeItem>
      <ddeItem name="2442.TW-ID,Name,MarketValue,Capital,NetIncomeGrowthRate,OperIncomeGrowthRate,FinancialStatementsTime,TFXRatio,MonthlyNetSalesYoY,RevenueMonth" advise="1">
        <values cols="10">
          <value t="str">
            <val>2442</val>
          </value>
          <value t="str">
            <val>新美齊</val>
          </value>
          <value t="str">
            <val>33.6</val>
          </value>
          <value t="str">
            <val>25.33</val>
          </value>
          <value t="str">
            <val>-83.66</val>
          </value>
          <value t="str">
            <val>-89.11</val>
          </value>
          <value t="str">
            <val>2022/09</val>
          </value>
          <value t="str">
            <val>-5.24</val>
          </value>
          <value t="str">
            <val>-96.04</val>
          </value>
          <value t="str">
            <val>2022/11</val>
          </value>
        </values>
      </ddeItem>
      <ddeItem name="2442.TW-OperatingProfitRatio,Price,PriceChangeRatio,InOutRatioNumber,Value,YearReturn,MonthReturn,WeekReturn,FinanceBalanceDif,ChipsField2" advise="1">
        <values cols="10">
          <value t="str">
            <val>6.35</val>
          </value>
          <value>
            <val>13.25</val>
          </value>
          <value>
            <val>1.92</val>
          </value>
          <value t="str">
            <val>70.77%</val>
          </value>
          <value t="str">
            <val>343萬</val>
          </value>
          <value t="str">
            <val>+8.00</val>
          </value>
          <value t="str">
            <val>+8.16</val>
          </value>
          <value t="str">
            <val>-3.64</val>
          </value>
          <value>
            <val>-108</val>
          </value>
          <value>
            <val>0</val>
          </value>
        </values>
      </ddeItem>
      <ddeItem name="244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-0.64</val>
          </value>
          <value t="str">
            <val>-0.07</val>
          </value>
          <value t="str">
            <val>昶虹</val>
          </value>
          <value t="str">
            <val>上市其他</val>
          </value>
          <value t="str">
            <val>轉型從事港區物流及大宗物資貿易業務</val>
          </value>
        </values>
      </ddeItem>
      <ddeItem name="2443.TW-CName,InvestorConferenceDate,DateofMeetingofShareHolders,TradingDate" advise="1">
        <values cols="4">
          <value t="str">
            <val>昶虹</val>
          </value>
          <value t="str">
            <val>2022/12/20</val>
          </value>
          <value t="str">
            <val>2022/06/10</val>
          </value>
          <value t="str">
            <val>2022/12/22</val>
          </value>
        </values>
      </ddeItem>
      <ddeItem name="2443.TW-ID,Name,MarketValue,Capital,NetIncomeGrowthRate,OperIncomeGrowthRate,FinancialStatementsTime,TFXRatio,MonthlyNetSalesYoY,RevenueMonth" advise="1">
        <values cols="10">
          <value t="str">
            <val>2443</val>
          </value>
          <value t="str">
            <val>昶虹</val>
          </value>
          <value t="str">
            <val>4.0</val>
          </value>
          <value t="str">
            <val>14.57</val>
          </value>
          <value t="str">
            <val>15.35</val>
          </value>
          <value t="str">
            <val>40.07</val>
          </value>
          <value t="str">
            <val>2022/09</val>
          </value>
          <value t="str">
            <val>15.16</val>
          </value>
          <value t="str">
            <val>-61.71</val>
          </value>
          <value t="str">
            <val>2022/11</val>
          </value>
        </values>
      </ddeItem>
      <ddeItem name="2443.TW-OperatingProfitRatio,Price,PriceChangeRatio,InOutRatioNumber,Value,YearReturn,MonthReturn,WeekReturn,FinanceBalanceDif,ChipsField2" advise="1">
        <values cols="10">
          <value t="str">
            <val>-367.06</val>
          </value>
          <value>
            <val>2.76</val>
          </value>
          <value>
            <val>-1.43</val>
          </value>
          <value t="str">
            <val>27.78%</val>
          </value>
          <value t="str">
            <val>11.9萬</val>
          </value>
          <value t="str">
            <val>-12.10</val>
          </value>
          <value t="str">
            <val>-3.16</val>
          </value>
          <value t="str">
            <val>-0.36</val>
          </value>
          <value>
            <val>0</val>
          </value>
          <value>
            <val>0</val>
          </value>
        </values>
      </ddeItem>
      <ddeItem name="2444.TW-ChipsField3,ChipsField1,ChipsField25,CashAndStockDividend,CashDividendYieldRate,ProfitFourSeason,ProfitSingle,CName,ExchangeIndustry,CompanyPos" advise="1">
        <values cols="10">
          <value>
            <val>30</val>
          </value>
          <value>
            <val>768</val>
          </value>
          <value t="str">
            <val>--</val>
          </value>
          <value t="str">
            <val>0.00</val>
          </value>
          <value>
            <val>0</val>
          </value>
          <value t="str">
            <val>1.03</val>
          </value>
          <value t="str">
            <val>0.50</val>
          </value>
          <value t="str">
            <val>兆勁</val>
          </value>
          <value t="str">
            <val>上市通信網路</val>
          </value>
          <value t="str">
            <val>台灣無線網路設備代工廠</val>
          </value>
        </values>
      </ddeItem>
      <ddeItem name="2444.TW-CName,InvestorConferenceDate,DateofMeetingofShareHolders,TradingDate" advise="1">
        <values cols="4">
          <value t="str">
            <val>兆勁</val>
          </value>
          <value t="str">
            <val>2022/10/21</val>
          </value>
          <value t="str">
            <val>2022/06/29</val>
          </value>
          <value t="str">
            <val>2022/12/22</val>
          </value>
        </values>
      </ddeItem>
      <ddeItem name="2444.TW-ID,Name,MarketValue,Capital,NetIncomeGrowthRate,OperIncomeGrowthRate,FinancialStatementsTime,TFXRatio,MonthlyNetSalesYoY,RevenueMonth" advise="1">
        <values cols="10">
          <value t="str">
            <val>2444</val>
          </value>
          <value t="str">
            <val>兆勁</val>
          </value>
          <value t="str">
            <val>20.0</val>
          </value>
          <value t="str">
            <val>10.56</val>
          </value>
          <value t="str">
            <val>969.24</val>
          </value>
          <value t="str">
            <val>201.28</val>
          </value>
          <value t="str">
            <val>2022/09</val>
          </value>
          <value t="str">
            <val>28.83</val>
          </value>
          <value t="str">
            <val>34.76</val>
          </value>
          <value t="str">
            <val>2022/11</val>
          </value>
        </values>
      </ddeItem>
      <ddeItem name="2444.TW-OperatingProfitRatio,Price,PriceChangeRatio,InOutRatioNumber,Value,YearReturn,MonthReturn,WeekReturn,FinanceBalanceDif,ChipsField2" advise="1">
        <values cols="10">
          <value t="str">
            <val>4.14</val>
          </value>
          <value>
            <val>18.899999999999999</val>
          </value>
          <value>
            <val>-2.33</val>
          </value>
          <value t="str">
            <val>36.40%</val>
          </value>
          <value t="str">
            <val>1.03億</val>
          </value>
          <value t="str">
            <val>+23.93</val>
          </value>
          <value t="str">
            <val>+47.08</val>
          </value>
          <value t="str">
            <val>-0.53</val>
          </value>
          <value>
            <val>0</val>
          </value>
          <value>
            <val>0</val>
          </value>
        </values>
      </ddeItem>
      <ddeItem name="2449.TW-ChipsField3,ChipsField1,ChipsField25,CashAndStockDividend,CashDividendYieldRate,ProfitFourSeason,ProfitSingle,CName,ExchangeIndustry,CompanyPos" advise="1">
        <values cols="10">
          <value>
            <val>105</val>
          </value>
          <value>
            <val>3710</val>
          </value>
          <value t="str">
            <val>2022/07/21</val>
          </value>
          <value t="str">
            <val>3.00</val>
          </value>
          <value>
            <val>8.1</val>
          </value>
          <value t="str">
            <val>5.70</val>
          </value>
          <value t="str">
            <val>1.22</val>
          </value>
          <value t="str">
            <val>京元電子</val>
          </value>
          <value t="str">
            <val>上市半導體</val>
          </value>
          <value t="str">
            <val>全球最大IC測試廠之一</val>
          </value>
        </values>
      </ddeItem>
      <ddeItem name="2449.TW-CName,InvestorConferenceDate,DateofMeetingofShareHolders,TradingDate" advise="1">
        <values cols="4">
          <value t="str">
            <val>京元電子</val>
          </value>
          <value t="str">
            <val>2021/04/07</val>
          </value>
          <value t="str">
            <val>2022/06/29</val>
          </value>
          <value t="str">
            <val>2022/12/22</val>
          </value>
        </values>
      </ddeItem>
      <ddeItem name="2449.TW-ID,Name,MarketValue,Capital,NetIncomeGrowthRate,OperIncomeGrowthRate,FinancialStatementsTime,TFXRatio,MonthlyNetSalesYoY,RevenueMonth" advise="1">
        <values cols="10">
          <value t="str">
            <val>2449</val>
          </value>
          <value t="str">
            <val>京元電子</val>
          </value>
          <value t="str">
            <val>453.0</val>
          </value>
          <value t="str">
            <val>122.27</val>
          </value>
          <value t="str">
            <val>53.40</val>
          </value>
          <value t="str">
            <val>59.46</val>
          </value>
          <value t="str">
            <val>2022/09</val>
          </value>
          <value t="str">
            <val>-5.30</val>
          </value>
          <value t="str">
            <val>-9.90</val>
          </value>
          <value t="str">
            <val>2022/11</val>
          </value>
        </values>
      </ddeItem>
      <ddeItem name="2449.TW-OperatingProfitRatio,Price,PriceChangeRatio,InOutRatioNumber,Value,YearReturn,MonthReturn,WeekReturn,FinanceBalanceDif,ChipsField2" advise="1">
        <values cols="10">
          <value t="str">
            <val>25.55</val>
          </value>
          <value>
            <val>37.049999999999997</val>
          </value>
          <value>
            <val>1.51</val>
          </value>
          <value t="str">
            <val>71.41%</val>
          </value>
          <value t="str">
            <val>2.93億</val>
          </value>
          <value t="str">
            <val>-7.50</val>
          </value>
          <value t="str">
            <val>+4.22</val>
          </value>
          <value t="str">
            <val>+1.65</val>
          </value>
          <value>
            <val>3</val>
          </value>
          <value>
            <val>-3087</val>
          </value>
        </values>
      </ddeItem>
      <ddeItem name="245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-5</val>
          </value>
          <value t="str">
            <val>2022/06/23</val>
          </value>
          <value t="str">
            <val>2.00</val>
          </value>
          <value>
            <val>6.47</val>
          </value>
          <value t="str">
            <val>2.59</val>
          </value>
          <value t="str">
            <val>0.78</val>
          </value>
          <value t="str">
            <val>神腦</val>
          </value>
          <value t="str">
            <val>上市通信網路</val>
          </value>
          <value t="str">
            <val>中華電信轉投資之數位產品通路代理商</val>
          </value>
        </values>
      </ddeItem>
      <ddeItem name="2450.TW-CName,InvestorConferenceDate,DateofMeetingofShareHolders,TradingDate" advise="1">
        <values cols="4">
          <value t="str">
            <val>神腦</val>
          </value>
          <value t="str">
            <val>2022/12/21</val>
          </value>
          <value t="str">
            <val>2022/06/15</val>
          </value>
          <value t="str">
            <val>2022/12/22</val>
          </value>
        </values>
      </ddeItem>
      <ddeItem name="2450.TW-ID,Name,MarketValue,Capital,NetIncomeGrowthRate,OperIncomeGrowthRate,FinancialStatementsTime,TFXRatio,MonthlyNetSalesYoY,RevenueMonth" advise="1">
        <values cols="10">
          <value t="str">
            <val>2450</val>
          </value>
          <value t="str">
            <val>神腦</val>
          </value>
          <value t="str">
            <val>79.8</val>
          </value>
          <value t="str">
            <val>25.83</val>
          </value>
          <value t="str">
            <val>17.13</val>
          </value>
          <value t="str">
            <val>-16.69</val>
          </value>
          <value t="str">
            <val>2022/09</val>
          </value>
          <value t="str">
            <val>-1.45</val>
          </value>
          <value t="str">
            <val>-5.39</val>
          </value>
          <value t="str">
            <val>2022/11</val>
          </value>
        </values>
      </ddeItem>
      <ddeItem name="2450.TW-OperatingProfitRatio,Price,PriceChangeRatio,InOutRatioNumber,Value,YearReturn,MonthReturn,WeekReturn,FinanceBalanceDif,ChipsField2" advise="1">
        <values cols="10">
          <value t="str">
            <val>1.26</val>
          </value>
          <value>
            <val>30.9</val>
          </value>
          <value>
            <val>-0.16</val>
          </value>
          <value t="str">
            <val>22.22%</val>
          </value>
          <value t="str">
            <val>111萬</val>
          </value>
          <value t="str">
            <val>+0.29</val>
          </value>
          <value t="str">
            <val>+0.98</val>
          </value>
          <value t="str">
            <val>-0.48</val>
          </value>
          <value>
            <val>-60</val>
          </value>
          <value>
            <val>0</val>
          </value>
        </values>
      </ddeItem>
      <ddeItem name="2451.TW-ChipsField3,ChipsField1,ChipsField25,CashAndStockDividend,CashDividendYieldRate,ProfitFourSeason,ProfitSingle,CName,ExchangeIndustry,CompanyPos" advise="1">
        <values cols="10">
          <value>
            <val>-12</val>
          </value>
          <value>
            <val>-89</val>
          </value>
          <value t="str">
            <val>2022/07/04</val>
          </value>
          <value t="str">
            <val>6.00</val>
          </value>
          <value>
            <val>9.02</val>
          </value>
          <value t="str">
            <val>6.75</val>
          </value>
          <value t="str">
            <val>1.13</val>
          </value>
          <value t="str">
            <val>創見</val>
          </value>
          <value t="str">
            <val>上市半導體</val>
          </value>
          <value t="str">
            <val>「Transcend」品牌之記憶體模組廠</val>
          </value>
        </values>
      </ddeItem>
      <ddeItem name="2451.TW-CName,InvestorConferenceDate,DateofMeetingofShareHolders,TradingDate" advise="1">
        <values cols="4">
          <value t="str">
            <val>創見</val>
          </value>
          <value t="str">
            <val>2022/11/11</val>
          </value>
          <value t="str">
            <val>2022/06/17</val>
          </value>
          <value t="str">
            <val>2022/12/22</val>
          </value>
        </values>
      </ddeItem>
      <ddeItem name="2451.TW-ID,Name,MarketValue,Capital,NetIncomeGrowthRate,OperIncomeGrowthRate,FinancialStatementsTime,TFXRatio,MonthlyNetSalesYoY,RevenueMonth" advise="1">
        <values cols="10">
          <value t="str">
            <val>2451</val>
          </value>
          <value t="str">
            <val>創見</val>
          </value>
          <value t="str">
            <val>285.3</val>
          </value>
          <value t="str">
            <val>42.91</val>
          </value>
          <value t="str">
            <val>17.75</val>
          </value>
          <value t="str">
            <val>-45.73</val>
          </value>
          <value t="str">
            <val>2022/09</val>
          </value>
          <value t="str">
            <val>-0.58</val>
          </value>
          <value t="str">
            <val>-23.78</val>
          </value>
          <value t="str">
            <val>2022/11</val>
          </value>
        </values>
      </ddeItem>
      <ddeItem name="2451.TW-OperatingProfitRatio,Price,PriceChangeRatio,InOutRatioNumber,Value,YearReturn,MonthReturn,WeekReturn,FinanceBalanceDif,ChipsField2" advise="1">
        <values cols="10">
          <value t="str">
            <val>13.13</val>
          </value>
          <value>
            <val>66.5</val>
          </value>
          <value>
            <val>1.06</val>
          </value>
          <value t="str">
            <val>33.33%</val>
          </value>
          <value t="str">
            <val>887萬</val>
          </value>
          <value t="str">
            <val>-0.30</val>
          </value>
          <value t="str">
            <val>+1.53</val>
          </value>
          <value t="str">
            <val>-0.60</val>
          </value>
          <value>
            <val>-5</val>
          </value>
          <value>
            <val>60</val>
          </value>
        </values>
      </ddeItem>
      <ddeItem name="2453.TW-ChipsField3,ChipsField1,ChipsField25,CashAndStockDividend,CashDividendYieldRate,ProfitFourSeason,ProfitSingle,CName,ExchangeIndustry,CompanyPos" advise="1">
        <values cols="10">
          <value>
            <val>-5</val>
          </value>
          <value>
            <val>-10</val>
          </value>
          <value t="str">
            <val>2022/07/14</val>
          </value>
          <value t="str">
            <val>1.90</val>
          </value>
          <value>
            <val>7.52</val>
          </value>
          <value t="str">
            <val>2.39</val>
          </value>
          <value t="str">
            <val>0.58</val>
          </value>
          <value t="str">
            <val>凌群</val>
          </value>
          <value t="str">
            <val>上市資訊服務</val>
          </value>
          <value t="str">
            <val>以金融業為主的系統整合大廠</val>
          </value>
        </values>
      </ddeItem>
      <ddeItem name="2453.TW-CName,InvestorConferenceDate,DateofMeetingofShareHolders,TradingDate" advise="1">
        <values cols="4">
          <value t="str">
            <val>凌群</val>
          </value>
          <value t="str">
            <val>2022/03/28</val>
          </value>
          <value t="str">
            <val>2022/06/15</val>
          </value>
          <value t="str">
            <val>2022/12/22</val>
          </value>
        </values>
      </ddeItem>
      <ddeItem name="2453.TW-ID,Name,MarketValue,Capital,NetIncomeGrowthRate,OperIncomeGrowthRate,FinancialStatementsTime,TFXRatio,MonthlyNetSalesYoY,RevenueMonth" advise="1">
        <values cols="10">
          <value t="str">
            <val>2453</val>
          </value>
          <value t="str">
            <val>凌群</val>
          </value>
          <value t="str">
            <val>25.2</val>
          </value>
          <value t="str">
            <val>10.00</val>
          </value>
          <value t="str">
            <val>15.68</val>
          </value>
          <value t="str">
            <val>-7.41</val>
          </value>
          <value t="str">
            <val>2022/09</val>
          </value>
          <value t="str">
            <val>19.84</val>
          </value>
          <value t="str">
            <val>0.21</val>
          </value>
          <value t="str">
            <val>2022/11</val>
          </value>
        </values>
      </ddeItem>
      <ddeItem name="2453.TW-OperatingProfitRatio,Price,PriceChangeRatio,InOutRatioNumber,Value,YearReturn,MonthReturn,WeekReturn,FinanceBalanceDif,ChipsField2" advise="1">
        <values cols="10">
          <value t="str">
            <val>3.51</val>
          </value>
          <value>
            <val>25.25</val>
          </value>
          <value>
            <val>0.4</val>
          </value>
          <value t="str">
            <val>49.37%</val>
          </value>
          <value t="str">
            <val>207萬</val>
          </value>
          <value t="str">
            <val>-5.22</val>
          </value>
          <value t="str">
            <val>+3.06</val>
          </value>
          <value t="str">
            <val>-0.39</val>
          </value>
          <value>
            <val>5</val>
          </value>
          <value>
            <val>0</val>
          </value>
        </values>
      </ddeItem>
      <ddeItem name="2454.TW-ChipsField3,ChipsField1,ChipsField25,CashAndStockDividend,CashDividendYieldRate,ProfitFourSeason,ProfitSingle,CName,ExchangeIndustry,CompanyPos" advise="1">
        <values cols="10">
          <value>
            <val>-250</val>
          </value>
          <value>
            <val>1129</val>
          </value>
          <value t="str">
            <val>2022/06/23</val>
          </value>
          <value t="str">
            <val>73.00</val>
          </value>
          <value>
            <val>11.04</val>
          </value>
          <value t="str">
            <val>81.98</val>
          </value>
          <value t="str">
            <val>19.54</val>
          </value>
          <value t="str">
            <val>聯發科</val>
          </value>
          <value t="str">
            <val>上市半導體</val>
          </value>
          <value t="str">
            <val>全球智慧型手機晶片大廠</val>
          </value>
        </values>
      </ddeItem>
      <ddeItem name="2454.TW-CName,InvestorConferenceDate,DateofMeetingofShareHolders,TradingDate" advise="1">
        <values cols="4">
          <value t="str">
            <val>聯發科</val>
          </value>
          <value t="str">
            <val>2022/10/28</val>
          </value>
          <value t="str">
            <val>2022/05/31</val>
          </value>
          <value t="str">
            <val>2022/12/22</val>
          </value>
        </values>
      </ddeItem>
      <ddeItem name="2454.TW-ID,Name,MarketValue,Capital,NetIncomeGrowthRate,OperIncomeGrowthRate,FinancialStatementsTime,TFXRatio,MonthlyNetSalesYoY,RevenueMonth" advise="1">
        <values cols="10">
          <value t="str">
            <val>2454</val>
          </value>
          <value t="str">
            <val>聯發科</val>
          </value>
          <value t="str">
            <val>10572.3</val>
          </value>
          <value t="str">
            <val>159.94</val>
          </value>
          <value t="str">
            <val>22.50</val>
          </value>
          <value t="str">
            <val>38.79</val>
          </value>
          <value t="str">
            <val>2022/09</val>
          </value>
          <value t="str">
            <val>8.21</val>
          </value>
          <value t="str">
            <val>-19.79</val>
          </value>
          <value t="str">
            <val>2022/11</val>
          </value>
        </values>
      </ddeItem>
      <ddeItem name="2454.TW-OperatingProfitRatio,Price,PriceChangeRatio,InOutRatioNumber,Value,YearReturn,MonthReturn,WeekReturn,FinanceBalanceDif,ChipsField2" advise="1">
        <values cols="10">
          <value t="str">
            <val>24.67</val>
          </value>
          <value>
            <val>661</val>
          </value>
          <value>
            <val>1.07</val>
          </value>
          <value t="str">
            <val>38.71%</val>
          </value>
          <value t="str">
            <val>26.7億</val>
          </value>
          <value t="str">
            <val>-33.33</val>
          </value>
          <value t="str">
            <val>-8.19</val>
          </value>
          <value t="str">
            <val>-7.94</val>
          </value>
          <value>
            <val>5</val>
          </value>
          <value>
            <val>-536</val>
          </value>
        </values>
      </ddeItem>
      <ddeItem name="2455.TW-ChipsField3,ChipsField1,ChipsField25,CashAndStockDividend,CashDividendYieldRate,ProfitFourSeason,ProfitSingle,CName,ExchangeIndustry,CompanyPos" advise="1">
        <values cols="10">
          <value>
            <val>78</val>
          </value>
          <value>
            <val>-468</val>
          </value>
          <value t="str">
            <val>2022/06/23</val>
          </value>
          <value t="str">
            <val>4.00</val>
          </value>
          <value>
            <val>5.97</val>
          </value>
          <value t="str">
            <val>3.78</val>
          </value>
          <value t="str">
            <val>0.57</val>
          </value>
          <value t="str">
            <val>全新</val>
          </value>
          <value t="str">
            <val>上市通信網路</val>
          </value>
          <value t="str">
            <val>全球前三大砷化鎵HBT磊晶片廠</val>
          </value>
        </values>
      </ddeItem>
      <ddeItem name="2455.TW-CName,InvestorConferenceDate,DateofMeetingofShareHolders,TradingDate" advise="1">
        <values cols="4">
          <value t="str">
            <val>全新</val>
          </value>
          <value t="str">
            <val>--</val>
          </value>
          <value t="str">
            <val>2022/06/08</val>
          </value>
          <value t="str">
            <val>2022/12/22</val>
          </value>
        </values>
      </ddeItem>
      <ddeItem name="2455.TW-ID,Name,MarketValue,Capital,NetIncomeGrowthRate,OperIncomeGrowthRate,FinancialStatementsTime,TFXRatio,MonthlyNetSalesYoY,RevenueMonth" advise="1">
        <values cols="10">
          <value t="str">
            <val>2455</val>
          </value>
          <value t="str">
            <val>全新</val>
          </value>
          <value t="str">
            <val>123.9</val>
          </value>
          <value t="str">
            <val>18.49</val>
          </value>
          <value t="str">
            <val>-23.46</val>
          </value>
          <value t="str">
            <val>-37.79</val>
          </value>
          <value t="str">
            <val>2022/09</val>
          </value>
          <value t="str">
            <val>-15.71</val>
          </value>
          <value t="str">
            <val>-51.29</val>
          </value>
          <value t="str">
            <val>2022/11</val>
          </value>
        </values>
      </ddeItem>
      <ddeItem name="2455.TW-OperatingProfitRatio,Price,PriceChangeRatio,InOutRatioNumber,Value,YearReturn,MonthReturn,WeekReturn,FinanceBalanceDif,ChipsField2" advise="1">
        <values cols="10">
          <value t="str">
            <val>24.63</val>
          </value>
          <value>
            <val>67</val>
          </value>
          <value>
            <val>1.98</val>
          </value>
          <value t="str">
            <val>58.36%</val>
          </value>
          <value t="str">
            <val>8495萬</val>
          </value>
          <value t="str">
            <val>-49.86</val>
          </value>
          <value t="str">
            <val>-2.19</val>
          </value>
          <value t="str">
            <val>-7.97</val>
          </value>
          <value>
            <val>441</val>
          </value>
          <value>
            <val>0</val>
          </value>
        </values>
      </ddeItem>
      <ddeItem name="2457.TW-ChipsField3,ChipsField1,ChipsField25,CashAndStockDividend,CashDividendYieldRate,ProfitFourSeason,ProfitSingle,CName,ExchangeIndustry,CompanyPos" advise="1">
        <values cols="10">
          <value>
            <val>-357</val>
          </value>
          <value>
            <val>2431</val>
          </value>
          <value t="str">
            <val>--</val>
          </value>
          <value t="str">
            <val>0.00</val>
          </value>
          <value>
            <val>0</val>
          </value>
          <value t="str">
            <val>0.00</val>
          </value>
          <value t="str">
            <val>0.06</val>
          </value>
          <value t="str">
            <val>飛宏</val>
          </value>
          <value t="str">
            <val>上市電子零組件</val>
          </value>
          <value t="str">
            <val>全球手機電源供應器知名廠商，並切入LED照明市場</val>
          </value>
        </values>
      </ddeItem>
      <ddeItem name="2457.TW-CName,InvestorConferenceDate,DateofMeetingofShareHolders,TradingDate" advise="1">
        <values cols="4">
          <value t="str">
            <val>飛宏</val>
          </value>
          <value t="str">
            <val>2022/11/23</val>
          </value>
          <value t="str">
            <val>2022/06/08</val>
          </value>
          <value t="str">
            <val>2022/12/22</val>
          </value>
        </values>
      </ddeItem>
      <ddeItem name="2457.TW-ID,Name,MarketValue,Capital,NetIncomeGrowthRate,OperIncomeGrowthRate,FinancialStatementsTime,TFXRatio,MonthlyNetSalesYoY,RevenueMonth" advise="1">
        <values cols="10">
          <value t="str">
            <val>2457</val>
          </value>
          <value t="str">
            <val>飛宏</val>
          </value>
          <value t="str">
            <val>140.1</val>
          </value>
          <value t="str">
            <val>37.52</val>
          </value>
          <value t="str">
            <val>104.63</val>
          </value>
          <value t="str">
            <val>46.05</val>
          </value>
          <value t="str">
            <val>2022/09</val>
          </value>
          <value t="str">
            <val>14.01</val>
          </value>
          <value t="str">
            <val>7.84</val>
          </value>
          <value t="str">
            <val>2022/11</val>
          </value>
        </values>
      </ddeItem>
      <ddeItem name="2457.TW-OperatingProfitRatio,Price,PriceChangeRatio,InOutRatioNumber,Value,YearReturn,MonthReturn,WeekReturn,FinanceBalanceDif,ChipsField2" advise="1">
        <values cols="10">
          <value t="str">
            <val>-1.76</val>
          </value>
          <value>
            <val>41.5</val>
          </value>
          <value>
            <val>-2.12</val>
          </value>
          <value t="str">
            <val>40.59%</val>
          </value>
          <value t="str">
            <val>7.57億</val>
          </value>
          <value t="str">
            <val>-3.60</val>
          </value>
          <value t="str">
            <val>+11.86</val>
          </value>
          <value t="str">
            <val>+4.53</val>
          </value>
          <value>
            <val>1500</val>
          </value>
          <value>
            <val>0</val>
          </value>
        </values>
      </ddeItem>
      <ddeItem name="2458.TW-ChipsField3,ChipsField1,ChipsField25,CashAndStockDividend,CashDividendYieldRate,ProfitFourSeason,ProfitSingle,CName,ExchangeIndustry,CompanyPos" advise="1">
        <values cols="10">
          <value>
            <val>107</val>
          </value>
          <value>
            <val>-556</val>
          </value>
          <value t="str">
            <val>2022/07/07</val>
          </value>
          <value t="str">
            <val>13.81</val>
          </value>
          <value>
            <val>15.76</val>
          </value>
          <value t="str">
            <val>11.98</val>
          </value>
          <value t="str">
            <val>1.83</val>
          </value>
          <value t="str">
            <val>義隆</val>
          </value>
          <value t="str">
            <val>上市半導體</val>
          </value>
          <value t="str">
            <val>全球NB觸控板模組與觸控IC龍頭</val>
          </value>
        </values>
      </ddeItem>
      <ddeItem name="2458.TW-CName,InvestorConferenceDate,DateofMeetingofShareHolders,TradingDate" advise="1">
        <values cols="4">
          <value t="str">
            <val>義隆</val>
          </value>
          <value t="str">
            <val>2022/11/03</val>
          </value>
          <value t="str">
            <val>2022/06/15</val>
          </value>
          <value t="str">
            <val>2022/12/22</val>
          </value>
        </values>
      </ddeItem>
      <ddeItem name="2458.TW-ID,Name,MarketValue,Capital,NetIncomeGrowthRate,OperIncomeGrowthRate,FinancialStatementsTime,TFXRatio,MonthlyNetSalesYoY,RevenueMonth" advise="1">
        <values cols="10">
          <value t="str">
            <val>2458</val>
          </value>
          <value t="str">
            <val>義隆</val>
          </value>
          <value t="str">
            <val>266.2</val>
          </value>
          <value t="str">
            <val>30.39</val>
          </value>
          <value t="str">
            <val>-45.68</val>
          </value>
          <value t="str">
            <val>-38.98</val>
          </value>
          <value t="str">
            <val>2022/09</val>
          </value>
          <value t="str">
            <val>-1.64</val>
          </value>
          <value t="str">
            <val>-50.97</val>
          </value>
          <value t="str">
            <val>2022/11</val>
          </value>
        </values>
      </ddeItem>
      <ddeItem name="2458.TW-OperatingProfitRatio,Price,PriceChangeRatio,InOutRatioNumber,Value,YearReturn,MonthReturn,WeekReturn,FinanceBalanceDif,ChipsField2" advise="1">
        <values cols="10">
          <value t="str">
            <val>24.99</val>
          </value>
          <value>
            <val>87.6</val>
          </value>
          <value>
            <val>2.7</val>
          </value>
          <value t="str">
            <val>55.42%</val>
          </value>
          <value t="str">
            <val>5946萬</val>
          </value>
          <value t="str">
            <val>-41.08</val>
          </value>
          <value t="str">
            <val>+1.39</val>
          </value>
          <value t="str">
            <val>-3.20</val>
          </value>
          <value>
            <val>0</val>
          </value>
          <value>
            <val>-1</val>
          </value>
        </values>
      </ddeItem>
      <ddeItem name="2459.TW-ChipsField3,ChipsField1,ChipsField25,CashAndStockDividend,CashDividendYieldRate,ProfitFourSeason,ProfitSingle,CName,ExchangeIndustry,CompanyPos" advise="1">
        <values cols="10">
          <value>
            <val>-4</val>
          </value>
          <value>
            <val>0</val>
          </value>
          <value t="str">
            <val>2022/07/06</val>
          </value>
          <value t="str">
            <val>3.50</val>
          </value>
          <value>
            <val>6.77</val>
          </value>
          <value t="str">
            <val>5.38</val>
          </value>
          <value t="str">
            <val>2.19</val>
          </value>
          <value t="str">
            <val>敦吉</val>
          </value>
          <value t="str">
            <val>上市其他電子</val>
          </value>
          <value t="str">
            <val>經營通路、製造、驗證三大事業群</val>
          </value>
        </values>
      </ddeItem>
      <ddeItem name="2459.TW-CName,InvestorConferenceDate,DateofMeetingofShareHolders,TradingDate" advise="1">
        <values cols="4">
          <value t="str">
            <val>敦吉</val>
          </value>
          <value t="str">
            <val>2022/11/21</val>
          </value>
          <value t="str">
            <val>2022/06/17</val>
          </value>
          <value t="str">
            <val>2022/12/22</val>
          </value>
        </values>
      </ddeItem>
      <ddeItem name="2459.TW-ID,Name,MarketValue,Capital,NetIncomeGrowthRate,OperIncomeGrowthRate,FinancialStatementsTime,TFXRatio,MonthlyNetSalesYoY,RevenueMonth" advise="1">
        <values cols="10">
          <value t="str">
            <val>2459</val>
          </value>
          <value t="str">
            <val>敦吉</val>
          </value>
          <value t="str">
            <val>54.6</val>
          </value>
          <value t="str">
            <val>10.56</val>
          </value>
          <value t="str">
            <val>10.57</val>
          </value>
          <value t="str">
            <val>19.29</val>
          </value>
          <value t="str">
            <val>2022/09</val>
          </value>
          <value t="str">
            <val>-7.84</val>
          </value>
          <value t="str">
            <val>3.32</val>
          </value>
          <value t="str">
            <val>2022/11</val>
          </value>
        </values>
      </ddeItem>
      <ddeItem name="2459.TW-OperatingProfitRatio,Price,PriceChangeRatio,InOutRatioNumber,Value,YearReturn,MonthReturn,WeekReturn,FinanceBalanceDif,ChipsField2" advise="1">
        <values cols="10">
          <value t="str">
            <val>12.10</val>
          </value>
          <value>
            <val>51.7</val>
          </value>
          <value>
            <val>-0.77</val>
          </value>
          <value t="str">
            <val>14.29%</val>
          </value>
          <value t="str">
            <val>254萬</val>
          </value>
          <value t="str">
            <val>-5.92</val>
          </value>
          <value t="str">
            <val>+0.58</val>
          </value>
          <value t="str">
            <val>-0.96</val>
          </value>
          <value>
            <val>1</val>
          </value>
          <value>
            <val>0</val>
          </value>
        </values>
      </ddeItem>
      <ddeItem name="2460.TW-ChipsField3,ChipsField1,ChipsField25,CashAndStockDividend,CashDividendYieldRate,ProfitFourSeason,ProfitSingle,CName,ExchangeIndustry,CompanyPos" advise="1">
        <values cols="10">
          <value>
            <val>-6</val>
          </value>
          <value>
            <val>35</val>
          </value>
          <value t="str">
            <val>2022/08/25</val>
          </value>
          <value t="str">
            <val>0.30</val>
          </value>
          <value>
            <val>1.77</val>
          </value>
          <value t="str">
            <val>-0.04</val>
          </value>
          <value t="str">
            <val>-0.24</val>
          </value>
          <value t="str">
            <val>建通</val>
          </value>
          <value t="str">
            <val>上市電子零組件</val>
          </value>
          <value t="str">
            <val>亞洲最大電器類端子製造廠</val>
          </value>
        </values>
      </ddeItem>
      <ddeItem name="2460.TW-CName,InvestorConferenceDate,DateofMeetingofShareHolders,TradingDate" advise="1">
        <values cols="4">
          <value t="str">
            <val>建通</val>
          </value>
          <value t="str">
            <val>2022/11/30</val>
          </value>
          <value t="str">
            <val>2022/06/24</val>
          </value>
          <value t="str">
            <val>2022/12/22</val>
          </value>
        </values>
      </ddeItem>
      <ddeItem name="2460.TW-ID,Name,MarketValue,Capital,NetIncomeGrowthRate,OperIncomeGrowthRate,FinancialStatementsTime,TFXRatio,MonthlyNetSalesYoY,RevenueMonth" advise="1">
        <values cols="10">
          <value t="str">
            <val>2460</val>
          </value>
          <value t="str">
            <val>建通</val>
          </value>
          <value t="str">
            <val>28.7</val>
          </value>
          <value t="str">
            <val>16.92</val>
          </value>
          <value t="str">
            <val>-117.81</val>
          </value>
          <value t="str">
            <val>-142.19</val>
          </value>
          <value t="str">
            <val>2022/09</val>
          </value>
          <value t="str">
            <val>19.34</val>
          </value>
          <value t="str">
            <val>-31.30</val>
          </value>
          <value t="str">
            <val>2022/11</val>
          </value>
        </values>
      </ddeItem>
      <ddeItem name="2460.TW-OperatingProfitRatio,Price,PriceChangeRatio,InOutRatioNumber,Value,YearReturn,MonthReturn,WeekReturn,FinanceBalanceDif,ChipsField2" advise="1">
        <values cols="10">
          <value t="str">
            <val>-7.25</val>
          </value>
          <value>
            <val>16.95</val>
          </value>
          <value>
            <val>1.5</val>
          </value>
          <value t="str">
            <val>44.68%</val>
          </value>
          <value t="str">
            <val>169萬</val>
          </value>
          <value t="str">
            <val>-39.17</val>
          </value>
          <value t="str">
            <val>+3.67</val>
          </value>
          <value t="str">
            <val>-4.78</val>
          </value>
          <value>
            <val>8</val>
          </value>
          <value>
            <val>0</val>
          </value>
        </values>
      </ddeItem>
      <ddeItem name="246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-6</val>
          </value>
          <value t="str">
            <val>2022/09/08</val>
          </value>
          <value t="str">
            <val>0.30</val>
          </value>
          <value>
            <val>9.3000000000000007</val>
          </value>
          <value t="str">
            <val>1.48</val>
          </value>
          <value t="str">
            <val>0.44</val>
          </value>
          <value t="str">
            <val>光群雷</val>
          </value>
          <value t="str">
            <val>上市其他電子</val>
          </value>
          <value t="str">
            <val>是全球第一大雷射全像材料整合供應商</val>
          </value>
        </values>
      </ddeItem>
      <ddeItem name="2461.TW-CName,InvestorConferenceDate,DateofMeetingofShareHolders,TradingDate" advise="1">
        <values cols="4">
          <value t="str">
            <val>光群雷</val>
          </value>
          <value t="str">
            <val>2022/11/10</val>
          </value>
          <value t="str">
            <val>2022/05/27</val>
          </value>
          <value t="str">
            <val>2022/12/22</val>
          </value>
        </values>
      </ddeItem>
      <ddeItem name="2461.TW-ID,Name,MarketValue,Capital,NetIncomeGrowthRate,OperIncomeGrowthRate,FinancialStatementsTime,TFXRatio,MonthlyNetSalesYoY,RevenueMonth" advise="1">
        <values cols="10">
          <value t="str">
            <val>2461</val>
          </value>
          <value t="str">
            <val>光群雷</val>
          </value>
          <value t="str">
            <val>30.5</val>
          </value>
          <value t="str">
            <val>16.38</val>
          </value>
          <value t="str">
            <val>-71.86</val>
          </value>
          <value t="str">
            <val>-95.49</val>
          </value>
          <value t="str">
            <val>2022/09</val>
          </value>
          <value t="str">
            <val>6.75</val>
          </value>
          <value t="str">
            <val>-3.62</val>
          </value>
          <value t="str">
            <val>2022/11</val>
          </value>
        </values>
      </ddeItem>
      <ddeItem name="2461.TW-OperatingProfitRatio,Price,PriceChangeRatio,InOutRatioNumber,Value,YearReturn,MonthReturn,WeekReturn,FinanceBalanceDif,ChipsField2" advise="1">
        <values cols="10">
          <value t="str">
            <val>0.21</val>
          </value>
          <value>
            <val>18.600000000000001</val>
          </value>
          <value>
            <val>1.0900000000000001</val>
          </value>
          <value t="str">
            <val>80.98%</val>
          </value>
          <value t="str">
            <val>341萬</val>
          </value>
          <value t="str">
            <val>-11.21</val>
          </value>
          <value t="str">
            <val>-0.27</val>
          </value>
          <value t="str">
            <val>-1.06</val>
          </value>
          <value>
            <val>15</val>
          </value>
          <value>
            <val>0</val>
          </value>
        </values>
      </ddeItem>
      <ddeItem name="246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87</val>
          </value>
          <value t="str">
            <val>2022/07/14</val>
          </value>
          <value t="str">
            <val>0.60</val>
          </value>
          <value>
            <val>2.04</val>
          </value>
          <value t="str">
            <val>0.70</val>
          </value>
          <value t="str">
            <val>0.54</val>
          </value>
          <value t="str">
            <val>良得電</val>
          </value>
          <value t="str">
            <val>上市電子零組件</val>
          </value>
          <value t="str">
            <val>台灣三大電源線供應商之一</val>
          </value>
        </values>
      </ddeItem>
      <ddeItem name="2462.TW-CName,InvestorConferenceDate,DateofMeetingofShareHolders,TradingDate" advise="1">
        <values cols="4">
          <value t="str">
            <val>良得電</val>
          </value>
          <value t="str">
            <val>2021/12/13</val>
          </value>
          <value t="str">
            <val>2022/06/17</val>
          </value>
          <value t="str">
            <val>2022/12/22</val>
          </value>
        </values>
      </ddeItem>
      <ddeItem name="2462.TW-ID,Name,MarketValue,Capital,NetIncomeGrowthRate,OperIncomeGrowthRate,FinancialStatementsTime,TFXRatio,MonthlyNetSalesYoY,RevenueMonth" advise="1">
        <values cols="10">
          <value t="str">
            <val>2462</val>
          </value>
          <value t="str">
            <val>良得電</val>
          </value>
          <value t="str">
            <val>33.5</val>
          </value>
          <value t="str">
            <val>14.19</val>
          </value>
          <value t="str">
            <val>-15.74</val>
          </value>
          <value t="str">
            <val>68.28</val>
          </value>
          <value t="str">
            <val>2022/09</val>
          </value>
          <value t="str">
            <val>9.57</val>
          </value>
          <value t="str">
            <val>-18.09</val>
          </value>
          <value t="str">
            <val>2022/11</val>
          </value>
        </values>
      </ddeItem>
      <ddeItem name="2462.TW-OperatingProfitRatio,Price,PriceChangeRatio,InOutRatioNumber,Value,YearReturn,MonthReturn,WeekReturn,FinanceBalanceDif,ChipsField2" advise="1">
        <values cols="10">
          <value t="str">
            <val>-0.92</val>
          </value>
          <value>
            <val>29.4</val>
          </value>
          <value>
            <val>1.91</val>
          </value>
          <value t="str">
            <val>65.13%</val>
          </value>
          <value t="str">
            <val>2037萬</val>
          </value>
          <value t="str">
            <val>+8.39</val>
          </value>
          <value t="str">
            <val>+16.44</val>
          </value>
          <value t="str">
            <val>+5.57</val>
          </value>
          <value>
            <val>-103</val>
          </value>
          <value>
            <val>0</val>
          </value>
        </values>
      </ddeItem>
      <ddeItem name="2464.TW-ChipsField3,ChipsField1,ChipsField25,CashAndStockDividend,CashDividendYieldRate,ProfitFourSeason,ProfitSingle,CName,ExchangeIndustry,CompanyPos" advise="1">
        <values cols="10">
          <value>
            <val>-7</val>
          </value>
          <value>
            <val>-29</val>
          </value>
          <value t="str">
            <val>2022/07/04</val>
          </value>
          <value t="str">
            <val>2.20</val>
          </value>
          <value>
            <val>5.75</val>
          </value>
          <value t="str">
            <val>3.04</val>
          </value>
          <value t="str">
            <val>0.71</val>
          </value>
          <value t="str">
            <val>盟立</val>
          </value>
          <value t="str">
            <val>上市其他電子</val>
          </value>
          <value t="str">
            <val>台灣工業自動化設備廠</val>
          </value>
        </values>
      </ddeItem>
      <ddeItem name="2464.TW-CName,InvestorConferenceDate,DateofMeetingofShareHolders,TradingDate" advise="1">
        <values cols="4">
          <value t="str">
            <val>盟立</val>
          </value>
          <value t="str">
            <val>2021/09/16</val>
          </value>
          <value t="str">
            <val>2022/06/09</val>
          </value>
          <value t="str">
            <val>2022/12/22</val>
          </value>
        </values>
      </ddeItem>
      <ddeItem name="2464.TW-ID,Name,MarketValue,Capital,NetIncomeGrowthRate,OperIncomeGrowthRate,FinancialStatementsTime,TFXRatio,MonthlyNetSalesYoY,RevenueMonth" advise="1">
        <values cols="10">
          <value t="str">
            <val>2464</val>
          </value>
          <value t="str">
            <val>盟立</val>
          </value>
          <value t="str">
            <val>74.8</val>
          </value>
          <value t="str">
            <val>19.55</val>
          </value>
          <value t="str">
            <val>16.87</val>
          </value>
          <value t="str">
            <val>-45.29</val>
          </value>
          <value t="str">
            <val>2022/09</val>
          </value>
          <value t="str">
            <val>-1.23</val>
          </value>
          <value t="str">
            <val>0.88</val>
          </value>
          <value t="str">
            <val>2022/11</val>
          </value>
        </values>
      </ddeItem>
      <ddeItem name="2464.TW-OperatingProfitRatio,Price,PriceChangeRatio,InOutRatioNumber,Value,YearReturn,MonthReturn,WeekReturn,FinanceBalanceDif,ChipsField2" advise="1">
        <values cols="10">
          <value t="str">
            <val>3.81</val>
          </value>
          <value>
            <val>38.25</val>
          </value>
          <value>
            <val>0.53</val>
          </value>
          <value t="str">
            <val>36.13%</val>
          </value>
          <value t="str">
            <val>455萬</val>
          </value>
          <value t="str">
            <val>-2.92</val>
          </value>
          <value t="str">
            <val>+2.00</val>
          </value>
          <value t="str">
            <val>-2.92</val>
          </value>
          <value>
            <val>5</val>
          </value>
          <value>
            <val>0</val>
          </value>
        </values>
      </ddeItem>
      <ddeItem name="246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-569</val>
          </value>
          <value t="str">
            <val>2022/09/01</val>
          </value>
          <value t="str">
            <val>2.00</val>
          </value>
          <value>
            <val>5.16</val>
          </value>
          <value t="str">
            <val>-0.47</val>
          </value>
          <value t="str">
            <val>-1.09</val>
          </value>
          <value t="str">
            <val>麗臺</val>
          </value>
          <value t="str">
            <val>上市電腦及週邊設備</val>
          </value>
          <value t="str">
            <val>台灣繪圖卡廠商</val>
          </value>
        </values>
      </ddeItem>
      <ddeItem name="2465.TW-CName,InvestorConferenceDate,DateofMeetingofShareHolders,TradingDate" advise="1">
        <values cols="4">
          <value t="str">
            <val>麗臺</val>
          </value>
          <value t="str">
            <val>2022/12/14</val>
          </value>
          <value t="str">
            <val>2022/06/08</val>
          </value>
          <value t="str">
            <val>2022/12/22</val>
          </value>
        </values>
      </ddeItem>
      <ddeItem name="2465.TW-ID,Name,MarketValue,Capital,NetIncomeGrowthRate,OperIncomeGrowthRate,FinancialStatementsTime,TFXRatio,MonthlyNetSalesYoY,RevenueMonth" advise="1">
        <values cols="10">
          <value t="str">
            <val>2465</val>
          </value>
          <value t="str">
            <val>麗臺</val>
          </value>
          <value t="str">
            <val>22.8</val>
          </value>
          <value t="str">
            <val>5.89</val>
          </value>
          <value t="str">
            <val>-129.76</val>
          </value>
          <value t="str">
            <val>-111.22</val>
          </value>
          <value t="str">
            <val>2022/09</val>
          </value>
          <value t="str">
            <val>51.71</val>
          </value>
          <value t="str">
            <val>-51.21</val>
          </value>
          <value t="str">
            <val>2022/11</val>
          </value>
        </values>
      </ddeItem>
      <ddeItem name="2465.TW-OperatingProfitRatio,Price,PriceChangeRatio,InOutRatioNumber,Value,YearReturn,MonthReturn,WeekReturn,FinanceBalanceDif,ChipsField2" advise="1">
        <values cols="10">
          <value t="str">
            <val>-1.18</val>
          </value>
          <value>
            <val>38.75</val>
          </value>
          <value>
            <val>0.52</val>
          </value>
          <value t="str">
            <val>36.10%</val>
          </value>
          <value t="str">
            <val>9311萬</val>
          </value>
          <value t="str">
            <val>-45.97</val>
          </value>
          <value t="str">
            <val>+3.06</val>
          </value>
          <value t="str">
            <val>-3.61</val>
          </value>
          <value>
            <val>75</val>
          </value>
          <value>
            <val>0</val>
          </value>
        </values>
      </ddeItem>
      <ddeItem name="2466.TW-ChipsField3,ChipsField1,ChipsField25,CashAndStockDividend,CashDividendYieldRate,ProfitFourSeason,ProfitSingle,CName,ExchangeIndustry,CompanyPos" advise="1">
        <values cols="10">
          <value>
            <val>-6</val>
          </value>
          <value>
            <val>13</val>
          </value>
          <value t="str">
            <val>--</val>
          </value>
          <value t="str">
            <val>0.40</val>
          </value>
          <value>
            <val>1.19</val>
          </value>
          <value t="str">
            <val>0.76</val>
          </value>
          <value t="str">
            <val>0.23</val>
          </value>
          <value t="str">
            <val>冠西電</val>
          </value>
          <value t="str">
            <val>上市光電</val>
          </value>
          <value t="str">
            <val>台灣光纖耦合器與繼電器製造商</val>
          </value>
        </values>
      </ddeItem>
      <ddeItem name="2466.TW-CName,InvestorConferenceDate,DateofMeetingofShareHolders,TradingDate" advise="1">
        <values cols="4">
          <value t="str">
            <val>冠西電</val>
          </value>
          <value t="str">
            <val>2022/12/12</val>
          </value>
          <value t="str">
            <val>2022/06/24</val>
          </value>
          <value t="str">
            <val>2022/12/22</val>
          </value>
        </values>
      </ddeItem>
      <ddeItem name="2466.TW-ID,Name,MarketValue,Capital,NetIncomeGrowthRate,OperIncomeGrowthRate,FinancialStatementsTime,TFXRatio,MonthlyNetSalesYoY,RevenueMonth" advise="1">
        <values cols="10">
          <value t="str">
            <val>2466</val>
          </value>
          <value t="str">
            <val>冠西電</val>
          </value>
          <value t="str">
            <val>56.6</val>
          </value>
          <value t="str">
            <val>16.81</val>
          </value>
          <value t="str">
            <val>335.11</val>
          </value>
          <value t="str">
            <val>79.83</val>
          </value>
          <value t="str">
            <val>2022/09</val>
          </value>
          <value t="str">
            <val>-16.88</val>
          </value>
          <value t="str">
            <val>-3.61</val>
          </value>
          <value t="str">
            <val>2022/11</val>
          </value>
        </values>
      </ddeItem>
      <ddeItem name="2466.TW-OperatingProfitRatio,Price,PriceChangeRatio,InOutRatioNumber,Value,YearReturn,MonthReturn,WeekReturn,FinanceBalanceDif,ChipsField2" advise="1">
        <values cols="10">
          <value t="str">
            <val>6.93</val>
          </value>
          <value>
            <val>33.700000000000003</val>
          </value>
          <value>
            <val>4.66</val>
          </value>
          <value t="str">
            <val>87.88%</val>
          </value>
          <value t="str">
            <val>220萬</val>
          </value>
          <value t="str">
            <val>-1.69</val>
          </value>
          <value t="str">
            <val>+1.30</val>
          </value>
          <value t="str">
            <val>+2.12</val>
          </value>
          <value>
            <val>-8</val>
          </value>
          <value>
            <val>0</val>
          </value>
        </values>
      </ddeItem>
      <ddeItem name="2467.TW-ChipsField3,ChipsField1,ChipsField25,CashAndStockDividend,CashDividendYieldRate,ProfitFourSeason,ProfitSingle,CName,ExchangeIndustry,CompanyPos" advise="1">
        <values cols="10">
          <value>
            <val>-7</val>
          </value>
          <value>
            <val>9</val>
          </value>
          <value t="str">
            <val>2022/07/07</val>
          </value>
          <value t="str">
            <val>3.30</val>
          </value>
          <value>
            <val>7.56</val>
          </value>
          <value t="str">
            <val>4.86</val>
          </value>
          <value t="str">
            <val>1.44</val>
          </value>
          <value t="str">
            <val>志聖</val>
          </value>
          <value t="str">
            <val>上市電子零組件</val>
          </value>
          <value t="str">
            <val>全球知名紫外線立體照射機製造商</val>
          </value>
        </values>
      </ddeItem>
      <ddeItem name="2467.TW-CName,InvestorConferenceDate,DateofMeetingofShareHolders,TradingDate" advise="1">
        <values cols="4">
          <value t="str">
            <val>志聖</val>
          </value>
          <value t="str">
            <val>2022/11/03</val>
          </value>
          <value t="str">
            <val>2022/06/09</val>
          </value>
          <value t="str">
            <val>2022/12/22</val>
          </value>
        </values>
      </ddeItem>
      <ddeItem name="2467.TW-ID,Name,MarketValue,Capital,NetIncomeGrowthRate,OperIncomeGrowthRate,FinancialStatementsTime,TFXRatio,MonthlyNetSalesYoY,RevenueMonth" advise="1">
        <values cols="10">
          <value t="str">
            <val>2467</val>
          </value>
          <value t="str">
            <val>志聖</val>
          </value>
          <value t="str">
            <val>68.4</val>
          </value>
          <value t="str">
            <val>15.68</val>
          </value>
          <value t="str">
            <val>15.81</val>
          </value>
          <value t="str">
            <val>-4.06</val>
          </value>
          <value t="str">
            <val>2022/09</val>
          </value>
          <value t="str">
            <val>-10.99</val>
          </value>
          <value t="str">
            <val>-22.25</val>
          </value>
          <value t="str">
            <val>2022/11</val>
          </value>
        </values>
      </ddeItem>
      <ddeItem name="2467.TW-OperatingProfitRatio,Price,PriceChangeRatio,InOutRatioNumber,Value,YearReturn,MonthReturn,WeekReturn,FinanceBalanceDif,ChipsField2" advise="1">
        <values cols="10">
          <value t="str">
            <val>12.81</val>
          </value>
          <value>
            <val>43.65</val>
          </value>
          <value>
            <val>1.04</val>
          </value>
          <value t="str">
            <val>21.95%</val>
          </value>
          <value t="str">
            <val>178萬</val>
          </value>
          <value t="str">
            <val>-2.04</val>
          </value>
          <value t="str">
            <val>-3.43</val>
          </value>
          <value t="str">
            <val>-0.46</val>
          </value>
          <value>
            <val>0</val>
          </value>
          <value>
            <val>0</val>
          </value>
        </values>
      </ddeItem>
      <ddeItem name="246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183</val>
          </value>
          <value t="str">
            <val>2022/09/06</val>
          </value>
          <value t="str">
            <val>0.40</val>
          </value>
          <value>
            <val>1.5</val>
          </value>
          <value t="str">
            <val>0.84</val>
          </value>
          <value t="str">
            <val>0.19</val>
          </value>
          <value t="str">
            <val>華經</val>
          </value>
          <value t="str">
            <val>上市資訊服務</val>
          </value>
          <value t="str">
            <val>以數位影像處理為主的系統整合商</val>
          </value>
        </values>
      </ddeItem>
      <ddeItem name="2468.TW-CName,InvestorConferenceDate,DateofMeetingofShareHolders,TradingDate" advise="1">
        <values cols="4">
          <value t="str">
            <val>華經</val>
          </value>
          <value t="str">
            <val>2022/05/27</val>
          </value>
          <value t="str">
            <val>2022/06/24</val>
          </value>
          <value t="str">
            <val>2022/12/22</val>
          </value>
        </values>
      </ddeItem>
      <ddeItem name="2468.TW-ID,Name,MarketValue,Capital,NetIncomeGrowthRate,OperIncomeGrowthRate,FinancialStatementsTime,TFXRatio,MonthlyNetSalesYoY,RevenueMonth" advise="1">
        <values cols="10">
          <value t="str">
            <val>2468</val>
          </value>
          <value t="str">
            <val>華經</val>
          </value>
          <value t="str">
            <val>18.6</val>
          </value>
          <value t="str">
            <val>7.00</val>
          </value>
          <value t="str">
            <val>42.71</val>
          </value>
          <value t="str">
            <val>6.38</val>
          </value>
          <value t="str">
            <val>2022/09</val>
          </value>
          <value t="str">
            <val>21.77</val>
          </value>
          <value t="str">
            <val>-1.32</val>
          </value>
          <value t="str">
            <val>2022/11</val>
          </value>
        </values>
      </ddeItem>
      <ddeItem name="2468.TW-OperatingProfitRatio,Price,PriceChangeRatio,InOutRatioNumber,Value,YearReturn,MonthReturn,WeekReturn,FinanceBalanceDif,ChipsField2" advise="1">
        <values cols="10">
          <value t="str">
            <val>2.50</val>
          </value>
          <value>
            <val>26.6</val>
          </value>
          <value>
            <val>-2.56</val>
          </value>
          <value t="str">
            <val>40.84%</val>
          </value>
          <value t="str">
            <val>8789萬</val>
          </value>
          <value t="str">
            <val>+99.64</val>
          </value>
          <value t="str">
            <val>-16.48</val>
          </value>
          <value t="str">
            <val>-5.67</val>
          </value>
          <value>
            <val>50</val>
          </value>
          <value>
            <val>0</val>
          </value>
        </values>
      </ddeItem>
      <ddeItem name="247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</val>
          </value>
          <value t="str">
            <val>2022/07/21</val>
          </value>
          <value t="str">
            <val>2.24</val>
          </value>
          <value>
            <val>8.31</val>
          </value>
          <value t="str">
            <val>3.41</val>
          </value>
          <value t="str">
            <val>1.02</val>
          </value>
          <value t="str">
            <val>資通</val>
          </value>
          <value t="str">
            <val>上市資訊服務</val>
          </value>
          <value t="str">
            <val>以金融業及製造業為主的系統整合廠商</val>
          </value>
        </values>
      </ddeItem>
      <ddeItem name="2471.TW-CName,InvestorConferenceDate,DateofMeetingofShareHolders,TradingDate" advise="1">
        <values cols="4">
          <value t="str">
            <val>資通</val>
          </value>
          <value t="str">
            <val>2022/09/16</val>
          </value>
          <value t="str">
            <val>2022/06/23</val>
          </value>
          <value t="str">
            <val>2022/12/22</val>
          </value>
        </values>
      </ddeItem>
      <ddeItem name="2471.TW-ID,Name,MarketValue,Capital,NetIncomeGrowthRate,OperIncomeGrowthRate,FinancialStatementsTime,TFXRatio,MonthlyNetSalesYoY,RevenueMonth" advise="1">
        <values cols="10">
          <value t="str">
            <val>2471</val>
          </value>
          <value t="str">
            <val>資通</val>
          </value>
          <value t="str">
            <val>12.7</val>
          </value>
          <value t="str">
            <val>4.73</val>
          </value>
          <value t="str">
            <val>79.78</val>
          </value>
          <value t="str">
            <val>1.26</val>
          </value>
          <value t="str">
            <val>2022/09</val>
          </value>
          <value t="str">
            <val>6.63</val>
          </value>
          <value t="str">
            <val>0.11</val>
          </value>
          <value t="str">
            <val>2022/11</val>
          </value>
        </values>
      </ddeItem>
      <ddeItem name="2471.TW-OperatingProfitRatio,Price,PriceChangeRatio,InOutRatioNumber,Value,YearReturn,MonthReturn,WeekReturn,FinanceBalanceDif,ChipsField2" advise="1">
        <values cols="10">
          <value t="str">
            <val>9.40</val>
          </value>
          <value>
            <val>26.95</val>
          </value>
          <value>
            <val>0.19</val>
          </value>
          <value t="str">
            <val>52.38%</val>
          </value>
          <value t="str">
            <val>113萬</val>
          </value>
          <value t="str">
            <val>+15.12</val>
          </value>
          <value t="str">
            <val>+2.08</val>
          </value>
          <value t="str">
            <val>-2.36</val>
          </value>
          <value>
            <val>-2</val>
          </value>
          <value>
            <val>0</val>
          </value>
        </values>
      </ddeItem>
      <ddeItem name="2472.TW-ChipsField3,ChipsField1,ChipsField25,CashAndStockDividend,CashDividendYieldRate,ProfitFourSeason,ProfitSingle,CName,ExchangeIndustry,CompanyPos" advise="1">
        <values cols="10">
          <value>
            <val>-14</val>
          </value>
          <value>
            <val>10</val>
          </value>
          <value t="str">
            <val>2022/08/02</val>
          </value>
          <value t="str">
            <val>3.20</val>
          </value>
          <value>
            <val>5.8</val>
          </value>
          <value t="str">
            <val>8.00</val>
          </value>
          <value t="str">
            <val>2.40</val>
          </value>
          <value t="str">
            <val>立隆電</val>
          </value>
          <value t="str">
            <val>上市電子零組件</val>
          </value>
          <value t="str">
            <val>台灣第一大鋁電解電容器廠</val>
          </value>
        </values>
      </ddeItem>
      <ddeItem name="2472.TW-CName,InvestorConferenceDate,DateofMeetingofShareHolders,TradingDate" advise="1">
        <values cols="4">
          <value t="str">
            <val>立隆電</val>
          </value>
          <value t="str">
            <val>2022/10/17</val>
          </value>
          <value t="str">
            <val>2022/06/29</val>
          </value>
          <value t="str">
            <val>2022/12/22</val>
          </value>
        </values>
      </ddeItem>
      <ddeItem name="2472.TW-ID,Name,MarketValue,Capital,NetIncomeGrowthRate,OperIncomeGrowthRate,FinancialStatementsTime,TFXRatio,MonthlyNetSalesYoY,RevenueMonth" advise="1">
        <values cols="10">
          <value t="str">
            <val>2472</val>
          </value>
          <value t="str">
            <val>立隆電</val>
          </value>
          <value t="str">
            <val>90.3</val>
          </value>
          <value t="str">
            <val>16.35</val>
          </value>
          <value t="str">
            <val>32.94</val>
          </value>
          <value t="str">
            <val>19.52</val>
          </value>
          <value t="str">
            <val>2022/09</val>
          </value>
          <value t="str">
            <val>2.27</val>
          </value>
          <value t="str">
            <val>-6.15</val>
          </value>
          <value t="str">
            <val>2022/11</val>
          </value>
        </values>
      </ddeItem>
      <ddeItem name="2472.TW-OperatingProfitRatio,Price,PriceChangeRatio,InOutRatioNumber,Value,YearReturn,MonthReturn,WeekReturn,FinanceBalanceDif,ChipsField2" advise="1">
        <values cols="10">
          <value t="str">
            <val>19.84</val>
          </value>
          <value>
            <val>55.2</val>
          </value>
          <value>
            <val>0</val>
          </value>
          <value t="str">
            <val>24.68%</val>
          </value>
          <value t="str">
            <val>433萬</val>
          </value>
          <value t="str">
            <val>-8.97</val>
          </value>
          <value t="str">
            <val>-0.90</val>
          </value>
          <value t="str">
            <val>-2.99</val>
          </value>
          <value>
            <val>-25</val>
          </value>
          <value>
            <val>0</val>
          </value>
        </values>
      </ddeItem>
      <ddeItem name="2474.TW-ChipsField3,ChipsField1,ChipsField25,CashAndStockDividend,CashDividendYieldRate,ProfitFourSeason,ProfitSingle,CName,ExchangeIndustry,CompanyPos" advise="1">
        <values cols="10">
          <value>
            <val>-308</val>
          </value>
          <value>
            <val>-3745</val>
          </value>
          <value t="str">
            <val>2022/09/05</val>
          </value>
          <value t="str">
            <val>10.21</val>
          </value>
          <value>
            <val>5.94</val>
          </value>
          <value t="str">
            <val>19.13</val>
          </value>
          <value t="str">
            <val>7.06</val>
          </value>
          <value t="str">
            <val>可成</val>
          </value>
          <value t="str">
            <val>上市其他電子</val>
          </value>
          <value t="str">
            <val>台灣知名的金屬機殼製造大廠</val>
          </value>
        </values>
      </ddeItem>
      <ddeItem name="2474.TW-CName,InvestorConferenceDate,DateofMeetingofShareHolders,TradingDate" advise="1">
        <values cols="4">
          <value t="str">
            <val>可成</val>
          </value>
          <value t="str">
            <val>2022/11/09</val>
          </value>
          <value t="str">
            <val>2022/05/27</val>
          </value>
          <value t="str">
            <val>2022/12/22</val>
          </value>
        </values>
      </ddeItem>
      <ddeItem name="2474.TW-ID,Name,MarketValue,Capital,NetIncomeGrowthRate,OperIncomeGrowthRate,FinancialStatementsTime,TFXRatio,MonthlyNetSalesYoY,RevenueMonth" advise="1">
        <values cols="10">
          <value t="str">
            <val>2474</val>
          </value>
          <value t="str">
            <val>可成</val>
          </value>
          <value t="str">
            <val>1228.9</val>
          </value>
          <value t="str">
            <val>71.45</val>
          </value>
          <value t="str">
            <val>103.02</val>
          </value>
          <value t="str">
            <val>-49.88</val>
          </value>
          <value t="str">
            <val>2022/09</val>
          </value>
          <value t="str">
            <val>-19.14</val>
          </value>
          <value t="str">
            <val>-17.64</val>
          </value>
          <value t="str">
            <val>2022/11</val>
          </value>
        </values>
      </ddeItem>
      <ddeItem name="2474.TW-OperatingProfitRatio,Price,PriceChangeRatio,InOutRatioNumber,Value,YearReturn,MonthReturn,WeekReturn,FinanceBalanceDif,ChipsField2" advise="1">
        <values cols="10">
          <value t="str">
            <val>17.06</val>
          </value>
          <value>
            <val>172</val>
          </value>
          <value>
            <val>2.99</val>
          </value>
          <value t="str">
            <val>62.93%</val>
          </value>
          <value t="str">
            <val>10.5億</val>
          </value>
          <value t="str">
            <val>+16.11</val>
          </value>
          <value t="str">
            <val>-5.49</val>
          </value>
          <value t="str">
            <val>-1.99</val>
          </value>
          <value>
            <val>79</val>
          </value>
          <value>
            <val>2976</val>
          </value>
        </values>
      </ddeItem>
      <ddeItem name="2476.TW-ChipsField3,ChipsField1,ChipsField25,CashAndStockDividend,CashDividendYieldRate,ProfitFourSeason,ProfitSingle,CName,ExchangeIndustry,CompanyPos" advise="1">
        <values cols="10">
          <value>
            <val>-6</val>
          </value>
          <value>
            <val>87</val>
          </value>
          <value t="str">
            <val>2022/08/11</val>
          </value>
          <value t="str">
            <val>2.08</val>
          </value>
          <value>
            <val>4.4400000000000004</val>
          </value>
          <value t="str">
            <val>4.48</val>
          </value>
          <value t="str">
            <val>1.65</val>
          </value>
          <value t="str">
            <val>鉅祥</val>
          </value>
          <value t="str">
            <val>上市電子零組件</val>
          </value>
          <value t="str">
            <val>台灣第一大金屬沖壓件廠商</val>
          </value>
        </values>
      </ddeItem>
      <ddeItem name="2476.TW-CName,InvestorConferenceDate,DateofMeetingofShareHolders,TradingDate" advise="1">
        <values cols="4">
          <value t="str">
            <val>鉅祥</val>
          </value>
          <value t="str">
            <val>2022/11/25</val>
          </value>
          <value t="str">
            <val>2022/06/10</val>
          </value>
          <value t="str">
            <val>2022/12/22</val>
          </value>
        </values>
      </ddeItem>
      <ddeItem name="2476.TW-ID,Name,MarketValue,Capital,NetIncomeGrowthRate,OperIncomeGrowthRate,FinancialStatementsTime,TFXRatio,MonthlyNetSalesYoY,RevenueMonth" advise="1">
        <values cols="10">
          <value t="str">
            <val>2476</val>
          </value>
          <value t="str">
            <val>鉅祥</val>
          </value>
          <value t="str">
            <val>88.9</val>
          </value>
          <value t="str">
            <val>18.98</val>
          </value>
          <value t="str">
            <val>33.60</val>
          </value>
          <value t="str">
            <val>3.31</val>
          </value>
          <value t="str">
            <val>2022/09</val>
          </value>
          <value t="str">
            <val>4.09</val>
          </value>
          <value t="str">
            <val>5.02</val>
          </value>
          <value t="str">
            <val>2022/11</val>
          </value>
        </values>
      </ddeItem>
      <ddeItem name="2476.TW-OperatingProfitRatio,Price,PriceChangeRatio,InOutRatioNumber,Value,YearReturn,MonthReturn,WeekReturn,FinanceBalanceDif,ChipsField2" advise="1">
        <values cols="10">
          <value t="str">
            <val>15.74</val>
          </value>
          <value>
            <val>46.85</val>
          </value>
          <value>
            <val>1.74</val>
          </value>
          <value t="str">
            <val>59.00%</val>
          </value>
          <value t="str">
            <val>2548萬</val>
          </value>
          <value t="str">
            <val>-24.80</val>
          </value>
          <value t="str">
            <val>+1.63</val>
          </value>
          <value t="str">
            <val>-4.19</val>
          </value>
          <value>
            <val>4</val>
          </value>
          <value>
            <val>0</val>
          </value>
        </values>
      </ddeItem>
      <ddeItem name="2477.TW-ChipsField3,ChipsField1,ChipsField25,CashAndStockDividend,CashDividendYieldRate,ProfitFourSeason,ProfitSingle,CName,ExchangeIndustry,CompanyPos" advise="1">
        <values cols="10">
          <value>
            <val>-7</val>
          </value>
          <value>
            <val>-2</val>
          </value>
          <value t="str">
            <val>2022/07/11</val>
          </value>
          <value t="str">
            <val>1.50</val>
          </value>
          <value>
            <val>7.59</val>
          </value>
          <value t="str">
            <val>0.64</val>
          </value>
          <value t="str">
            <val>0.68</val>
          </value>
          <value t="str">
            <val>美隆電</val>
          </value>
          <value t="str">
            <val>上市其他電子</val>
          </value>
          <value t="str">
            <val>台灣最大音箱及揚聲器製造廠之一</val>
          </value>
        </values>
      </ddeItem>
      <ddeItem name="2477.TW-CName,InvestorConferenceDate,DateofMeetingofShareHolders,TradingDate" advise="1">
        <values cols="4">
          <value t="str">
            <val>美隆電</val>
          </value>
          <value t="str">
            <val>2022/11/25</val>
          </value>
          <value t="str">
            <val>2022/06/23</val>
          </value>
          <value t="str">
            <val>2022/12/22</val>
          </value>
        </values>
      </ddeItem>
      <ddeItem name="2477.TW-ID,Name,MarketValue,Capital,NetIncomeGrowthRate,OperIncomeGrowthRate,FinancialStatementsTime,TFXRatio,MonthlyNetSalesYoY,RevenueMonth" advise="1">
        <values cols="10">
          <value t="str">
            <val>2477</val>
          </value>
          <value t="str">
            <val>美隆電</val>
          </value>
          <value t="str">
            <val>31.3</val>
          </value>
          <value t="str">
            <val>15.86</val>
          </value>
          <value t="str">
            <val>-93.42</val>
          </value>
          <value t="str">
            <val>132.37</val>
          </value>
          <value t="str">
            <val>2022/09</val>
          </value>
          <value t="str">
            <val>-17.64</val>
          </value>
          <value t="str">
            <val>-43.42</val>
          </value>
          <value t="str">
            <val>2022/11</val>
          </value>
        </values>
      </ddeItem>
      <ddeItem name="2477.TW-OperatingProfitRatio,Price,PriceChangeRatio,InOutRatioNumber,Value,YearReturn,MonthReturn,WeekReturn,FinanceBalanceDif,ChipsField2" advise="1">
        <values cols="10">
          <value t="str">
            <val>0.73</val>
          </value>
          <value>
            <val>19.75</val>
          </value>
          <value>
            <val>0.77</val>
          </value>
          <value t="str">
            <val>45.45%</val>
          </value>
          <value t="str">
            <val>43.3萬</val>
          </value>
          <value t="str">
            <val>-38.10</val>
          </value>
          <value t="str">
            <val>-6.39</val>
          </value>
          <value t="str">
            <val>-2.47</val>
          </value>
          <value>
            <val>5</val>
          </value>
          <value>
            <val>0</val>
          </value>
        </values>
      </ddeItem>
      <ddeItem name="2478.TW-ChipsField3,ChipsField1,ChipsField25,CashAndStockDividend,CashDividendYieldRate,ProfitFourSeason,ProfitSingle,CName,ExchangeIndustry,CompanyPos" advise="1">
        <values cols="10">
          <value>
            <val>-9</val>
          </value>
          <value>
            <val>-8</val>
          </value>
          <value t="str">
            <val>2022/06/30</val>
          </value>
          <value t="str">
            <val>4.00</val>
          </value>
          <value>
            <val>9.18</val>
          </value>
          <value t="str">
            <val>5.41</val>
          </value>
          <value t="str">
            <val>1.09</val>
          </value>
          <value t="str">
            <val>大毅</val>
          </value>
          <value t="str">
            <val>上市電子零組件</val>
          </value>
          <value t="str">
            <val>台灣知名晶片電阻製造商</val>
          </value>
        </values>
      </ddeItem>
      <ddeItem name="2478.TW-CName,InvestorConferenceDate,DateofMeetingofShareHolders,TradingDate" advise="1">
        <values cols="4">
          <value t="str">
            <val>大毅</val>
          </value>
          <value t="str">
            <val>2021/11/09</val>
          </value>
          <value t="str">
            <val>2022/06/09</val>
          </value>
          <value t="str">
            <val>2022/12/22</val>
          </value>
        </values>
      </ddeItem>
      <ddeItem name="2478.TW-ID,Name,MarketValue,Capital,NetIncomeGrowthRate,OperIncomeGrowthRate,FinancialStatementsTime,TFXRatio,MonthlyNetSalesYoY,RevenueMonth" advise="1">
        <values cols="10">
          <value t="str">
            <val>2478</val>
          </value>
          <value t="str">
            <val>大毅</val>
          </value>
          <value t="str">
            <val>63.0</val>
          </value>
          <value t="str">
            <val>14.47</val>
          </value>
          <value t="str">
            <val>-21.91</val>
          </value>
          <value t="str">
            <val>-49.34</val>
          </value>
          <value t="str">
            <val>2022/09</val>
          </value>
          <value t="str">
            <val>0.09</val>
          </value>
          <value t="str">
            <val>-22.66</val>
          </value>
          <value t="str">
            <val>2022/11</val>
          </value>
        </values>
      </ddeItem>
      <ddeItem name="2478.TW-OperatingProfitRatio,Price,PriceChangeRatio,InOutRatioNumber,Value,YearReturn,MonthReturn,WeekReturn,FinanceBalanceDif,ChipsField2" advise="1">
        <values cols="10">
          <value t="str">
            <val>12.16</val>
          </value>
          <value>
            <val>43.55</val>
          </value>
          <value>
            <val>1.52</val>
          </value>
          <value t="str">
            <val>46.67%</val>
          </value>
          <value t="str">
            <val>152萬</val>
          </value>
          <value t="str">
            <val>-25.98</val>
          </value>
          <value t="str">
            <val>-1.80</val>
          </value>
          <value t="str">
            <val>-4.29</val>
          </value>
          <value>
            <val>-11</val>
          </value>
          <value>
            <val>0</val>
          </value>
        </values>
      </ddeItem>
      <ddeItem name="2480.TW-ChipsField3,ChipsField1,ChipsField25,CashAndStockDividend,CashDividendYieldRate,ProfitFourSeason,ProfitSingle,CName,ExchangeIndustry,CompanyPos" advise="1">
        <values cols="10">
          <value>
            <val>-5</val>
          </value>
          <value>
            <val>-16</val>
          </value>
          <value t="str">
            <val>2022/06/23</val>
          </value>
          <value t="str">
            <val>5.62</val>
          </value>
          <value>
            <val>6.81</val>
          </value>
          <value t="str">
            <val>7.13</val>
          </value>
          <value t="str">
            <val>1.71</val>
          </value>
          <value t="str">
            <val>敦陽科</val>
          </value>
          <value t="str">
            <val>上市資訊服務</val>
          </value>
          <value t="str">
            <val>台灣最大系統整合服務商</val>
          </value>
        </values>
      </ddeItem>
      <ddeItem name="2480.TW-CName,InvestorConferenceDate,DateofMeetingofShareHolders,TradingDate" advise="1">
        <values cols="4">
          <value t="str">
            <val>敦陽科</val>
          </value>
          <value t="str">
            <val>2022/11/07</val>
          </value>
          <value t="str">
            <val>2022/05/27</val>
          </value>
          <value t="str">
            <val>2022/12/22</val>
          </value>
        </values>
      </ddeItem>
      <ddeItem name="2480.TW-ID,Name,MarketValue,Capital,NetIncomeGrowthRate,OperIncomeGrowthRate,FinancialStatementsTime,TFXRatio,MonthlyNetSalesYoY,RevenueMonth" advise="1">
        <values cols="10">
          <value t="str">
            <val>2480</val>
          </value>
          <value t="str">
            <val>敦陽科</val>
          </value>
          <value t="str">
            <val>87.7</val>
          </value>
          <value t="str">
            <val>10.64</val>
          </value>
          <value t="str">
            <val>28.83</val>
          </value>
          <value t="str">
            <val>16.43</val>
          </value>
          <value t="str">
            <val>2022/09</val>
          </value>
          <value t="str">
            <val>4.80</val>
          </value>
          <value t="str">
            <val>9.24</val>
          </value>
          <value t="str">
            <val>2022/11</val>
          </value>
        </values>
      </ddeItem>
      <ddeItem name="2480.TW-OperatingProfitRatio,Price,PriceChangeRatio,InOutRatioNumber,Value,YearReturn,MonthReturn,WeekReturn,FinanceBalanceDif,ChipsField2" advise="1">
        <values cols="10">
          <value t="str">
            <val>11.80</val>
          </value>
          <value>
            <val>82.5</val>
          </value>
          <value>
            <val>-0.12</val>
          </value>
          <value t="str">
            <val>50.00%</val>
          </value>
          <value t="str">
            <val>322萬</val>
          </value>
          <value t="str">
            <val>+21.12</val>
          </value>
          <value t="str">
            <val>+3.13</val>
          </value>
          <value t="str">
            <val>-0.60</val>
          </value>
          <value>
            <val>4</val>
          </value>
          <value>
            <val>0</val>
          </value>
        </values>
      </ddeItem>
      <ddeItem name="2481.TW-ChipsField3,ChipsField1,ChipsField25,CashAndStockDividend,CashDividendYieldRate,ProfitFourSeason,ProfitSingle,CName,ExchangeIndustry,CompanyPos" advise="1">
        <values cols="10">
          <value>
            <val>-62</val>
          </value>
          <value>
            <val>-404</val>
          </value>
          <value t="str">
            <val>2022/07/05</val>
          </value>
          <value t="str">
            <val>3.00</val>
          </value>
          <value>
            <val>4.95</val>
          </value>
          <value t="str">
            <val>5.53</val>
          </value>
          <value t="str">
            <val>1.11</val>
          </value>
          <value t="str">
            <val>強茂</val>
          </value>
          <value t="str">
            <val>上市半導體</val>
          </value>
          <value t="str">
            <val>亞洲最大小訊號整流二極體領導廠</val>
          </value>
        </values>
      </ddeItem>
      <ddeItem name="2481.TW-CName,InvestorConferenceDate,DateofMeetingofShareHolders,TradingDate" advise="1">
        <values cols="4">
          <value t="str">
            <val>強茂</val>
          </value>
          <value t="str">
            <val>2022/08/17</val>
          </value>
          <value t="str">
            <val>2022/06/14</val>
          </value>
          <value t="str">
            <val>2022/12/22</val>
          </value>
        </values>
      </ddeItem>
      <ddeItem name="2481.TW-ID,Name,MarketValue,Capital,NetIncomeGrowthRate,OperIncomeGrowthRate,FinancialStatementsTime,TFXRatio,MonthlyNetSalesYoY,RevenueMonth" advise="1">
        <values cols="10">
          <value t="str">
            <val>2481</val>
          </value>
          <value t="str">
            <val>強茂</val>
          </value>
          <value t="str">
            <val>232.0</val>
          </value>
          <value t="str">
            <val>38.28</val>
          </value>
          <value t="str">
            <val>8.12</val>
          </value>
          <value t="str">
            <val>-17.27</val>
          </value>
          <value t="str">
            <val>2022/09</val>
          </value>
          <value t="str">
            <val>-0.28</val>
          </value>
          <value t="str">
            <val>-18.01</val>
          </value>
          <value t="str">
            <val>2022/11</val>
          </value>
        </values>
      </ddeItem>
      <ddeItem name="2481.TW-OperatingProfitRatio,Price,PriceChangeRatio,InOutRatioNumber,Value,YearReturn,MonthReturn,WeekReturn,FinanceBalanceDif,ChipsField2" advise="1">
        <values cols="10">
          <value t="str">
            <val>13.71</val>
          </value>
          <value>
            <val>60.6</val>
          </value>
          <value>
            <val>0</val>
          </value>
          <value t="str">
            <val>42.82%</val>
          </value>
          <value t="str">
            <val>1.01億</val>
          </value>
          <value t="str">
            <val>-40.77</val>
          </value>
          <value t="str">
            <val>+0.50</val>
          </value>
          <value t="str">
            <val>-6.77</val>
          </value>
          <value>
            <val>10</val>
          </value>
          <value>
            <val>0</val>
          </value>
        </values>
      </ddeItem>
      <ddeItem name="248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159</val>
          </value>
          <value t="str">
            <val>--</val>
          </value>
          <value t="str">
            <val>0.00</val>
          </value>
          <value>
            <val>0</val>
          </value>
          <value t="str">
            <val>2.39</val>
          </value>
          <value t="str">
            <val>0.76</val>
          </value>
          <value t="str">
            <val>連宇</val>
          </value>
          <value t="str">
            <val>上市其他電子</val>
          </value>
          <value t="str">
            <val>台灣讀卡機等電子支付交易設備廠</val>
          </value>
        </values>
      </ddeItem>
      <ddeItem name="2482.TW-CName,InvestorConferenceDate,DateofMeetingofShareHolders,TradingDate" advise="1">
        <values cols="4">
          <value t="str">
            <val>連宇</val>
          </value>
          <value t="str">
            <val>--</val>
          </value>
          <value t="str">
            <val>2022/06/08</val>
          </value>
          <value t="str">
            <val>2022/12/22</val>
          </value>
        </values>
      </ddeItem>
      <ddeItem name="2482.TW-ID,Name,MarketValue,Capital,NetIncomeGrowthRate,OperIncomeGrowthRate,FinancialStatementsTime,TFXRatio,MonthlyNetSalesYoY,RevenueMonth" advise="1">
        <values cols="10">
          <value t="str">
            <val>2482</val>
          </value>
          <value t="str">
            <val>連宇</val>
          </value>
          <value t="str">
            <val>19.3</val>
          </value>
          <value t="str">
            <val>7.75</val>
          </value>
          <value t="str">
            <val>3220.30</val>
          </value>
          <value t="str">
            <val>1447.47</val>
          </value>
          <value t="str">
            <val>2022/09</val>
          </value>
          <value t="str">
            <val>9.81</val>
          </value>
          <value t="str">
            <val>205.57</val>
          </value>
          <value t="str">
            <val>2022/11</val>
          </value>
        </values>
      </ddeItem>
      <ddeItem name="2482.TW-OperatingProfitRatio,Price,PriceChangeRatio,InOutRatioNumber,Value,YearReturn,MonthReturn,WeekReturn,FinanceBalanceDif,ChipsField2" advise="1">
        <values cols="10">
          <value t="str">
            <val>10.71</val>
          </value>
          <value>
            <val>24.9</val>
          </value>
          <value>
            <val>-1.58</val>
          </value>
          <value t="str">
            <val>18.49%</val>
          </value>
          <value t="str">
            <val>3429萬</val>
          </value>
          <value t="str">
            <val>+51.83</val>
          </value>
          <value t="str">
            <val>+4.62</val>
          </value>
          <value t="str">
            <val>-6.74</val>
          </value>
          <value>
            <val>-4</val>
          </value>
          <value>
            <val>0</val>
          </value>
        </values>
      </ddeItem>
      <ddeItem name="2483.TW-ChipsField3,ChipsField1,ChipsField25,CashAndStockDividend,CashDividendYieldRate,ProfitFourSeason,ProfitSingle,CName,ExchangeIndustry,CompanyPos" advise="1">
        <values cols="10">
          <value>
            <val>-4</val>
          </value>
          <value>
            <val>20</val>
          </value>
          <value t="str">
            <val>2022/03/31</val>
          </value>
          <value t="str">
            <val>1.00</val>
          </value>
          <value>
            <val>4.12</val>
          </value>
          <value t="str">
            <val>1.66</val>
          </value>
          <value t="str">
            <val>0.42</val>
          </value>
          <value t="str">
            <val>百容</val>
          </value>
          <value t="str">
            <val>上市電子零組件</val>
          </value>
          <value t="str">
            <val>台灣程式開關最大供應商</val>
          </value>
        </values>
      </ddeItem>
      <ddeItem name="2483.TW-CName,InvestorConferenceDate,DateofMeetingofShareHolders,TradingDate" advise="1">
        <values cols="4">
          <value t="str">
            <val>百容</val>
          </value>
          <value t="str">
            <val>2022/11/04</val>
          </value>
          <value t="str">
            <val>2022/05/31</val>
          </value>
          <value t="str">
            <val>2022/12/22</val>
          </value>
        </values>
      </ddeItem>
      <ddeItem name="2483.TW-ID,Name,MarketValue,Capital,NetIncomeGrowthRate,OperIncomeGrowthRate,FinancialStatementsTime,TFXRatio,MonthlyNetSalesYoY,RevenueMonth" advise="1">
        <values cols="10">
          <value t="str">
            <val>2483</val>
          </value>
          <value t="str">
            <val>百容</val>
          </value>
          <value t="str">
            <val>26.5</val>
          </value>
          <value t="str">
            <val>10.91</val>
          </value>
          <value t="str">
            <val>20.23</val>
          </value>
          <value t="str">
            <val>1368.85</val>
          </value>
          <value t="str">
            <val>2022/09</val>
          </value>
          <value t="str">
            <val>-0.07</val>
          </value>
          <value t="str">
            <val>-11.86</val>
          </value>
          <value t="str">
            <val>2022/11</val>
          </value>
        </values>
      </ddeItem>
      <ddeItem name="2483.TW-OperatingProfitRatio,Price,PriceChangeRatio,InOutRatioNumber,Value,YearReturn,MonthReturn,WeekReturn,FinanceBalanceDif,ChipsField2" advise="1">
        <values cols="10">
          <value t="str">
            <val>5.75</val>
          </value>
          <value>
            <val>24.3</val>
          </value>
          <value>
            <val>0.83</val>
          </value>
          <value t="str">
            <val>36.14%</val>
          </value>
          <value t="str">
            <val>201萬</val>
          </value>
          <value t="str">
            <val>+4.27</val>
          </value>
          <value t="str">
            <val>+1.46</val>
          </value>
          <value t="str">
            <val>-3.19</val>
          </value>
          <value>
            <val>-11</val>
          </value>
          <value>
            <val>0</val>
          </value>
        </values>
      </ddeItem>
      <ddeItem name="2484.TW-ChipsField3,ChipsField1,ChipsField25,CashAndStockDividend,CashDividendYieldRate,ProfitFourSeason,ProfitSingle,CName,ExchangeIndustry,CompanyPos" advise="1">
        <values cols="10">
          <value>
            <val>-10</val>
          </value>
          <value>
            <val>-15</val>
          </value>
          <value t="str">
            <val>2022/08/30</val>
          </value>
          <value t="str">
            <val>1.50</val>
          </value>
          <value>
            <val>4.3899999999999997</val>
          </value>
          <value t="str">
            <val>4.97</val>
          </value>
          <value t="str">
            <val>1.72</val>
          </value>
          <value t="str">
            <val>希華</val>
          </value>
          <value t="str">
            <val>上市電子零組件</val>
          </value>
          <value t="str">
            <val>台灣石英元件大廠</val>
          </value>
        </values>
      </ddeItem>
      <ddeItem name="2484.TW-CName,InvestorConferenceDate,DateofMeetingofShareHolders,TradingDate" advise="1">
        <values cols="4">
          <value t="str">
            <val>希華</val>
          </value>
          <value t="str">
            <val>2022/12/20</val>
          </value>
          <value t="str">
            <val>2022/06/09</val>
          </value>
          <value t="str">
            <val>2022/12/22</val>
          </value>
        </values>
      </ddeItem>
      <ddeItem name="2484.TW-ID,Name,MarketValue,Capital,NetIncomeGrowthRate,OperIncomeGrowthRate,FinancialStatementsTime,TFXRatio,MonthlyNetSalesYoY,RevenueMonth" advise="1">
        <values cols="10">
          <value t="str">
            <val>2484</val>
          </value>
          <value t="str">
            <val>希華</val>
          </value>
          <value t="str">
            <val>54.4</val>
          </value>
          <value t="str">
            <val>15.94</val>
          </value>
          <value t="str">
            <val>131.98</val>
          </value>
          <value t="str">
            <val>75.69</val>
          </value>
          <value t="str">
            <val>2022/09</val>
          </value>
          <value t="str">
            <val>-5.02</val>
          </value>
          <value t="str">
            <val>-9.68</val>
          </value>
          <value t="str">
            <val>2022/11</val>
          </value>
        </values>
      </ddeItem>
      <ddeItem name="2484.TW-OperatingProfitRatio,Price,PriceChangeRatio,InOutRatioNumber,Value,YearReturn,MonthReturn,WeekReturn,FinanceBalanceDif,ChipsField2" advise="1">
        <values cols="10">
          <value t="str">
            <val>24.84</val>
          </value>
          <value>
            <val>34.15</val>
          </value>
          <value>
            <val>1.19</val>
          </value>
          <value t="str">
            <val>38.15%</val>
          </value>
          <value t="str">
            <val>2779萬</val>
          </value>
          <value t="str">
            <val>-11.07</val>
          </value>
          <value t="str">
            <val>-3.80</val>
          </value>
          <value t="str">
            <val>-7.95</val>
          </value>
          <value>
            <val>-685</val>
          </value>
          <value>
            <val>0</val>
          </value>
        </values>
      </ddeItem>
      <ddeItem name="2485.TW-ChipsField3,ChipsField1,ChipsField25,CashAndStockDividend,CashDividendYieldRate,ProfitFourSeason,ProfitSingle,CName,ExchangeIndustry,CompanyPos" advise="1">
        <values cols="10">
          <value>
            <val>-47</val>
          </value>
          <value>
            <val>-232</val>
          </value>
          <value t="str">
            <val>--</val>
          </value>
          <value t="str">
            <val>0.00</val>
          </value>
          <value>
            <val>0</val>
          </value>
          <value t="str">
            <val>-0.40</val>
          </value>
          <value t="str">
            <val>0.25</val>
          </value>
          <value t="str">
            <val>兆赫</val>
          </value>
          <value t="str">
            <val>上市通信網路</val>
          </value>
          <value t="str">
            <val>機上盒、LNB、有線電視傳輸設備製造商</val>
          </value>
        </values>
      </ddeItem>
      <ddeItem name="2485.TW-CName,InvestorConferenceDate,DateofMeetingofShareHolders,TradingDate" advise="1">
        <values cols="4">
          <value t="str">
            <val>兆赫</val>
          </value>
          <value t="str">
            <val>2021/12/21</val>
          </value>
          <value t="str">
            <val>2022/06/14</val>
          </value>
          <value t="str">
            <val>2022/12/22</val>
          </value>
        </values>
      </ddeItem>
      <ddeItem name="2485.TW-ID,Name,MarketValue,Capital,NetIncomeGrowthRate,OperIncomeGrowthRate,FinancialStatementsTime,TFXRatio,MonthlyNetSalesYoY,RevenueMonth" advise="1">
        <values cols="10">
          <value t="str">
            <val>2485</val>
          </value>
          <value t="str">
            <val>兆赫</val>
          </value>
          <value t="str">
            <val>54.6</val>
          </value>
          <value t="str">
            <val>31.77</val>
          </value>
          <value t="str">
            <val>77.13</val>
          </value>
          <value t="str">
            <val>18.60</val>
          </value>
          <value t="str">
            <val>2022/09</val>
          </value>
          <value t="str">
            <val>14.02</val>
          </value>
          <value t="str">
            <val>41.81</val>
          </value>
          <value t="str">
            <val>2022/11</val>
          </value>
        </values>
      </ddeItem>
      <ddeItem name="2485.TW-OperatingProfitRatio,Price,PriceChangeRatio,InOutRatioNumber,Value,YearReturn,MonthReturn,WeekReturn,FinanceBalanceDif,ChipsField2" advise="1">
        <values cols="10">
          <value t="str">
            <val>-5.90</val>
          </value>
          <value>
            <val>17.2</val>
          </value>
          <value>
            <val>0.57999999999999996</val>
          </value>
          <value t="str">
            <val>35.74%</val>
          </value>
          <value t="str">
            <val>1287萬</val>
          </value>
          <value t="str">
            <val>-19.81</val>
          </value>
          <value t="str">
            <val>-1.15</val>
          </value>
          <value t="str">
            <val>-8.99</val>
          </value>
          <value>
            <val>244</val>
          </value>
          <value>
            <val>0</val>
          </value>
        </values>
      </ddeItem>
      <ddeItem name="2486.TW-ChipsField3,ChipsField1,ChipsField25,CashAndStockDividend,CashDividendYieldRate,ProfitFourSeason,ProfitSingle,CName,ExchangeIndustry,CompanyPos" advise="1">
        <values cols="10">
          <value>
            <val>-20</val>
          </value>
          <value>
            <val>173</val>
          </value>
          <value t="str">
            <val>2022/06/02</val>
          </value>
          <value t="str">
            <val>0.50</val>
          </value>
          <value>
            <val>2.31</val>
          </value>
          <value t="str">
            <val>0.58</val>
          </value>
          <value t="str">
            <val>0.17</val>
          </value>
          <value t="str">
            <val>一詮</val>
          </value>
          <value t="str">
            <val>上市光電</val>
          </value>
          <value t="str">
            <val>台灣最大LED導線架生產商</val>
          </value>
        </values>
      </ddeItem>
      <ddeItem name="2486.TW-CName,InvestorConferenceDate,DateofMeetingofShareHolders,TradingDate" advise="1">
        <values cols="4">
          <value t="str">
            <val>一詮</val>
          </value>
          <value t="str">
            <val>2022/12/06</val>
          </value>
          <value t="str">
            <val>2022/06/01</val>
          </value>
          <value t="str">
            <val>2022/12/22</val>
          </value>
        </values>
      </ddeItem>
      <ddeItem name="2486.TW-ID,Name,MarketValue,Capital,NetIncomeGrowthRate,OperIncomeGrowthRate,FinancialStatementsTime,TFXRatio,MonthlyNetSalesYoY,RevenueMonth" advise="1">
        <values cols="10">
          <value t="str">
            <val>2486</val>
          </value>
          <value t="str">
            <val>一詮</val>
          </value>
          <value t="str">
            <val>47.9</val>
          </value>
          <value t="str">
            <val>22.20</val>
          </value>
          <value t="str">
            <val>-71.95</val>
          </value>
          <value t="str">
            <val>-106.07</val>
          </value>
          <value t="str">
            <val>2022/09</val>
          </value>
          <value t="str">
            <val>6.76</val>
          </value>
          <value t="str">
            <val>-17.50</val>
          </value>
          <value t="str">
            <val>2022/11</val>
          </value>
        </values>
      </ddeItem>
      <ddeItem name="2486.TW-OperatingProfitRatio,Price,PriceChangeRatio,InOutRatioNumber,Value,YearReturn,MonthReturn,WeekReturn,FinanceBalanceDif,ChipsField2" advise="1">
        <values cols="10">
          <value t="str">
            <val>-0.66</val>
          </value>
          <value>
            <val>21.6</val>
          </value>
          <value>
            <val>0.47</val>
          </value>
          <value t="str">
            <val>39.28%</val>
          </value>
          <value t="str">
            <val>4428萬</val>
          </value>
          <value t="str">
            <val>-57.51</val>
          </value>
          <value t="str">
            <val>+14.89</val>
          </value>
          <value t="str">
            <val>-11.48</val>
          </value>
          <value>
            <val>-241</val>
          </value>
          <value>
            <val>0</val>
          </value>
        </values>
      </ddeItem>
      <ddeItem name="2488.TW-ChipsField3,ChipsField1,ChipsField25,CashAndStockDividend,CashDividendYieldRate,ProfitFourSeason,ProfitSingle,CName,ExchangeIndustry,CompanyPos" advise="1">
        <values cols="10">
          <value>
            <val>-2</val>
          </value>
          <value>
            <val>-4</val>
          </value>
          <value t="str">
            <val>2022/09/21</val>
          </value>
          <value t="str">
            <val>1.20</val>
          </value>
          <value>
            <val>4.1500000000000004</val>
          </value>
          <value t="str">
            <val>3.66</val>
          </value>
          <value t="str">
            <val>1.79</val>
          </value>
          <value t="str">
            <val>漢平</val>
          </value>
          <value t="str">
            <val>上市其他電子</val>
          </value>
          <value t="str">
            <val>台灣娛樂音訊產品ODM製造商</val>
          </value>
        </values>
      </ddeItem>
      <ddeItem name="2488.TW-CName,InvestorConferenceDate,DateofMeetingofShareHolders,TradingDate" advise="1">
        <values cols="4">
          <value t="str">
            <val>漢平</val>
          </value>
          <value t="str">
            <val>2022/02/25</val>
          </value>
          <value t="str">
            <val>2022/06/24</val>
          </value>
          <value t="str">
            <val>2022/12/22</val>
          </value>
        </values>
      </ddeItem>
      <ddeItem name="2488.TW-ID,Name,MarketValue,Capital,NetIncomeGrowthRate,OperIncomeGrowthRate,FinancialStatementsTime,TFXRatio,MonthlyNetSalesYoY,RevenueMonth" advise="1">
        <values cols="10">
          <value t="str">
            <val>2488</val>
          </value>
          <value t="str">
            <val>漢平</val>
          </value>
          <value t="str">
            <val>23.2</val>
          </value>
          <value t="str">
            <val>8.00</val>
          </value>
          <value t="str">
            <val>152.96</val>
          </value>
          <value t="str">
            <val>156.93</val>
          </value>
          <value t="str">
            <val>2022/09</val>
          </value>
          <value t="str">
            <val>2.32</val>
          </value>
          <value t="str">
            <val>9.68</val>
          </value>
          <value t="str">
            <val>2022/11</val>
          </value>
        </values>
      </ddeItem>
      <ddeItem name="2488.TW-OperatingProfitRatio,Price,PriceChangeRatio,InOutRatioNumber,Value,YearReturn,MonthReturn,WeekReturn,FinanceBalanceDif,ChipsField2" advise="1">
        <values cols="10">
          <value t="str">
            <val>9.93</val>
          </value>
          <value>
            <val>28.95</val>
          </value>
          <value>
            <val>0.35</val>
          </value>
          <value t="str">
            <val>60.87%</val>
          </value>
          <value t="str">
            <val>139萬</val>
          </value>
          <value t="str">
            <val>+11.60</val>
          </value>
          <value t="str">
            <val>-0.69</val>
          </value>
          <value t="str">
            <val>-1.03</val>
          </value>
          <value>
            <val>27</val>
          </value>
          <value>
            <val>0</val>
          </value>
        </values>
      </ddeItem>
      <ddeItem name="2489.TW-ChipsField3,ChipsField1,ChipsField25,CashAndStockDividend,CashDividendYieldRate,ProfitFourSeason,ProfitSingle,CName,ExchangeIndustry,CompanyPos" advise="1">
        <values cols="10">
          <value>
            <val>-2</val>
          </value>
          <value>
            <val>-129</val>
          </value>
          <value t="str">
            <val>2022/09/01</val>
          </value>
          <value t="str">
            <val>1.25</val>
          </value>
          <value>
            <val>12.72</val>
          </value>
          <value t="str">
            <val>-3.69</val>
          </value>
          <value t="str">
            <val>1.29</val>
          </value>
          <value t="str">
            <val>瑞軒</val>
          </value>
          <value t="str">
            <val>上市光電</val>
          </value>
          <value t="str">
            <val>Vizio及JVC電視雙品牌暨代工廠</val>
          </value>
        </values>
      </ddeItem>
      <ddeItem name="2489.TW-CName,InvestorConferenceDate,DateofMeetingofShareHolders,TradingDate" advise="1">
        <values cols="4">
          <value t="str">
            <val>瑞軒</val>
          </value>
          <value t="str">
            <val>2022/12/15</val>
          </value>
          <value t="str">
            <val>2022/06/14</val>
          </value>
          <value t="str">
            <val>2022/12/22</val>
          </value>
        </values>
      </ddeItem>
      <ddeItem name="2489.TW-ID,Name,MarketValue,Capital,NetIncomeGrowthRate,OperIncomeGrowthRate,FinancialStatementsTime,TFXRatio,MonthlyNetSalesYoY,RevenueMonth" advise="1">
        <values cols="10">
          <value t="str">
            <val>2489</val>
          </value>
          <value t="str">
            <val>瑞軒</val>
          </value>
          <value t="str">
            <val>78.4</val>
          </value>
          <value t="str">
            <val>79.80</val>
          </value>
          <value t="str">
            <val>-141.94</val>
          </value>
          <value t="str">
            <val>87.54</val>
          </value>
          <value t="str">
            <val>2022/09</val>
          </value>
          <value t="str">
            <val>-2.38</val>
          </value>
          <value t="str">
            <val>-32.81</val>
          </value>
          <value t="str">
            <val>2022/11</val>
          </value>
        </values>
      </ddeItem>
      <ddeItem name="2489.TW-OperatingProfitRatio,Price,PriceChangeRatio,InOutRatioNumber,Value,YearReturn,MonthReturn,WeekReturn,FinanceBalanceDif,ChipsField2" advise="1">
        <values cols="10">
          <value t="str">
            <val>-0.42</val>
          </value>
          <value>
            <val>9.83</val>
          </value>
          <value>
            <val>1.1299999999999999</val>
          </value>
          <value t="str">
            <val>54.93%</val>
          </value>
          <value t="str">
            <val>721萬</val>
          </value>
          <value t="str">
            <val>-36.26</val>
          </value>
          <value t="str">
            <val>-1.70</val>
          </value>
          <value t="str">
            <val>+0.72</val>
          </value>
          <value>
            <val>76</val>
          </value>
          <value>
            <val>0</val>
          </value>
        </values>
      </ddeItem>
      <ddeItem name="249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2022/07/19</val>
          </value>
          <value t="str">
            <val>0.10</val>
          </value>
          <value>
            <val>0.84</val>
          </value>
          <value t="str">
            <val>-4.20</val>
          </value>
          <value t="str">
            <val>-1.35</val>
          </value>
          <value t="str">
            <val>吉祥全</val>
          </value>
          <value t="str">
            <val>上市光電</val>
          </value>
          <value t="str">
            <val>轉型以LED照明為主業</val>
          </value>
        </values>
      </ddeItem>
      <ddeItem name="2491.TW-CName,InvestorConferenceDate,DateofMeetingofShareHolders,TradingDate" advise="1">
        <values cols="4">
          <value t="str">
            <val>吉祥全</val>
          </value>
          <value t="str">
            <val>2022/11/04</val>
          </value>
          <value t="str">
            <val>2022/06/17</val>
          </value>
          <value t="str">
            <val>2022/12/22</val>
          </value>
        </values>
      </ddeItem>
      <ddeItem name="2491.TW-ID,Name,MarketValue,Capital,NetIncomeGrowthRate,OperIncomeGrowthRate,FinancialStatementsTime,TFXRatio,MonthlyNetSalesYoY,RevenueMonth" advise="1">
        <values cols="10">
          <value t="str">
            <val>2491</val>
          </value>
          <value t="str">
            <val>吉祥全</val>
          </value>
          <value t="str">
            <val>9.7</val>
          </value>
          <value t="str">
            <val>8.20</val>
          </value>
          <value t="str">
            <val>-3564.78</val>
          </value>
          <value t="str">
            <val>-1002.61</val>
          </value>
          <value t="str">
            <val>2022/09</val>
          </value>
          <value t="str">
            <val>225.55</val>
          </value>
          <value t="str">
            <val>-33.22</val>
          </value>
          <value t="str">
            <val>2022/11</val>
          </value>
        </values>
      </ddeItem>
      <ddeItem name="2491.TW-OperatingProfitRatio,Price,PriceChangeRatio,InOutRatioNumber,Value,YearReturn,MonthReturn,WeekReturn,FinanceBalanceDif,ChipsField2" advise="1">
        <values cols="10">
          <value t="str">
            <val>-233.68</val>
          </value>
          <value>
            <val>11.85</val>
          </value>
          <value>
            <val>0.42</val>
          </value>
          <value t="str">
            <val>7.32%</val>
          </value>
          <value t="str">
            <val>340萬</val>
          </value>
          <value t="str">
            <val>-42.44</val>
          </value>
          <value t="str">
            <val>-7.06</val>
          </value>
          <value t="str">
            <val>-5.58</val>
          </value>
          <value>
            <val>-3</val>
          </value>
          <value>
            <val>0</val>
          </value>
        </values>
      </ddeItem>
      <ddeItem name="2492.TW-ChipsField3,ChipsField1,ChipsField25,CashAndStockDividend,CashDividendYieldRate,ProfitFourSeason,ProfitSingle,CName,ExchangeIndustry,CompanyPos" advise="1">
        <values cols="10">
          <value>
            <val>-71</val>
          </value>
          <value>
            <val>76</val>
          </value>
          <value t="str">
            <val>2022/08/10</val>
          </value>
          <value t="str">
            <val>4.51</val>
          </value>
          <value>
            <val>5.65</val>
          </value>
          <value t="str">
            <val>6.36</val>
          </value>
          <value t="str">
            <val>1.05</val>
          </value>
          <value t="str">
            <val>華新科</val>
          </value>
          <value t="str">
            <val>上市電子零組件</val>
          </value>
          <value t="str">
            <val>全球前五大MLCC廠</val>
          </value>
        </values>
      </ddeItem>
      <ddeItem name="2492.TW-CName,InvestorConferenceDate,DateofMeetingofShareHolders,TradingDate" advise="1">
        <values cols="4">
          <value t="str">
            <val>華新科</val>
          </value>
          <value t="str">
            <val>2021/03/24</val>
          </value>
          <value t="str">
            <val>2022/06/15</val>
          </value>
          <value t="str">
            <val>2022/12/22</val>
          </value>
        </values>
      </ddeItem>
      <ddeItem name="2492.TW-ID,Name,MarketValue,Capital,NetIncomeGrowthRate,OperIncomeGrowthRate,FinancialStatementsTime,TFXRatio,MonthlyNetSalesYoY,RevenueMonth" advise="1">
        <values cols="10">
          <value t="str">
            <val>2492</val>
          </value>
          <value t="str">
            <val>華新科</val>
          </value>
          <value t="str">
            <val>387.7</val>
          </value>
          <value t="str">
            <val>48.58</val>
          </value>
          <value t="str">
            <val>-63.04</val>
          </value>
          <value t="str">
            <val>-72.17</val>
          </value>
          <value t="str">
            <val>2022/09</val>
          </value>
          <value t="str">
            <val>9.33</val>
          </value>
          <value t="str">
            <val>-16.13</val>
          </value>
          <value t="str">
            <val>2022/11</val>
          </value>
        </values>
      </ddeItem>
      <ddeItem name="2492.TW-OperatingProfitRatio,Price,PriceChangeRatio,InOutRatioNumber,Value,YearReturn,MonthReturn,WeekReturn,FinanceBalanceDif,ChipsField2" advise="1">
        <values cols="10">
          <value t="str">
            <val>7.60</val>
          </value>
          <value>
            <val>79.8</val>
          </value>
          <value>
            <val>2.97</val>
          </value>
          <value t="str">
            <val>51.16%</val>
          </value>
          <value t="str">
            <val>1.37億</val>
          </value>
          <value t="str">
            <val>-49.81</val>
          </value>
          <value t="str">
            <val>-6.34</val>
          </value>
          <value t="str">
            <val>-4.09</val>
          </value>
          <value>
            <val>61</val>
          </value>
          <value>
            <val>-610</val>
          </value>
        </values>
      </ddeItem>
      <ddeItem name="2493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-1</val>
          </value>
          <value t="str">
            <val>2022/07/12</val>
          </value>
          <value t="str">
            <val>2.75</val>
          </value>
          <value>
            <val>6.37</val>
          </value>
          <value t="str">
            <val>4.83</val>
          </value>
          <value t="str">
            <val>1.36</val>
          </value>
          <value t="str">
            <val>揚博</val>
          </value>
          <value t="str">
            <val>上市電子零組件</val>
          </value>
          <value t="str">
            <val>全球最大的PCB濕製程大廠</val>
          </value>
        </values>
      </ddeItem>
      <ddeItem name="2493.TW-CName,InvestorConferenceDate,DateofMeetingofShareHolders,TradingDate" advise="1">
        <values cols="4">
          <value t="str">
            <val>揚博</val>
          </value>
          <value t="str">
            <val>2022/09/16</val>
          </value>
          <value t="str">
            <val>2022/06/16</val>
          </value>
          <value t="str">
            <val>2022/12/22</val>
          </value>
        </values>
      </ddeItem>
      <ddeItem name="2493.TW-ID,Name,MarketValue,Capital,NetIncomeGrowthRate,OperIncomeGrowthRate,FinancialStatementsTime,TFXRatio,MonthlyNetSalesYoY,RevenueMonth" advise="1">
        <values cols="10">
          <value t="str">
            <val>2493</val>
          </value>
          <value t="str">
            <val>揚博</val>
          </value>
          <value t="str">
            <val>49.4</val>
          </value>
          <value t="str">
            <val>11.44</val>
          </value>
          <value t="str">
            <val>90.31</val>
          </value>
          <value t="str">
            <val>79.79</val>
          </value>
          <value t="str">
            <val>2022/09</val>
          </value>
          <value t="str">
            <val>-4.23</val>
          </value>
          <value t="str">
            <val>-3.74</val>
          </value>
          <value t="str">
            <val>2022/11</val>
          </value>
        </values>
      </ddeItem>
      <ddeItem name="2493.TW-OperatingProfitRatio,Price,PriceChangeRatio,InOutRatioNumber,Value,YearReturn,MonthReturn,WeekReturn,FinanceBalanceDif,ChipsField2" advise="1">
        <values cols="10">
          <value t="str">
            <val>21.48</val>
          </value>
          <value>
            <val>43.15</val>
          </value>
          <value>
            <val>0</val>
          </value>
          <value t="str">
            <val>28.07%</val>
          </value>
          <value t="str">
            <val>246萬</val>
          </value>
          <value t="str">
            <val>+21.70</val>
          </value>
          <value t="str">
            <val>+2.62</val>
          </value>
          <value t="str">
            <val>-1.03</val>
          </value>
          <value>
            <val>-5</val>
          </value>
          <value>
            <val>0</val>
          </value>
        </values>
      </ddeItem>
      <ddeItem name="2495.TW-ChipsField3,ChipsField1,ChipsField25,CashAndStockDividend,CashDividendYieldRate,ProfitFourSeason,ProfitSingle,CName,ExchangeIndustry,CompanyPos" advise="1">
        <values cols="10">
          <value>
            <val>-81</val>
          </value>
          <value>
            <val>158</val>
          </value>
          <value t="str">
            <val>2022/08/01</val>
          </value>
          <value t="str">
            <val>0.40</val>
          </value>
          <value>
            <val>1.8</val>
          </value>
          <value t="str">
            <val>0.83</val>
          </value>
          <value t="str">
            <val>0.30</val>
          </value>
          <value t="str">
            <val>普安</val>
          </value>
          <value t="str">
            <val>上市電腦及週邊設備</val>
          </value>
          <value t="str">
            <val>全球前十大磁碟陣列及NAS系統供應商</val>
          </value>
        </values>
      </ddeItem>
      <ddeItem name="2495.TW-CName,InvestorConferenceDate,DateofMeetingofShareHolders,TradingDate" advise="1">
        <values cols="4">
          <value t="str">
            <val>普安</val>
          </value>
          <value t="str">
            <val>2022/11/16</val>
          </value>
          <value t="str">
            <val>2022/06/14</val>
          </value>
          <value t="str">
            <val>2022/12/22</val>
          </value>
        </values>
      </ddeItem>
      <ddeItem name="2495.TW-ID,Name,MarketValue,Capital,NetIncomeGrowthRate,OperIncomeGrowthRate,FinancialStatementsTime,TFXRatio,MonthlyNetSalesYoY,RevenueMonth" advise="1">
        <values cols="10">
          <value t="str">
            <val>2495</val>
          </value>
          <value t="str">
            <val>普安</val>
          </value>
          <value t="str">
            <val>60.9</val>
          </value>
          <value t="str">
            <val>27.36</val>
          </value>
          <value t="str">
            <val>130.77</val>
          </value>
          <value t="str">
            <val>1418.66</val>
          </value>
          <value t="str">
            <val>2022/09</val>
          </value>
          <value t="str">
            <val>7.39</val>
          </value>
          <value t="str">
            <val>33.99</val>
          </value>
          <value t="str">
            <val>2022/11</val>
          </value>
        </values>
      </ddeItem>
      <ddeItem name="2495.TW-OperatingProfitRatio,Price,PriceChangeRatio,InOutRatioNumber,Value,YearReturn,MonthReturn,WeekReturn,FinanceBalanceDif,ChipsField2" advise="1">
        <values cols="10">
          <value t="str">
            <val>11.50</val>
          </value>
          <value>
            <val>22.25</val>
          </value>
          <value>
            <val>2.06</val>
          </value>
          <value t="str">
            <val>52.60%</val>
          </value>
          <value t="str">
            <val>5079萬</val>
          </value>
          <value t="str">
            <val>+21.27</val>
          </value>
          <value t="str">
            <val>+10.70</val>
          </value>
          <value t="str">
            <val>-4.30</val>
          </value>
          <value>
            <val>66</val>
          </value>
          <value>
            <val>0</val>
          </value>
        </values>
      </ddeItem>
      <ddeItem name="249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-10</val>
          </value>
          <value t="str">
            <val>2022/06/24</val>
          </value>
          <value t="str">
            <val>3.00</val>
          </value>
          <value>
            <val>6.32</val>
          </value>
          <value t="str">
            <val>3.65</val>
          </value>
          <value t="str">
            <val>1.68</val>
          </value>
          <value t="str">
            <val>卓越</val>
          </value>
          <value t="str">
            <val>上市其他</val>
          </value>
          <value t="str">
            <val>為補教教育服務商，旗下擁有陳立補習班</val>
          </value>
        </values>
      </ddeItem>
      <ddeItem name="2496.TW-CName,InvestorConferenceDate,DateofMeetingofShareHolders,TradingDate" advise="1">
        <values cols="4">
          <value t="str">
            <val>卓越</val>
          </value>
          <value t="str">
            <val>2021/12/22</val>
          </value>
          <value t="str">
            <val>2022/06/09</val>
          </value>
          <value t="str">
            <val>2022/12/22</val>
          </value>
        </values>
      </ddeItem>
      <ddeItem name="2496.TW-ID,Name,MarketValue,Capital,NetIncomeGrowthRate,OperIncomeGrowthRate,FinancialStatementsTime,TFXRatio,MonthlyNetSalesYoY,RevenueMonth" advise="1">
        <values cols="10">
          <value t="str">
            <val>2496</val>
          </value>
          <value t="str">
            <val>卓越</val>
          </value>
          <value t="str">
            <val>9.1</val>
          </value>
          <value t="str">
            <val>1.91</val>
          </value>
          <value t="str">
            <val>26.75</val>
          </value>
          <value t="str">
            <val>41.06</val>
          </value>
          <value t="str">
            <val>2022/09</val>
          </value>
          <value t="str">
            <val>-5.21</val>
          </value>
          <value t="str">
            <val>4.58</val>
          </value>
          <value t="str">
            <val>2022/11</val>
          </value>
        </values>
      </ddeItem>
      <ddeItem name="2496.TW-OperatingProfitRatio,Price,PriceChangeRatio,InOutRatioNumber,Value,YearReturn,MonthReturn,WeekReturn,FinanceBalanceDif,ChipsField2" advise="1">
        <values cols="10">
          <value t="str">
            <val>13.87</val>
          </value>
          <value>
            <val>47.5</val>
          </value>
          <value>
            <val>1.06</val>
          </value>
          <value t="str">
            <val>88.00%</val>
          </value>
          <value t="str">
            <val>118萬</val>
          </value>
          <value t="str">
            <val>+2.37</val>
          </value>
          <value t="str">
            <val>+3.83</val>
          </value>
          <value t="str">
            <val>0.00</val>
          </value>
          <value>
            <val>-10</val>
          </value>
          <value>
            <val>0</val>
          </value>
        </values>
      </ddeItem>
      <ddeItem name="2497.TW-ChipsField3,ChipsField1,ChipsField25,CashAndStockDividend,CashDividendYieldRate,ProfitFourSeason,ProfitSingle,CName,ExchangeIndustry,CompanyPos" advise="1">
        <values cols="10">
          <value>
            <val>-2</val>
          </value>
          <value>
            <val>-320</val>
          </value>
          <value t="str">
            <val>--</val>
          </value>
          <value t="str">
            <val>0.00</val>
          </value>
          <value>
            <val>0</val>
          </value>
          <value t="str">
            <val>2.97</val>
          </value>
          <value t="str">
            <val>0.98</val>
          </value>
          <value t="str">
            <val>怡利電</val>
          </value>
          <value t="str">
            <val>上市汽車</val>
          </value>
          <value t="str">
            <val>國內車載影音主機大廠</val>
          </value>
        </values>
      </ddeItem>
      <ddeItem name="2497.TW-CName,InvestorConferenceDate,DateofMeetingofShareHolders,TradingDate" advise="1">
        <values cols="4">
          <value t="str">
            <val>怡利電</val>
          </value>
          <value t="str">
            <val>2022/11/09</val>
          </value>
          <value t="str">
            <val>2022/06/15</val>
          </value>
          <value t="str">
            <val>2022/12/22</val>
          </value>
        </values>
      </ddeItem>
      <ddeItem name="2497.TW-ID,Name,MarketValue,Capital,NetIncomeGrowthRate,OperIncomeGrowthRate,FinancialStatementsTime,TFXRatio,MonthlyNetSalesYoY,RevenueMonth" advise="1">
        <values cols="10">
          <value t="str">
            <val>2497</val>
          </value>
          <value t="str">
            <val>怡利電</val>
          </value>
          <value t="str">
            <val>90.3</val>
          </value>
          <value t="str">
            <val>12.28</val>
          </value>
          <value t="str">
            <val>3027.55</val>
          </value>
          <value t="str">
            <val>229.21</val>
          </value>
          <value t="str">
            <val>2022/09</val>
          </value>
          <value t="str">
            <val>26.02</val>
          </value>
          <value t="str">
            <val>42.20</val>
          </value>
          <value t="str">
            <val>2022/11</val>
          </value>
        </values>
      </ddeItem>
      <ddeItem name="2497.TW-OperatingProfitRatio,Price,PriceChangeRatio,InOutRatioNumber,Value,YearReturn,MonthReturn,WeekReturn,FinanceBalanceDif,ChipsField2" advise="1">
        <values cols="10">
          <value t="str">
            <val>7.18</val>
          </value>
          <value>
            <val>73.5</val>
          </value>
          <value>
            <val>1.94</val>
          </value>
          <value t="str">
            <val>51.46%</val>
          </value>
          <value t="str">
            <val>7959萬</val>
          </value>
          <value t="str">
            <val>-9.37</val>
          </value>
          <value t="str">
            <val>+0.14</val>
          </value>
          <value t="str">
            <val>-8.24</val>
          </value>
          <value>
            <val>-137</val>
          </value>
          <value>
            <val>0</val>
          </value>
        </values>
      </ddeItem>
      <ddeItem name="2498.TW-ChipsField3,ChipsField1,ChipsField25,CashAndStockDividend,CashDividendYieldRate,ProfitFourSeason,ProfitSingle,CName,ExchangeIndustry,CompanyPos" advise="1">
        <values cols="10">
          <value>
            <val>509</val>
          </value>
          <value>
            <val>-1201</val>
          </value>
          <value t="str">
            <val>--</val>
          </value>
          <value t="str">
            <val>0.00</val>
          </value>
          <value>
            <val>0</val>
          </value>
          <value t="str">
            <val>-3.91</val>
          </value>
          <value t="str">
            <val>-1.19</val>
          </value>
          <value t="str">
            <val>宏達電</val>
          </value>
          <value t="str">
            <val>上市通信網路</val>
          </value>
          <value t="str">
            <val>以HTC品牌行銷全球前十大智慧型手機廠商</val>
          </value>
        </values>
      </ddeItem>
      <ddeItem name="2498.TW-CName,InvestorConferenceDate,DateofMeetingofShareHolders,TradingDate" advise="1">
        <values cols="4">
          <value t="str">
            <val>宏達電</val>
          </value>
          <value t="str">
            <val>2021/03/10</val>
          </value>
          <value t="str">
            <val>2022/06/17</val>
          </value>
          <value t="str">
            <val>2022/12/22</val>
          </value>
        </values>
      </ddeItem>
      <ddeItem name="2498.TW-ID,Name,MarketValue,Capital,NetIncomeGrowthRate,OperIncomeGrowthRate,FinancialStatementsTime,TFXRatio,MonthlyNetSalesYoY,RevenueMonth" advise="1">
        <values cols="10">
          <value t="str">
            <val>2498</val>
          </value>
          <value t="str">
            <val>宏達電</val>
          </value>
          <value t="str">
            <val>458.5</val>
          </value>
          <value t="str">
            <val>82.76</val>
          </value>
          <value t="str">
            <val>-4.91</val>
          </value>
          <value t="str">
            <val>-2.80</val>
          </value>
          <value t="str">
            <val>2022/09</val>
          </value>
          <value t="str">
            <val>27.38</val>
          </value>
          <value t="str">
            <val>-15.89</val>
          </value>
          <value t="str">
            <val>2022/11</val>
          </value>
        </values>
      </ddeItem>
      <ddeItem name="2498.TW-OperatingProfitRatio,Price,PriceChangeRatio,InOutRatioNumber,Value,YearReturn,MonthReturn,WeekReturn,FinanceBalanceDif,ChipsField2" advise="1">
        <values cols="10">
          <value t="str">
            <val>-103.35</val>
          </value>
          <value>
            <val>55.4</val>
          </value>
          <value>
            <val>-0.72</val>
          </value>
          <value t="str">
            <val>46.14%</val>
          </value>
          <value t="str">
            <val>7.94億</val>
          </value>
          <value t="str">
            <val>-33.25</val>
          </value>
          <value t="str">
            <val>+4.92</val>
          </value>
          <value t="str">
            <val>-5.14</val>
          </value>
          <value>
            <val>65</val>
          </value>
          <value>
            <val>1</val>
          </value>
        </values>
      </ddeItem>
      <ddeItem name="2501.TW-ChipsField3,ChipsField1,ChipsField25,CashAndStockDividend,CashDividendYieldRate,ProfitFourSeason,ProfitSingle,CName,ExchangeIndustry,CompanyPos" advise="1">
        <values cols="10">
          <value>
            <val>-50</val>
          </value>
          <value>
            <val>-187</val>
          </value>
          <value t="str">
            <val>2022/07/14</val>
          </value>
          <value t="str">
            <val>0.60</val>
          </value>
          <value>
            <val>3.95</val>
          </value>
          <value t="str">
            <val>1.02</val>
          </value>
          <value t="str">
            <val>0.38</val>
          </value>
          <value t="str">
            <val>國建</val>
          </value>
          <value t="str">
            <val>上市建材營造</val>
          </value>
          <value t="str">
            <val>屬霖園集團之台灣老牌營建開發業者</val>
          </value>
        </values>
      </ddeItem>
      <ddeItem name="2501.TW-CName,InvestorConferenceDate,DateofMeetingofShareHolders,TradingDate" advise="1">
        <values cols="4">
          <value t="str">
            <val>國建</val>
          </value>
          <value t="str">
            <val>2022/11/21</val>
          </value>
          <value t="str">
            <val>2022/06/17</val>
          </value>
          <value t="str">
            <val>2022/12/22</val>
          </value>
        </values>
      </ddeItem>
      <ddeItem name="2501.TW-ID,Name,MarketValue,Capital,NetIncomeGrowthRate,OperIncomeGrowthRate,FinancialStatementsTime,TFXRatio,MonthlyNetSalesYoY,RevenueMonth" advise="1">
        <values cols="10">
          <value t="str">
            <val>2501</val>
          </value>
          <value t="str">
            <val>國建</val>
          </value>
          <value t="str">
            <val>176.3</val>
          </value>
          <value t="str">
            <val>115.96</val>
          </value>
          <value t="str">
            <val>182.25</val>
          </value>
          <value t="str">
            <val>201.60</val>
          </value>
          <value t="str">
            <val>2022/09</val>
          </value>
          <value t="str">
            <val>76.49</val>
          </value>
          <value t="str">
            <val>211.78</val>
          </value>
          <value t="str">
            <val>2022/11</val>
          </value>
        </values>
      </ddeItem>
      <ddeItem name="2501.TW-OperatingProfitRatio,Price,PriceChangeRatio,InOutRatioNumber,Value,YearReturn,MonthReturn,WeekReturn,FinanceBalanceDif,ChipsField2" advise="1">
        <values cols="10">
          <value t="str">
            <val>3.33</val>
          </value>
          <value>
            <val>15.2</val>
          </value>
          <value>
            <val>0.33</val>
          </value>
          <value t="str">
            <val>34.99%</val>
          </value>
          <value t="str">
            <val>1003萬</val>
          </value>
          <value t="str">
            <val>-17.25</val>
          </value>
          <value t="str">
            <val>+1.33</val>
          </value>
          <value t="str">
            <val>-3.80</val>
          </value>
          <value>
            <val>3</val>
          </value>
          <value>
            <val>0</val>
          </value>
        </values>
      </ddeItem>
      <ddeItem name="2504.TW-ChipsField3,ChipsField1,ChipsField25,CashAndStockDividend,CashDividendYieldRate,ProfitFourSeason,ProfitSingle,CName,ExchangeIndustry,CompanyPos" advise="1">
        <values cols="10">
          <value>
            <val>-61</val>
          </value>
          <value>
            <val>-5</val>
          </value>
          <value t="str">
            <val>2022/06/23</val>
          </value>
          <value t="str">
            <val>1.80</val>
          </value>
          <value>
            <val>7.24</val>
          </value>
          <value t="str">
            <val>3.61</val>
          </value>
          <value t="str">
            <val>0.57</val>
          </value>
          <value t="str">
            <val>國產</val>
          </value>
          <value t="str">
            <val>上市建材營造</val>
          </value>
          <value t="str">
            <val>台灣知名預拌混凝土大廠</val>
          </value>
        </values>
      </ddeItem>
      <ddeItem name="2504.TW-CName,InvestorConferenceDate,DateofMeetingofShareHolders,TradingDate" advise="1">
        <values cols="4">
          <value t="str">
            <val>國產</val>
          </value>
          <value t="str">
            <val>--</val>
          </value>
          <value t="str">
            <val>2022/05/31</val>
          </value>
          <value t="str">
            <val>2022/12/22</val>
          </value>
        </values>
      </ddeItem>
      <ddeItem name="2504.TW-ID,Name,MarketValue,Capital,NetIncomeGrowthRate,OperIncomeGrowthRate,FinancialStatementsTime,TFXRatio,MonthlyNetSalesYoY,RevenueMonth" advise="1">
        <values cols="10">
          <value t="str">
            <val>2504</val>
          </value>
          <value t="str">
            <val>國產</val>
          </value>
          <value t="str">
            <val>293.2</val>
          </value>
          <value t="str">
            <val>118.00</val>
          </value>
          <value t="str">
            <val>66.46</val>
          </value>
          <value t="str">
            <val>4.02</val>
          </value>
          <value t="str">
            <val>2022/09</val>
          </value>
          <value t="str">
            <val>-0.14</val>
          </value>
          <value t="str">
            <val>-3.65</val>
          </value>
          <value t="str">
            <val>2022/11</val>
          </value>
        </values>
      </ddeItem>
      <ddeItem name="2504.TW-OperatingProfitRatio,Price,PriceChangeRatio,InOutRatioNumber,Value,YearReturn,MonthReturn,WeekReturn,FinanceBalanceDif,ChipsField2" advise="1">
        <values cols="10">
          <value t="str">
            <val>15.41</val>
          </value>
          <value>
            <val>24.85</val>
          </value>
          <value>
            <val>0.4</val>
          </value>
          <value t="str">
            <val>50.76%</val>
          </value>
          <value t="str">
            <val>2157萬</val>
          </value>
          <value t="str">
            <val>-11.10</val>
          </value>
          <value t="str">
            <val>-0.40</val>
          </value>
          <value t="str">
            <val>-1.78</val>
          </value>
          <value>
            <val>-6</val>
          </value>
          <value>
            <val>77</val>
          </value>
        </values>
      </ddeItem>
      <ddeItem name="2505.TW-ChipsField3,ChipsField1,ChipsField25,CashAndStockDividend,CashDividendYieldRate,ProfitFourSeason,ProfitSingle,CName,ExchangeIndustry,CompanyPos" advise="1">
        <values cols="10">
          <value>
            <val>-15</val>
          </value>
          <value>
            <val>-6</val>
          </value>
          <value t="str">
            <val>2021/11/24</val>
          </value>
          <value t="str">
            <val>1.00</val>
          </value>
          <value>
            <val>13.59</val>
          </value>
          <value t="str">
            <val>1.83</val>
          </value>
          <value t="str">
            <val>0.31</val>
          </value>
          <value t="str">
            <val>國揚</val>
          </value>
          <value t="str">
            <val>上市建材營造</val>
          </value>
          <value t="str">
            <val>整合百貨、飯店、休閒、地產的營建商</val>
          </value>
        </values>
      </ddeItem>
      <ddeItem name="2505.TW-CName,InvestorConferenceDate,DateofMeetingofShareHolders,TradingDate" advise="1">
        <values cols="4">
          <value t="str">
            <val>國揚</val>
          </value>
          <value t="str">
            <val>2022/12/02</val>
          </value>
          <value t="str">
            <val>2022/06/17</val>
          </value>
          <value t="str">
            <val>2022/12/22</val>
          </value>
        </values>
      </ddeItem>
      <ddeItem name="2505.TW-ID,Name,MarketValue,Capital,NetIncomeGrowthRate,OperIncomeGrowthRate,FinancialStatementsTime,TFXRatio,MonthlyNetSalesYoY,RevenueMonth" advise="1">
        <values cols="10">
          <value t="str">
            <val>2505</val>
          </value>
          <value t="str">
            <val>國揚</val>
          </value>
          <value t="str">
            <val>69.9</val>
          </value>
          <value t="str">
            <val>38.00</val>
          </value>
          <value t="str">
            <val>-34.16</val>
          </value>
          <value t="str">
            <val>-56.29</val>
          </value>
          <value t="str">
            <val>2022/09</val>
          </value>
          <value t="str">
            <val>173.69</val>
          </value>
          <value t="str">
            <val>10.61</val>
          </value>
          <value t="str">
            <val>2022/11</val>
          </value>
        </values>
      </ddeItem>
      <ddeItem name="2505.TW-OperatingProfitRatio,Price,PriceChangeRatio,InOutRatioNumber,Value,YearReturn,MonthReturn,WeekReturn,FinanceBalanceDif,ChipsField2" advise="1">
        <values cols="10">
          <value t="str">
            <val>11.95</val>
          </value>
          <value>
            <val>18.399999999999999</val>
          </value>
          <value>
            <val>1.1000000000000001</val>
          </value>
          <value t="str">
            <val>56.74%</val>
          </value>
          <value t="str">
            <val>258萬</val>
          </value>
          <value t="str">
            <val>-21.54</val>
          </value>
          <value t="str">
            <val>-3.66</val>
          </value>
          <value t="str">
            <val>-2.65</val>
          </value>
          <value>
            <val>37</val>
          </value>
          <value>
            <val>0</val>
          </value>
        </values>
      </ddeItem>
      <ddeItem name="2506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-16</val>
          </value>
          <value t="str">
            <val>2022/11/17</val>
          </value>
          <value t="str">
            <val>0.10</val>
          </value>
          <value>
            <val>1.08</val>
          </value>
          <value t="str">
            <val>1.95</val>
          </value>
          <value t="str">
            <val>0.02</val>
          </value>
          <value t="str">
            <val>太設</val>
          </value>
          <value t="str">
            <val>上市建材營造</val>
          </value>
          <value t="str">
            <val>多角化經營建設、百貨及休閒等事業</val>
          </value>
        </values>
      </ddeItem>
      <ddeItem name="2506.TW-CName,InvestorConferenceDate,DateofMeetingofShareHolders,TradingDate" advise="1">
        <values cols="4">
          <value t="str">
            <val>太設</val>
          </value>
          <value t="str">
            <val>2022/11/28</val>
          </value>
          <value t="str">
            <val>2022/06/14</val>
          </value>
          <value t="str">
            <val>2022/12/22</val>
          </value>
        </values>
      </ddeItem>
      <ddeItem name="2506.TW-ID,Name,MarketValue,Capital,NetIncomeGrowthRate,OperIncomeGrowthRate,FinancialStatementsTime,TFXRatio,MonthlyNetSalesYoY,RevenueMonth" advise="1">
        <values cols="10">
          <value t="str">
            <val>2506</val>
          </value>
          <value t="str">
            <val>太設</val>
          </value>
          <value t="str">
            <val>35.7</val>
          </value>
          <value t="str">
            <val>38.70</val>
          </value>
          <value t="str">
            <val>473.36</val>
          </value>
          <value t="str">
            <val>570.09</val>
          </value>
          <value t="str">
            <val>2022/09</val>
          </value>
          <value t="str">
            <val>-28.83</val>
          </value>
          <value t="str">
            <val>-17.55</val>
          </value>
          <value t="str">
            <val>2022/11</val>
          </value>
        </values>
      </ddeItem>
      <ddeItem name="2506.TW-OperatingProfitRatio,Price,PriceChangeRatio,InOutRatioNumber,Value,YearReturn,MonthReturn,WeekReturn,FinanceBalanceDif,ChipsField2" advise="1">
        <values cols="10">
          <value t="str">
            <val>137.27</val>
          </value>
          <value>
            <val>9.2200000000000006</val>
          </value>
          <value>
            <val>0.44</val>
          </value>
          <value t="str">
            <val>60.59%</val>
          </value>
          <value t="str">
            <val>159萬</val>
          </value>
          <value t="str">
            <val>-3.85</val>
          </value>
          <value t="str">
            <val>+0.22</val>
          </value>
          <value t="str">
            <val>-2.23</val>
          </value>
          <value>
            <val>5</val>
          </value>
          <value>
            <val>0</val>
          </value>
        </values>
      </ddeItem>
      <ddeItem name="250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-0.52</val>
          </value>
          <value t="str">
            <val>-0.13</val>
          </value>
          <value t="str">
            <val>全坤建</val>
          </value>
          <value t="str">
            <val>上市建材營造</val>
          </value>
          <value t="str">
            <val>推案集中於大台北地區的建商</val>
          </value>
        </values>
      </ddeItem>
      <ddeItem name="2509.TW-CName,InvestorConferenceDate,DateofMeetingofShareHolders,TradingDate" advise="1">
        <values cols="4">
          <value t="str">
            <val>全坤建</val>
          </value>
          <value t="str">
            <val>2022/07/05</val>
          </value>
          <value t="str">
            <val>2022/06/08</val>
          </value>
          <value t="str">
            <val>2022/12/22</val>
          </value>
        </values>
      </ddeItem>
      <ddeItem name="2509.TW-ID,Name,MarketValue,Capital,NetIncomeGrowthRate,OperIncomeGrowthRate,FinancialStatementsTime,TFXRatio,MonthlyNetSalesYoY,RevenueMonth" advise="1">
        <values cols="10">
          <value t="str">
            <val>2509</val>
          </value>
          <value t="str">
            <val>全坤建</val>
          </value>
          <value t="str">
            <val>32.2</val>
          </value>
          <value t="str">
            <val>22.46</val>
          </value>
          <value t="str">
            <val>-260.41</val>
          </value>
          <value t="str">
            <val>-160.15</val>
          </value>
          <value t="str">
            <val>2022/09</val>
          </value>
          <value t="str">
            <val>-1.27</val>
          </value>
          <value t="str">
            <val>-50.51</val>
          </value>
          <value t="str">
            <val>2022/11</val>
          </value>
        </values>
      </ddeItem>
      <ddeItem name="2509.TW-OperatingProfitRatio,Price,PriceChangeRatio,InOutRatioNumber,Value,YearReturn,MonthReturn,WeekReturn,FinanceBalanceDif,ChipsField2" advise="1">
        <values cols="10">
          <value t="str">
            <val>-37.65</val>
          </value>
          <value>
            <val>14.35</val>
          </value>
          <value>
            <val>0</val>
          </value>
          <value t="str">
            <val>16.67%</val>
          </value>
          <value t="str">
            <val>34.4萬</val>
          </value>
          <value t="str">
            <val>-21.15</val>
          </value>
          <value t="str">
            <val>+0.35</val>
          </value>
          <value t="str">
            <val>-1.37</val>
          </value>
          <value>
            <val>0</val>
          </value>
          <value>
            <val>0</val>
          </value>
        </values>
      </ddeItem>
      <ddeItem name="251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-273</val>
          </value>
          <value t="str">
            <val>2022/07/28</val>
          </value>
          <value t="str">
            <val>0.50</val>
          </value>
          <value>
            <val>4.6900000000000004</val>
          </value>
          <value t="str">
            <val>0.88</val>
          </value>
          <value t="str">
            <val>0.11</val>
          </value>
          <value t="str">
            <val>太子</val>
          </value>
          <value t="str">
            <val>上市建材營造</val>
          </value>
          <value t="str">
            <val>統一集團旗下建商</val>
          </value>
        </values>
      </ddeItem>
      <ddeItem name="2511.TW-CName,InvestorConferenceDate,DateofMeetingofShareHolders,TradingDate" advise="1">
        <values cols="4">
          <value t="str">
            <val>太子</val>
          </value>
          <value t="str">
            <val>2022/09/13</val>
          </value>
          <value t="str">
            <val>2022/06/17</val>
          </value>
          <value t="str">
            <val>2022/12/22</val>
          </value>
        </values>
      </ddeItem>
      <ddeItem name="2511.TW-ID,Name,MarketValue,Capital,NetIncomeGrowthRate,OperIncomeGrowthRate,FinancialStatementsTime,TFXRatio,MonthlyNetSalesYoY,RevenueMonth" advise="1">
        <values cols="10">
          <value t="str">
            <val>2511</val>
          </value>
          <value t="str">
            <val>太子</val>
          </value>
          <value t="str">
            <val>172.9</val>
          </value>
          <value t="str">
            <val>162.33</val>
          </value>
          <value t="str">
            <val>-6.13</val>
          </value>
          <value t="str">
            <val>164.81</val>
          </value>
          <value t="str">
            <val>2022/09</val>
          </value>
          <value t="str">
            <val>-8.28</val>
          </value>
          <value t="str">
            <val>-59.70</val>
          </value>
          <value t="str">
            <val>2022/11</val>
          </value>
        </values>
      </ddeItem>
      <ddeItem name="2511.TW-OperatingProfitRatio,Price,PriceChangeRatio,InOutRatioNumber,Value,YearReturn,MonthReturn,WeekReturn,FinanceBalanceDif,ChipsField2" advise="1">
        <values cols="10">
          <value t="str">
            <val>16.64</val>
          </value>
          <value>
            <val>10.65</val>
          </value>
          <value>
            <val>0.47</val>
          </value>
          <value t="str">
            <val>35.00%</val>
          </value>
          <value t="str">
            <val>234萬</val>
          </value>
          <value t="str">
            <val>-16.71</val>
          </value>
          <value t="str">
            <val>+1.43</val>
          </value>
          <value t="str">
            <val>-1.39</val>
          </value>
          <value>
            <val>105</val>
          </value>
          <value>
            <val>0</val>
          </value>
        </values>
      </ddeItem>
      <ddeItem name="2514.TW-ChipsField3,ChipsField1,ChipsField25,CashAndStockDividend,CashDividendYieldRate,ProfitFourSeason,ProfitSingle,CName,ExchangeIndustry,CompanyPos" advise="1">
        <values cols="10">
          <value>
            <val>-21</val>
          </value>
          <value>
            <val>16</val>
          </value>
          <value t="str">
            <val>--</val>
          </value>
          <value t="str">
            <val>0.00</val>
          </value>
          <value>
            <val>0</val>
          </value>
          <value t="str">
            <val>0.88</val>
          </value>
          <value t="str">
            <val>0.45</val>
          </value>
          <value t="str">
            <val>龍邦</val>
          </value>
          <value t="str">
            <val>上市其他</val>
          </value>
          <value t="str">
            <val>中部地區第一家上市之營建廠商</val>
          </value>
        </values>
      </ddeItem>
      <ddeItem name="2514.TW-CName,InvestorConferenceDate,DateofMeetingofShareHolders,TradingDate" advise="1">
        <values cols="4">
          <value t="str">
            <val>龍邦</val>
          </value>
          <value t="str">
            <val>2022/12/13</val>
          </value>
          <value t="str">
            <val>2022/06/29</val>
          </value>
          <value t="str">
            <val>2022/12/22</val>
          </value>
        </values>
      </ddeItem>
      <ddeItem name="2514.TW-ID,Name,MarketValue,Capital,NetIncomeGrowthRate,OperIncomeGrowthRate,FinancialStatementsTime,TFXRatio,MonthlyNetSalesYoY,RevenueMonth" advise="1">
        <values cols="10">
          <value t="str">
            <val>2514</val>
          </value>
          <value t="str">
            <val>龍邦</val>
          </value>
          <value t="str">
            <val>66.7</val>
          </value>
          <value t="str">
            <val>39.47</val>
          </value>
          <value t="str">
            <val>-67.89</val>
          </value>
          <value t="str">
            <val>-26.73</val>
          </value>
          <value t="str">
            <val>2022/09</val>
          </value>
          <value t="str">
            <val>14.91</val>
          </value>
          <value t="str">
            <val>-22.56</val>
          </value>
          <value t="str">
            <val>2022/11</val>
          </value>
        </values>
      </ddeItem>
      <ddeItem name="2514.TW-OperatingProfitRatio,Price,PriceChangeRatio,InOutRatioNumber,Value,YearReturn,MonthReturn,WeekReturn,FinanceBalanceDif,ChipsField2" advise="1">
        <values cols="10">
          <value t="str">
            <val>3.36</val>
          </value>
          <value>
            <val>16.899999999999999</val>
          </value>
          <value>
            <val>0.3</val>
          </value>
          <value t="str">
            <val>78.15%</val>
          </value>
          <value t="str">
            <val>201萬</val>
          </value>
          <value t="str">
            <val>-3.70</val>
          </value>
          <value t="str">
            <val>+0.60</val>
          </value>
          <value t="str">
            <val>-5.85</val>
          </value>
          <value>
            <val>51</val>
          </value>
          <value>
            <val>0</val>
          </value>
        </values>
      </ddeItem>
      <ddeItem name="2515.TW-ChipsField3,ChipsField1,ChipsField25,CashAndStockDividend,CashDividendYieldRate,ProfitFourSeason,ProfitSingle,CName,ExchangeIndustry,CompanyPos" advise="1">
        <values cols="10">
          <value>
            <val>-126</val>
          </value>
          <value>
            <val>254</val>
          </value>
          <value t="str">
            <val>2022/09/22</val>
          </value>
          <value t="str">
            <val>0.53</val>
          </value>
          <value>
            <val>6.39</val>
          </value>
          <value t="str">
            <val>1.94</val>
          </value>
          <value t="str">
            <val>0.07</val>
          </value>
          <value t="str">
            <val>中工</val>
          </value>
          <value t="str">
            <val>上市建材營造</val>
          </value>
          <value t="str">
            <val>威京集團成員之一，為專業建築工程廠商</val>
          </value>
        </values>
      </ddeItem>
      <ddeItem name="2515.TW-CName,InvestorConferenceDate,DateofMeetingofShareHolders,TradingDate" advise="1">
        <values cols="4">
          <value t="str">
            <val>中工</val>
          </value>
          <value t="str">
            <val>2022/06/29</val>
          </value>
          <value t="str">
            <val>2022/05/31</val>
          </value>
          <value t="str">
            <val>2022/12/22</val>
          </value>
        </values>
      </ddeItem>
      <ddeItem name="2515.TW-ID,Name,MarketValue,Capital,NetIncomeGrowthRate,OperIncomeGrowthRate,FinancialStatementsTime,TFXRatio,MonthlyNetSalesYoY,RevenueMonth" advise="1">
        <values cols="10">
          <value t="str">
            <val>2515</val>
          </value>
          <value t="str">
            <val>中工</val>
          </value>
          <value t="str">
            <val>126.9</val>
          </value>
          <value t="str">
            <val>153.09</val>
          </value>
          <value t="str">
            <val>103.59</val>
          </value>
          <value t="str">
            <val>-29.70</val>
          </value>
          <value t="str">
            <val>2022/09</val>
          </value>
          <value t="str">
            <val>10.24</val>
          </value>
          <value t="str">
            <val>-10.33</val>
          </value>
          <value t="str">
            <val>2022/11</val>
          </value>
        </values>
      </ddeItem>
      <ddeItem name="2515.TW-OperatingProfitRatio,Price,PriceChangeRatio,InOutRatioNumber,Value,YearReturn,MonthReturn,WeekReturn,FinanceBalanceDif,ChipsField2" advise="1">
        <values cols="10">
          <value t="str">
            <val>3.20</val>
          </value>
          <value>
            <val>8.2899999999999991</val>
          </value>
          <value>
            <val>0</val>
          </value>
          <value t="str">
            <val>38.73%</val>
          </value>
          <value t="str">
            <val>1038萬</val>
          </value>
          <value t="str">
            <val>-0.42</val>
          </value>
          <value t="str">
            <val>+2.85</val>
          </value>
          <value t="str">
            <val>-2.59</val>
          </value>
          <value>
            <val>-179</val>
          </value>
          <value>
            <val>0</val>
          </value>
        </values>
      </ddeItem>
      <ddeItem name="251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-1.31</val>
          </value>
          <value t="str">
            <val>-0.03</val>
          </value>
          <value t="str">
            <val>新建</val>
          </value>
          <value t="str">
            <val>上市建材營造</val>
          </value>
          <value t="str">
            <val>主要承攬公共工程為主之營造廠商</val>
          </value>
        </values>
      </ddeItem>
      <ddeItem name="2516.TW-CName,InvestorConferenceDate,DateofMeetingofShareHolders,TradingDate" advise="1">
        <values cols="4">
          <value t="str">
            <val>新建</val>
          </value>
          <value t="str">
            <val>2022/11/02</val>
          </value>
          <value t="str">
            <val>2022/06/24</val>
          </value>
          <value t="str">
            <val>2022/12/22</val>
          </value>
        </values>
      </ddeItem>
      <ddeItem name="2516.TW-ID,Name,MarketValue,Capital,NetIncomeGrowthRate,OperIncomeGrowthRate,FinancialStatementsTime,TFXRatio,MonthlyNetSalesYoY,RevenueMonth" advise="1">
        <values cols="10">
          <value t="str">
            <val>2516</val>
          </value>
          <value t="str">
            <val>新建</val>
          </value>
          <value t="str">
            <val>11.3</val>
          </value>
          <value t="str">
            <val>22.63</val>
          </value>
          <value t="str">
            <val>-608.57</val>
          </value>
          <value t="str">
            <val>-639.48</val>
          </value>
          <value t="str">
            <val>2022/09</val>
          </value>
          <value t="str">
            <val>-11.49</val>
          </value>
          <value t="str">
            <val>0.57</val>
          </value>
          <value t="str">
            <val>2022/11</val>
          </value>
        </values>
      </ddeItem>
      <ddeItem name="2516.TW-OperatingProfitRatio,Price,PriceChangeRatio,InOutRatioNumber,Value,YearReturn,MonthReturn,WeekReturn,FinanceBalanceDif,ChipsField2" advise="1">
        <values cols="10">
          <value t="str">
            <val>-6.55</val>
          </value>
          <value>
            <val>4.99</val>
          </value>
          <value>
            <val>0.4</val>
          </value>
          <value t="str">
            <val>61.39%</val>
          </value>
          <value t="str">
            <val>50.4萬</val>
          </value>
          <value t="str">
            <val>-19.26</val>
          </value>
          <value t="str">
            <val>-0.20</val>
          </value>
          <value t="str">
            <val>-2.16</val>
          </value>
          <value>
            <val>0</val>
          </value>
          <value>
            <val>0</val>
          </value>
        </values>
      </ddeItem>
      <ddeItem name="2520.TW-ChipsField3,ChipsField1,ChipsField25,CashAndStockDividend,CashDividendYieldRate,ProfitFourSeason,ProfitSingle,CName,ExchangeIndustry,CompanyPos" advise="1">
        <values cols="10">
          <value>
            <val>-43</val>
          </value>
          <value>
            <val>-56</val>
          </value>
          <value t="str">
            <val>2022/08/01</val>
          </value>
          <value t="str">
            <val>2.50</val>
          </value>
          <value>
            <val>8.7899999999999991</val>
          </value>
          <value t="str">
            <val>4.90</val>
          </value>
          <value t="str">
            <val>0.60</val>
          </value>
          <value t="str">
            <val>冠德</val>
          </value>
          <value t="str">
            <val>上市建材營造</val>
          </value>
          <value t="str">
            <val>大台北地區的中大型建商</val>
          </value>
        </values>
      </ddeItem>
      <ddeItem name="2520.TW-CName,InvestorConferenceDate,DateofMeetingofShareHolders,TradingDate" advise="1">
        <values cols="4">
          <value t="str">
            <val>冠德</val>
          </value>
          <value t="str">
            <val>2022/11/24</val>
          </value>
          <value t="str">
            <val>2022/06/29</val>
          </value>
          <value t="str">
            <val>2022/12/22</val>
          </value>
        </values>
      </ddeItem>
      <ddeItem name="2520.TW-ID,Name,MarketValue,Capital,NetIncomeGrowthRate,OperIncomeGrowthRate,FinancialStatementsTime,TFXRatio,MonthlyNetSalesYoY,RevenueMonth" advise="1">
        <values cols="10">
          <value t="str">
            <val>2520</val>
          </value>
          <value t="str">
            <val>冠德</val>
          </value>
          <value t="str">
            <val>157.7</val>
          </value>
          <value t="str">
            <val>55.42</val>
          </value>
          <value t="str">
            <val>-28.77</val>
          </value>
          <value t="str">
            <val>-26.73</val>
          </value>
          <value t="str">
            <val>2022/09</val>
          </value>
          <value t="str">
            <val>97.22</val>
          </value>
          <value t="str">
            <val>133.78</val>
          </value>
          <value t="str">
            <val>2022/11</val>
          </value>
        </values>
      </ddeItem>
      <ddeItem name="2520.TW-OperatingProfitRatio,Price,PriceChangeRatio,InOutRatioNumber,Value,YearReturn,MonthReturn,WeekReturn,FinanceBalanceDif,ChipsField2" advise="1">
        <values cols="10">
          <value t="str">
            <val>19.13</val>
          </value>
          <value>
            <val>28.45</val>
          </value>
          <value>
            <val>0.71</val>
          </value>
          <value t="str">
            <val>39.67%</val>
          </value>
          <value t="str">
            <val>689萬</val>
          </value>
          <value t="str">
            <val>-17.57</val>
          </value>
          <value t="str">
            <val>+3.08</val>
          </value>
          <value t="str">
            <val>-1.04</val>
          </value>
          <value>
            <val>3</val>
          </value>
          <value>
            <val>0</val>
          </value>
        </values>
      </ddeItem>
      <ddeItem name="252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2.78</val>
          </value>
          <value t="str">
            <val>0.21</val>
          </value>
          <value t="str">
            <val>京城</val>
          </value>
          <value t="str">
            <val>上市建材營造</val>
          </value>
          <value t="str">
            <val>高雄地區知名建商</val>
          </value>
        </values>
      </ddeItem>
      <ddeItem name="2524.TW-CName,InvestorConferenceDate,DateofMeetingofShareHolders,TradingDate" advise="1">
        <values cols="4">
          <value t="str">
            <val>京城</val>
          </value>
          <value t="str">
            <val>2022/12/21</val>
          </value>
          <value t="str">
            <val>2022/06/23</val>
          </value>
          <value t="str">
            <val>2022/12/22</val>
          </value>
        </values>
      </ddeItem>
      <ddeItem name="2524.TW-ID,Name,MarketValue,Capital,NetIncomeGrowthRate,OperIncomeGrowthRate,FinancialStatementsTime,TFXRatio,MonthlyNetSalesYoY,RevenueMonth" advise="1">
        <values cols="10">
          <value t="str">
            <val>2524</val>
          </value>
          <value t="str">
            <val>京城</val>
          </value>
          <value t="str">
            <val>123.6</val>
          </value>
          <value t="str">
            <val>36.91</val>
          </value>
          <value t="str">
            <val>-59.91</val>
          </value>
          <value t="str">
            <val>-49.01</val>
          </value>
          <value t="str">
            <val>2022/09</val>
          </value>
          <value t="str">
            <val>346.57</val>
          </value>
          <value t="str">
            <val>-55.07</val>
          </value>
          <value t="str">
            <val>2022/11</val>
          </value>
        </values>
      </ddeItem>
      <ddeItem name="2524.TW-OperatingProfitRatio,Price,PriceChangeRatio,InOutRatioNumber,Value,YearReturn,MonthReturn,WeekReturn,FinanceBalanceDif,ChipsField2" advise="1">
        <values cols="10">
          <value t="str">
            <val>30.98</val>
          </value>
          <value>
            <val>33.200000000000003</val>
          </value>
          <value>
            <val>3.27</val>
          </value>
          <value t="str">
            <val>65.52%</val>
          </value>
          <value t="str">
            <val>94.8萬</val>
          </value>
          <value t="str">
            <val>-16.79</val>
          </value>
          <value t="str">
            <val>-1.34</val>
          </value>
          <value t="str">
            <val>-1.63</val>
          </value>
          <value>
            <val>0</val>
          </value>
          <value>
            <val>0</val>
          </value>
        </values>
      </ddeItem>
      <ddeItem name="2527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5</val>
          </value>
          <value t="str">
            <val>2022/08/22</val>
          </value>
          <value t="str">
            <val>3.00</val>
          </value>
          <value>
            <val>14.32</val>
          </value>
          <value t="str">
            <val>2.21</val>
          </value>
          <value t="str">
            <val>1.00</val>
          </value>
          <value t="str">
            <val>宏璟</val>
          </value>
          <value t="str">
            <val>上市建材營造</val>
          </value>
          <value t="str">
            <val>日月光集團旗下建商</val>
          </value>
        </values>
      </ddeItem>
      <ddeItem name="2527.TW-CName,InvestorConferenceDate,DateofMeetingofShareHolders,TradingDate" advise="1">
        <values cols="4">
          <value t="str">
            <val>宏璟</val>
          </value>
          <value t="str">
            <val>2022/12/07</val>
          </value>
          <value t="str">
            <val>2022/06/27</val>
          </value>
          <value t="str">
            <val>2022/12/22</val>
          </value>
        </values>
      </ddeItem>
      <ddeItem name="2527.TW-ID,Name,MarketValue,Capital,NetIncomeGrowthRate,OperIncomeGrowthRate,FinancialStatementsTime,TFXRatio,MonthlyNetSalesYoY,RevenueMonth" advise="1">
        <values cols="10">
          <value t="str">
            <val>2527</val>
          </value>
          <value t="str">
            <val>宏璟</val>
          </value>
          <value t="str">
            <val>56.6</val>
          </value>
          <value t="str">
            <val>27.03</val>
          </value>
          <value t="str">
            <val>-73.00</val>
          </value>
          <value t="str">
            <val>-85.16</val>
          </value>
          <value t="str">
            <val>2022/09</val>
          </value>
          <value t="str">
            <val>42.18</val>
          </value>
          <value t="str">
            <val>-84.44</val>
          </value>
          <value t="str">
            <val>2022/11</val>
          </value>
        </values>
      </ddeItem>
      <ddeItem name="2527.TW-OperatingProfitRatio,Price,PriceChangeRatio,InOutRatioNumber,Value,YearReturn,MonthReturn,WeekReturn,FinanceBalanceDif,ChipsField2" advise="1">
        <values cols="10">
          <value t="str">
            <val>17.67</val>
          </value>
          <value>
            <val>20.95</val>
          </value>
          <value>
            <val>0.72</val>
          </value>
          <value t="str">
            <val>13.64%</val>
          </value>
          <value t="str">
            <val>46.0萬</val>
          </value>
          <value t="str">
            <val>-24.42</val>
          </value>
          <value t="str">
            <val>+1.45</val>
          </value>
          <value t="str">
            <val>-3.23</val>
          </value>
          <value>
            <val>0</val>
          </value>
          <value>
            <val>0</val>
          </value>
        </values>
      </ddeItem>
      <ddeItem name="2528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2</val>
          </value>
          <value t="str">
            <val>2022/04/14</val>
          </value>
          <value t="str">
            <val>0.47</val>
          </value>
          <value>
            <val>2.97</val>
          </value>
          <value t="str">
            <val>1.39</val>
          </value>
          <value t="str">
            <val>-0.03</val>
          </value>
          <value t="str">
            <val>皇普</val>
          </value>
          <value t="str">
            <val>上市建材營造</val>
          </value>
          <value t="str">
            <val>以大台北地區推案為主的建商</val>
          </value>
        </values>
      </ddeItem>
      <ddeItem name="2528.TW-CName,InvestorConferenceDate,DateofMeetingofShareHolders,TradingDate" advise="1">
        <values cols="4">
          <value t="str">
            <val>皇普</val>
          </value>
          <value t="str">
            <val>2022/11/17</val>
          </value>
          <value t="str">
            <val>2022/06/16</val>
          </value>
          <value t="str">
            <val>2022/12/22</val>
          </value>
        </values>
      </ddeItem>
      <ddeItem name="2528.TW-ID,Name,MarketValue,Capital,NetIncomeGrowthRate,OperIncomeGrowthRate,FinancialStatementsTime,TFXRatio,MonthlyNetSalesYoY,RevenueMonth" advise="1">
        <values cols="10">
          <value t="str">
            <val>2528</val>
          </value>
          <value t="str">
            <val>皇普</val>
          </value>
          <value t="str">
            <val>43.8</val>
          </value>
          <value t="str">
            <val>38.00</val>
          </value>
          <value t="str">
            <val>1.72</val>
          </value>
          <value t="str">
            <val>29.19</val>
          </value>
          <value t="str">
            <val>2022/09</val>
          </value>
          <value t="str">
            <val>-37.25</val>
          </value>
          <value t="str">
            <val>52.38</val>
          </value>
          <value t="str">
            <val>2022/11</val>
          </value>
        </values>
      </ddeItem>
      <ddeItem name="2528.TW-OperatingProfitRatio,Price,PriceChangeRatio,InOutRatioNumber,Value,YearReturn,MonthReturn,WeekReturn,FinanceBalanceDif,ChipsField2" advise="1">
        <values cols="10">
          <value t="str">
            <val>18.81</val>
          </value>
          <value>
            <val>15.8</val>
          </value>
          <value>
            <val>0.64</val>
          </value>
          <value t="str">
            <val>61.54%</val>
          </value>
          <value t="str">
            <val>42.6萬</val>
          </value>
          <value t="str">
            <val>-25.62</val>
          </value>
          <value t="str">
            <val>-5.95</val>
          </value>
          <value t="str">
            <val>-1.86</val>
          </value>
          <value>
            <val>1</val>
          </value>
          <value>
            <val>0</val>
          </value>
        </values>
      </ddeItem>
      <ddeItem name="2530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14</val>
          </value>
          <value t="str">
            <val>--</val>
          </value>
          <value t="str">
            <val>0.00</val>
          </value>
          <value>
            <val>0</val>
          </value>
          <value t="str">
            <val>0.09</val>
          </value>
          <value t="str">
            <val>0.05</val>
          </value>
          <value t="str">
            <val>華建</val>
          </value>
          <value t="str">
            <val>上市建材營造</val>
          </value>
          <value t="str">
            <val>推案集中於大台北地區的建商</val>
          </value>
        </values>
      </ddeItem>
      <ddeItem name="2530.TW-CName,InvestorConferenceDate,DateofMeetingofShareHolders,TradingDate" advise="1">
        <values cols="4">
          <value t="str">
            <val>華建</val>
          </value>
          <value t="str">
            <val>2022/12/06</val>
          </value>
          <value t="str">
            <val>2022/06/30</val>
          </value>
          <value t="str">
            <val>2022/12/22</val>
          </value>
        </values>
      </ddeItem>
      <ddeItem name="2530.TW-ID,Name,MarketValue,Capital,NetIncomeGrowthRate,OperIncomeGrowthRate,FinancialStatementsTime,TFXRatio,MonthlyNetSalesYoY,RevenueMonth" advise="1">
        <values cols="10">
          <value t="str">
            <val>2530</val>
          </value>
          <value t="str">
            <val>華建</val>
          </value>
          <value t="str">
            <val>90.6</val>
          </value>
          <value t="str">
            <val>84.00</val>
          </value>
          <value t="str">
            <val>186.79</val>
          </value>
          <value t="str">
            <val>263.04</val>
          </value>
          <value t="str">
            <val>2022/09</val>
          </value>
          <value t="str">
            <val>-99.92</val>
          </value>
          <value t="str">
            <val>32.98</val>
          </value>
          <value t="str">
            <val>2022/11</val>
          </value>
        </values>
      </ddeItem>
      <ddeItem name="2530.TW-OperatingProfitRatio,Price,PriceChangeRatio,InOutRatioNumber,Value,YearReturn,MonthReturn,WeekReturn,FinanceBalanceDif,ChipsField2" advise="1">
        <values cols="10">
          <value t="str">
            <val>12.34</val>
          </value>
          <value>
            <val>17.399999999999999</val>
          </value>
          <value>
            <val>-0.28999999999999998</val>
          </value>
          <value t="str">
            <val>35.25%</val>
          </value>
          <value t="str">
            <val>687萬</val>
          </value>
          <value t="str">
            <val>+20.83</val>
          </value>
          <value t="str">
            <val>-7.69</val>
          </value>
          <value t="str">
            <val>-2.79</val>
          </value>
          <value>
            <val>-14</val>
          </value>
          <value>
            <val>0</val>
          </value>
        </values>
      </ddeItem>
      <ddeItem name="2534.TW-ChipsField3,ChipsField1,ChipsField25,CashAndStockDividend,CashDividendYieldRate,ProfitFourSeason,ProfitSingle,CName,ExchangeIndustry,CompanyPos" advise="1">
        <values cols="10">
          <value>
            <val>-20</val>
          </value>
          <value>
            <val>-251</val>
          </value>
          <value t="str">
            <val>2022/08/08</val>
          </value>
          <value t="str">
            <val>1.20</val>
          </value>
          <value>
            <val>5.26</val>
          </value>
          <value t="str">
            <val>2.46</val>
          </value>
          <value t="str">
            <val>0.52</val>
          </value>
          <value t="str">
            <val>宏盛</val>
          </value>
          <value t="str">
            <val>上市建材營造</val>
          </value>
          <value t="str">
            <val>宏泰集團旗下建商，以仁愛帝寶豪宅推案而知名</val>
          </value>
        </values>
      </ddeItem>
      <ddeItem name="2534.TW-CName,InvestorConferenceDate,DateofMeetingofShareHolders,TradingDate" advise="1">
        <values cols="4">
          <value t="str">
            <val>宏盛</val>
          </value>
          <value t="str">
            <val>2022/11/17</val>
          </value>
          <value t="str">
            <val>2022/06/15</val>
          </value>
          <value t="str">
            <val>2022/12/22</val>
          </value>
        </values>
      </ddeItem>
      <ddeItem name="2534.TW-ID,Name,MarketValue,Capital,NetIncomeGrowthRate,OperIncomeGrowthRate,FinancialStatementsTime,TFXRatio,MonthlyNetSalesYoY,RevenueMonth" advise="1">
        <values cols="10">
          <value t="str">
            <val>2534</val>
          </value>
          <value t="str">
            <val>宏盛</val>
          </value>
          <value t="str">
            <val>108.1</val>
          </value>
          <value t="str">
            <val>47.42</val>
          </value>
          <value t="str">
            <val>56.20</val>
          </value>
          <value t="str">
            <val>40.11</val>
          </value>
          <value t="str">
            <val>2022/09</val>
          </value>
          <value t="str">
            <val>38.89</val>
          </value>
          <value t="str">
            <val>368.71</val>
          </value>
          <value t="str">
            <val>2022/11</val>
          </value>
        </values>
      </ddeItem>
      <ddeItem name="2534.TW-OperatingProfitRatio,Price,PriceChangeRatio,InOutRatioNumber,Value,YearReturn,MonthReturn,WeekReturn,FinanceBalanceDif,ChipsField2" advise="1">
        <values cols="10">
          <value t="str">
            <val>30.69</val>
          </value>
          <value>
            <val>22.8</val>
          </value>
          <value>
            <val>-0.44</val>
          </value>
          <value t="str">
            <val>38.19%</val>
          </value>
          <value t="str">
            <val>7617萬</val>
          </value>
          <value t="str">
            <val>+0.08</val>
          </value>
          <value t="str">
            <val>-11.28</val>
          </value>
          <value t="str">
            <val>-7.32</val>
          </value>
          <value>
            <val>72</val>
          </value>
          <value>
            <val>0</val>
          </value>
        </values>
      </ddeItem>
      <ddeItem name="2535.TW-ChipsField3,ChipsField1,ChipsField25,CashAndStockDividend,CashDividendYieldRate,ProfitFourSeason,ProfitSingle,CName,ExchangeIndustry,CompanyPos" advise="1">
        <values cols="10">
          <value>
            <val>-12</val>
          </value>
          <value>
            <val>-68</val>
          </value>
          <value t="str">
            <val>2022/04/08</val>
          </value>
          <value t="str">
            <val>2.50</val>
          </value>
          <value>
            <val>8.43</val>
          </value>
          <value t="str">
            <val>3.57</val>
          </value>
          <value t="str">
            <val>0.59</val>
          </value>
          <value t="str">
            <val>達欣工</val>
          </value>
          <value t="str">
            <val>上市建材營造</val>
          </value>
          <value t="str">
            <val>台灣主要甲級營造廠之一</val>
          </value>
        </values>
      </ddeItem>
      <ddeItem name="2535.TW-CName,InvestorConferenceDate,DateofMeetingofShareHolders,TradingDate" advise="1">
        <values cols="4">
          <value t="str">
            <val>達欣工</val>
          </value>
          <value t="str">
            <val>--</val>
          </value>
          <value t="str">
            <val>2022/06/10</val>
          </value>
          <value t="str">
            <val>2022/12/22</val>
          </value>
        </values>
      </ddeItem>
      <ddeItem name="2535.TW-ID,Name,MarketValue,Capital,NetIncomeGrowthRate,OperIncomeGrowthRate,FinancialStatementsTime,TFXRatio,MonthlyNetSalesYoY,RevenueMonth" advise="1">
        <values cols="10">
          <value t="str">
            <val>2535</val>
          </value>
          <value t="str">
            <val>達欣工</val>
          </value>
          <value t="str">
            <val>100.4</val>
          </value>
          <value t="str">
            <val>33.85</val>
          </value>
          <value t="str">
            <val>-8.36</val>
          </value>
          <value t="str">
            <val>26.87</val>
          </value>
          <value t="str">
            <val>2022/09</val>
          </value>
          <value t="str">
            <val>-18.91</val>
          </value>
          <value t="str">
            <val>-16.90</val>
          </value>
          <value t="str">
            <val>2022/11</val>
          </value>
        </values>
      </ddeItem>
      <ddeItem name="2535.TW-OperatingProfitRatio,Price,PriceChangeRatio,InOutRatioNumber,Value,YearReturn,MonthReturn,WeekReturn,FinanceBalanceDif,ChipsField2" advise="1">
        <values cols="10">
          <value t="str">
            <val>10.73</val>
          </value>
          <value>
            <val>29.65</val>
          </value>
          <value>
            <val>0.17</val>
          </value>
          <value t="str">
            <val>35.48%</val>
          </value>
          <value t="str">
            <val>374萬</val>
          </value>
          <value t="str">
            <val>-0.43</val>
          </value>
          <value t="str">
            <val>+0.17</val>
          </value>
          <value t="str">
            <val>+0.17</val>
          </value>
          <value>
            <val>15</val>
          </value>
          <value>
            <val>0</val>
          </value>
        </values>
      </ddeItem>
      <ddeItem name="2536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-4</val>
          </value>
          <value t="str">
            <val>--</val>
          </value>
          <value t="str">
            <val>0.00</val>
          </value>
          <value>
            <val>0</val>
          </value>
          <value t="str">
            <val>0.00</val>
          </value>
          <value t="str">
            <val>-0.22</val>
          </value>
          <value t="str">
            <val>宏普</val>
          </value>
          <value t="str">
            <val>上市建材營造</val>
          </value>
          <value t="str">
            <val>推案集中於大台北地區之建商</val>
          </value>
        </values>
      </ddeItem>
      <ddeItem name="2536.TW-CName,InvestorConferenceDate,DateofMeetingofShareHolders,TradingDate" advise="1">
        <values cols="4">
          <value t="str">
            <val>宏普</val>
          </value>
          <value t="str">
            <val>2022/09/14</val>
          </value>
          <value t="str">
            <val>2022/06/15</val>
          </value>
          <value t="str">
            <val>2022/12/22</val>
          </value>
        </values>
      </ddeItem>
      <ddeItem name="2536.TW-ID,Name,MarketValue,Capital,NetIncomeGrowthRate,OperIncomeGrowthRate,FinancialStatementsTime,TFXRatio,MonthlyNetSalesYoY,RevenueMonth" advise="1">
        <values cols="10">
          <value t="str">
            <val>2536</val>
          </value>
          <value t="str">
            <val>宏普</val>
          </value>
          <value t="str">
            <val>74.2</val>
          </value>
          <value t="str">
            <val>33.28</val>
          </value>
          <value t="str">
            <val>979.28</val>
          </value>
          <value t="str">
            <val>407.36</val>
          </value>
          <value t="str">
            <val>2022/09</val>
          </value>
          <value t="str">
            <val>0.00</val>
          </value>
          <value t="str">
            <val>-16.94</val>
          </value>
          <value t="str">
            <val>2022/11</val>
          </value>
        </values>
      </ddeItem>
      <ddeItem name="2536.TW-OperatingProfitRatio,Price,PriceChangeRatio,InOutRatioNumber,Value,YearReturn,MonthReturn,WeekReturn,FinanceBalanceDif,ChipsField2" advise="1">
        <values cols="10">
          <value t="str">
            <val>45.40</val>
          </value>
          <value>
            <val>22.3</val>
          </value>
          <value>
            <val>0.22</val>
          </value>
          <value t="str">
            <val>8.00%</val>
          </value>
          <value t="str">
            <val>55.6萬</val>
          </value>
          <value t="str">
            <val>-3.46</val>
          </value>
          <value t="str">
            <val>-0.67</val>
          </value>
          <value t="str">
            <val>-0.67</val>
          </value>
          <value>
            <val>0</val>
          </value>
          <value>
            <val>0</val>
          </value>
        </values>
      </ddeItem>
      <ddeItem name="253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30</val>
          </value>
          <value t="str">
            <val>2022/08/02</val>
          </value>
          <value t="str">
            <val>0.90</val>
          </value>
          <value>
            <val>12.57</val>
          </value>
          <value t="str">
            <val>0.56</val>
          </value>
          <value t="str">
            <val>0.07</val>
          </value>
          <value t="str">
            <val>聯上發</val>
          </value>
          <value t="str">
            <val>上市建材營造</val>
          </value>
          <value t="str">
            <val>聯上集團旗下建商，負責大台北及桃園地區推案</val>
          </value>
        </values>
      </ddeItem>
      <ddeItem name="2537.TW-CName,InvestorConferenceDate,DateofMeetingofShareHolders,TradingDate" advise="1">
        <values cols="4">
          <value t="str">
            <val>聯上發</val>
          </value>
          <value t="str">
            <val>2021/11/25</val>
          </value>
          <value t="str">
            <val>2022/06/23</val>
          </value>
          <value t="str">
            <val>2022/12/22</val>
          </value>
        </values>
      </ddeItem>
      <ddeItem name="2537.TW-ID,Name,MarketValue,Capital,NetIncomeGrowthRate,OperIncomeGrowthRate,FinancialStatementsTime,TFXRatio,MonthlyNetSalesYoY,RevenueMonth" advise="1">
        <values cols="10">
          <value t="str">
            <val>2537</val>
          </value>
          <value t="str">
            <val>聯上發</val>
          </value>
          <value t="str">
            <val>21.5</val>
          </value>
          <value t="str">
            <val>30.06</val>
          </value>
          <value t="str">
            <val>-68.85</val>
          </value>
          <value t="str">
            <val>-43.18</val>
          </value>
          <value t="str">
            <val>2022/09</val>
          </value>
          <value t="str">
            <val>55478.10</val>
          </value>
          <value t="str">
            <val>19.10</val>
          </value>
          <value t="str">
            <val>2022/11</val>
          </value>
        </values>
      </ddeItem>
      <ddeItem name="2537.TW-OperatingProfitRatio,Price,PriceChangeRatio,InOutRatioNumber,Value,YearReturn,MonthReturn,WeekReturn,FinanceBalanceDif,ChipsField2" advise="1">
        <values cols="10">
          <value t="str">
            <val>15.55</val>
          </value>
          <value>
            <val>7.16</val>
          </value>
          <value>
            <val>1.1299999999999999</val>
          </value>
          <value t="str">
            <val>36.84%</val>
          </value>
          <value t="str">
            <val>247萬</val>
          </value>
          <value t="str">
            <val>-22.83</val>
          </value>
          <value t="str">
            <val>+1.70</val>
          </value>
          <value t="str">
            <val>-1.38</val>
          </value>
          <value>
            <val>-30</val>
          </value>
          <value>
            <val>0</val>
          </value>
        </values>
      </ddeItem>
      <ddeItem name="2538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-80</val>
          </value>
          <value t="str">
            <val>2022/07/05</val>
          </value>
          <value t="str">
            <val>0.50</val>
          </value>
          <value>
            <val>4.18</val>
          </value>
          <value t="str">
            <val>0.69</val>
          </value>
          <value t="str">
            <val>0.37</val>
          </value>
          <value t="str">
            <val>基泰</val>
          </value>
          <value t="str">
            <val>上市建材營造</val>
          </value>
          <value t="str">
            <val>推案集中於大台北地區之建商</val>
          </value>
        </values>
      </ddeItem>
      <ddeItem name="2538.TW-CName,InvestorConferenceDate,DateofMeetingofShareHolders,TradingDate" advise="1">
        <values cols="4">
          <value t="str">
            <val>基泰</val>
          </value>
          <value t="str">
            <val>2022/09/28</val>
          </value>
          <value t="str">
            <val>2022/06/15</val>
          </value>
          <value t="str">
            <val>2022/12/22</val>
          </value>
        </values>
      </ddeItem>
      <ddeItem name="2538.TW-ID,Name,MarketValue,Capital,NetIncomeGrowthRate,OperIncomeGrowthRate,FinancialStatementsTime,TFXRatio,MonthlyNetSalesYoY,RevenueMonth" advise="1">
        <values cols="10">
          <value t="str">
            <val>2538</val>
          </value>
          <value t="str">
            <val>基泰</val>
          </value>
          <value t="str">
            <val>52.4</val>
          </value>
          <value t="str">
            <val>43.84</val>
          </value>
          <value t="str">
            <val>350.51</val>
          </value>
          <value t="str">
            <val>203.25</val>
          </value>
          <value t="str">
            <val>2022/09</val>
          </value>
          <value t="str">
            <val>-2.59</val>
          </value>
          <value t="str">
            <val>6.54</val>
          </value>
          <value t="str">
            <val>2022/11</val>
          </value>
        </values>
      </ddeItem>
      <ddeItem name="2538.TW-OperatingProfitRatio,Price,PriceChangeRatio,InOutRatioNumber,Value,YearReturn,MonthReturn,WeekReturn,FinanceBalanceDif,ChipsField2" advise="1">
        <values cols="10">
          <value t="str">
            <val>16.47</val>
          </value>
          <value>
            <val>11.95</val>
          </value>
          <value>
            <val>0.42</val>
          </value>
          <value t="str">
            <val>15.56%</val>
          </value>
          <value t="str">
            <val>360萬</val>
          </value>
          <value t="str">
            <val>+0.19</val>
          </value>
          <value t="str">
            <val>-2.45</val>
          </value>
          <value t="str">
            <val>-1.24</val>
          </value>
          <value>
            <val>-10</val>
          </value>
          <value>
            <val>0</val>
          </value>
        </values>
      </ddeItem>
      <ddeItem name="2539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4</val>
          </value>
          <value t="str">
            <val>2022/08/31</val>
          </value>
          <value t="str">
            <val>1.59</val>
          </value>
          <value>
            <val>4.9800000000000004</val>
          </value>
          <value t="str">
            <val>2.93</val>
          </value>
          <value t="str">
            <val>1.00</val>
          </value>
          <value t="str">
            <val>櫻花建</val>
          </value>
          <value t="str">
            <val>上市建材營造</val>
          </value>
          <value t="str">
            <val>推案集中於大台中地區之建商</val>
          </value>
        </values>
      </ddeItem>
      <ddeItem name="2539.TW-CName,InvestorConferenceDate,DateofMeetingofShareHolders,TradingDate" advise="1">
        <values cols="4">
          <value t="str">
            <val>櫻花建</val>
          </value>
          <value t="str">
            <val>2022/12/21</val>
          </value>
          <value t="str">
            <val>2022/06/16</val>
          </value>
          <value t="str">
            <val>2022/12/22</val>
          </value>
        </values>
      </ddeItem>
      <ddeItem name="2539.TW-ID,Name,MarketValue,Capital,NetIncomeGrowthRate,OperIncomeGrowthRate,FinancialStatementsTime,TFXRatio,MonthlyNetSalesYoY,RevenueMonth" advise="1">
        <values cols="10">
          <value t="str">
            <val>2539</val>
          </value>
          <value t="str">
            <val>櫻花建</val>
          </value>
          <value t="str">
            <val>234.8</val>
          </value>
          <value t="str">
            <val>73.51</val>
          </value>
          <value t="str">
            <val>352.85</val>
          </value>
          <value t="str">
            <val>318.63</val>
          </value>
          <value t="str">
            <val>2022/09</val>
          </value>
          <value t="str">
            <val>--</val>
          </value>
          <value t="str">
            <val>-100.00</val>
          </value>
          <value t="str">
            <val>2022/11</val>
          </value>
        </values>
      </ddeItem>
      <ddeItem name="2539.TW-OperatingProfitRatio,Price,PriceChangeRatio,InOutRatioNumber,Value,YearReturn,MonthReturn,WeekReturn,FinanceBalanceDif,ChipsField2" advise="1">
        <values cols="10">
          <value t="str">
            <val>31.18</val>
          </value>
          <value>
            <val>31.95</val>
          </value>
          <value>
            <val>0</val>
          </value>
          <value t="str">
            <val>28.57%</val>
          </value>
          <value t="str">
            <val>134萬</val>
          </value>
          <value t="str">
            <val>+17.50</val>
          </value>
          <value t="str">
            <val>0.00</val>
          </value>
          <value t="str">
            <val>-1.24</val>
          </value>
          <value>
            <val>-4</val>
          </value>
          <value>
            <val>0</val>
          </value>
        </values>
      </ddeItem>
      <ddeItem name="2540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18</val>
          </value>
          <value t="str">
            <val>2022/09/19</val>
          </value>
          <value t="str">
            <val>10.00</val>
          </value>
          <value>
            <val>13.68</val>
          </value>
          <value t="str">
            <val>4.41</val>
          </value>
          <value t="str">
            <val>0.16</val>
          </value>
          <value t="str">
            <val>愛山林</val>
          </value>
          <value t="str">
            <val>上市建材營造</val>
          </value>
          <value t="str">
            <val>甲山林旗下建商及代銷商</val>
          </value>
        </values>
      </ddeItem>
      <ddeItem name="2540.TW-CName,InvestorConferenceDate,DateofMeetingofShareHolders,TradingDate" advise="1">
        <values cols="4">
          <value t="str">
            <val>愛山林</val>
          </value>
          <value t="str">
            <val>2022/12/09</val>
          </value>
          <value t="str">
            <val>2022/06/30</val>
          </value>
          <value t="str">
            <val>2022/12/22</val>
          </value>
        </values>
      </ddeItem>
      <ddeItem name="2540.TW-ID,Name,MarketValue,Capital,NetIncomeGrowthRate,OperIncomeGrowthRate,FinancialStatementsTime,TFXRatio,MonthlyNetSalesYoY,RevenueMonth" advise="1">
        <values cols="10">
          <value t="str">
            <val>2540</val>
          </value>
          <value t="str">
            <val>愛山林</val>
          </value>
          <value t="str">
            <val>194.5</val>
          </value>
          <value t="str">
            <val>26.61</val>
          </value>
          <value t="str">
            <val>-66.95</val>
          </value>
          <value t="str">
            <val>-61.86</val>
          </value>
          <value t="str">
            <val>2022/09</val>
          </value>
          <value t="str">
            <val>-23.26</val>
          </value>
          <value t="str">
            <val>-51.98</val>
          </value>
          <value t="str">
            <val>2022/11</val>
          </value>
        </values>
      </ddeItem>
      <ddeItem name="2540.TW-OperatingProfitRatio,Price,PriceChangeRatio,InOutRatioNumber,Value,YearReturn,MonthReturn,WeekReturn,FinanceBalanceDif,ChipsField2" advise="1">
        <values cols="10">
          <value t="str">
            <val>9.30</val>
          </value>
          <value>
            <val>73.099999999999994</val>
          </value>
          <value>
            <val>0.69</val>
          </value>
          <value t="str">
            <val>90.10%</val>
          </value>
          <value t="str">
            <val>2982萬</val>
          </value>
          <value t="str">
            <val>+70.34</val>
          </value>
          <value t="str">
            <val>-2.53</val>
          </value>
          <value t="str">
            <val>+0.14</val>
          </value>
          <value>
            <val>-2</val>
          </value>
          <value>
            <val>0</val>
          </value>
        </values>
      </ddeItem>
      <ddeItem name="2542.TW-ChipsField3,ChipsField1,ChipsField25,CashAndStockDividend,CashDividendYieldRate,ProfitFourSeason,ProfitSingle,CName,ExchangeIndustry,CompanyPos" advise="1">
        <values cols="10">
          <value>
            <val>-308</val>
          </value>
          <value>
            <val>-11684</val>
          </value>
          <value t="str">
            <val>2022/09/26</val>
          </value>
          <value t="str">
            <val>5.01</val>
          </value>
          <value>
            <val>11.93</val>
          </value>
          <value t="str">
            <val>1.46</val>
          </value>
          <value t="str">
            <val>0.19</val>
          </value>
          <value t="str">
            <val>興富發</val>
          </value>
          <value t="str">
            <val>上市建材營造</val>
          </value>
          <value t="str">
            <val>台灣前十大推案建商</val>
          </value>
        </values>
      </ddeItem>
      <ddeItem name="2542.TW-CName,InvestorConferenceDate,DateofMeetingofShareHolders,TradingDate" advise="1">
        <values cols="4">
          <value t="str">
            <val>興富發</val>
          </value>
          <value t="str">
            <val>2022/12/06</val>
          </value>
          <value t="str">
            <val>2022/06/14</val>
          </value>
          <value t="str">
            <val>2022/12/22</val>
          </value>
        </values>
      </ddeItem>
      <ddeItem name="2542.TW-ID,Name,MarketValue,Capital,NetIncomeGrowthRate,OperIncomeGrowthRate,FinancialStatementsTime,TFXRatio,MonthlyNetSalesYoY,RevenueMonth" advise="1">
        <values cols="10">
          <value t="str">
            <val>2542</val>
          </value>
          <value t="str">
            <val>興富發</val>
          </value>
          <value t="str">
            <val>720.2</val>
          </value>
          <value t="str">
            <val>171.47</val>
          </value>
          <value t="str">
            <val>-84.09</val>
          </value>
          <value t="str">
            <val>-73.89</val>
          </value>
          <value t="str">
            <val>2022/09</val>
          </value>
          <value t="str">
            <val>25.97</val>
          </value>
          <value t="str">
            <val>-0.56</val>
          </value>
          <value t="str">
            <val>2022/11</val>
          </value>
        </values>
      </ddeItem>
      <ddeItem name="2542.TW-OperatingProfitRatio,Price,PriceChangeRatio,InOutRatioNumber,Value,YearReturn,MonthReturn,WeekReturn,FinanceBalanceDif,ChipsField2" advise="1">
        <values cols="10">
          <value t="str">
            <val>17.24</val>
          </value>
          <value>
            <val>42</val>
          </value>
          <value>
            <val>5</val>
          </value>
          <value t="str">
            <val>54.80%</val>
          </value>
          <value t="str">
            <val>8.62億</val>
          </value>
          <value t="str">
            <val>+7.31</val>
          </value>
          <value t="str">
            <val>-4.44</val>
          </value>
          <value t="str">
            <val>-1.41</val>
          </value>
          <value>
            <val>294</val>
          </value>
          <value>
            <val>6056</val>
          </value>
        </values>
      </ddeItem>
      <ddeItem name="254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-8</val>
          </value>
          <value t="str">
            <val>--</val>
          </value>
          <value t="str">
            <val>0.00</val>
          </value>
          <value>
            <val>0</val>
          </value>
          <value t="str">
            <val>2.21</val>
          </value>
          <value t="str">
            <val>-0.02</val>
          </value>
          <value t="str">
            <val>皇昌</val>
          </value>
          <value t="str">
            <val>上市建材營造</val>
          </value>
          <value t="str">
            <val>主要承攬公共工程之營造廠</val>
          </value>
        </values>
      </ddeItem>
      <ddeItem name="2543.TW-CName,InvestorConferenceDate,DateofMeetingofShareHolders,TradingDate" advise="1">
        <values cols="4">
          <value t="str">
            <val>皇昌</val>
          </value>
          <value t="str">
            <val>2022/12/05</val>
          </value>
          <value t="str">
            <val>2022/06/21</val>
          </value>
          <value t="str">
            <val>2022/12/22</val>
          </value>
        </values>
      </ddeItem>
      <ddeItem name="2543.TW-ID,Name,MarketValue,Capital,NetIncomeGrowthRate,OperIncomeGrowthRate,FinancialStatementsTime,TFXRatio,MonthlyNetSalesYoY,RevenueMonth" advise="1">
        <values cols="10">
          <value t="str">
            <val>2543</val>
          </value>
          <value t="str">
            <val>皇昌</val>
          </value>
          <value t="str">
            <val>21.2</val>
          </value>
          <value t="str">
            <val>23.75</val>
          </value>
          <value t="str">
            <val>229.45</val>
          </value>
          <value t="str">
            <val>146.16</val>
          </value>
          <value t="str">
            <val>2022/09</val>
          </value>
          <value t="str">
            <val>25.14</val>
          </value>
          <value t="str">
            <val>4.38</val>
          </value>
          <value t="str">
            <val>2022/11</val>
          </value>
        </values>
      </ddeItem>
      <ddeItem name="2543.TW-OperatingProfitRatio,Price,PriceChangeRatio,InOutRatioNumber,Value,YearReturn,MonthReturn,WeekReturn,FinanceBalanceDif,ChipsField2" advise="1">
        <values cols="10">
          <value t="str">
            <val>4.37</val>
          </value>
          <value>
            <val>8.91</val>
          </value>
          <value>
            <val>0.91</val>
          </value>
          <value t="str">
            <val>31.25%</val>
          </value>
          <value t="str">
            <val>43.4萬</val>
          </value>
          <value t="str">
            <val>+12.93</val>
          </value>
          <value t="str">
            <val>+5.95</val>
          </value>
          <value t="str">
            <val>-2.94</val>
          </value>
          <value>
            <val>-35</val>
          </value>
          <value>
            <val>0</val>
          </value>
        </values>
      </ddeItem>
      <ddeItem name="2545.TW-ChipsField3,ChipsField1,ChipsField25,CashAndStockDividend,CashDividendYieldRate,ProfitFourSeason,ProfitSingle,CName,ExchangeIndustry,CompanyPos" advise="1">
        <values cols="10">
          <value>
            <val>-4</val>
          </value>
          <value>
            <val>-32</val>
          </value>
          <value t="str">
            <val>2022/06/20</val>
          </value>
          <value t="str">
            <val>6.30</val>
          </value>
          <value>
            <val>15.65</val>
          </value>
          <value t="str">
            <val>9.70</val>
          </value>
          <value t="str">
            <val>0.98</val>
          </value>
          <value t="str">
            <val>皇翔</val>
          </value>
          <value t="str">
            <val>上市建材營造</val>
          </value>
          <value t="str">
            <val>推案集中於大台北地區建商，知名推案為皇翔御琚</val>
          </value>
        </values>
      </ddeItem>
      <ddeItem name="2545.TW-CName,InvestorConferenceDate,DateofMeetingofShareHolders,TradingDate" advise="1">
        <values cols="4">
          <value t="str">
            <val>皇翔</val>
          </value>
          <value t="str">
            <val>2022/11/10</val>
          </value>
          <value t="str">
            <val>2022/06/01</val>
          </value>
          <value t="str">
            <val>2022/12/22</val>
          </value>
        </values>
      </ddeItem>
      <ddeItem name="2545.TW-ID,Name,MarketValue,Capital,NetIncomeGrowthRate,OperIncomeGrowthRate,FinancialStatementsTime,TFXRatio,MonthlyNetSalesYoY,RevenueMonth" advise="1">
        <values cols="10">
          <value t="str">
            <val>2545</val>
          </value>
          <value t="str">
            <val>皇翔</val>
          </value>
          <value t="str">
            <val>131.9</val>
          </value>
          <value t="str">
            <val>32.77</val>
          </value>
          <value t="str">
            <val>73.03</val>
          </value>
          <value t="str">
            <val>35.37</val>
          </value>
          <value t="str">
            <val>2022/09</val>
          </value>
          <value t="str">
            <val>-12.89</val>
          </value>
          <value t="str">
            <val>-62.89</val>
          </value>
          <value t="str">
            <val>2022/11</val>
          </value>
        </values>
      </ddeItem>
      <ddeItem name="2545.TW-OperatingProfitRatio,Price,PriceChangeRatio,InOutRatioNumber,Value,YearReturn,MonthReturn,WeekReturn,FinanceBalanceDif,ChipsField2" advise="1">
        <values cols="10">
          <value t="str">
            <val>30.16</val>
          </value>
          <value>
            <val>40.25</val>
          </value>
          <value>
            <val>0</val>
          </value>
          <value t="str">
            <val>25.45%</val>
          </value>
          <value t="str">
            <val>888萬</val>
          </value>
          <value t="str">
            <val>+22.74</val>
          </value>
          <value t="str">
            <val>-2.31</val>
          </value>
          <value t="str">
            <val>-2.31</val>
          </value>
          <value>
            <val>-1</val>
          </value>
          <value>
            <val>0</val>
          </value>
        </values>
      </ddeItem>
      <ddeItem name="2546.TW-ChipsField3,ChipsField1,ChipsField25,CashAndStockDividend,CashDividendYieldRate,ProfitFourSeason,ProfitSingle,CName,ExchangeIndustry,CompanyPos" advise="1">
        <values cols="10">
          <value>
            <val>20</val>
          </value>
          <value>
            <val>6</val>
          </value>
          <value t="str">
            <val>2022/08/01</val>
          </value>
          <value t="str">
            <val>3.60</val>
          </value>
          <value>
            <val>7.14</val>
          </value>
          <value t="str">
            <val>6.87</val>
          </value>
          <value t="str">
            <val>2.30</val>
          </value>
          <value t="str">
            <val>根基</val>
          </value>
          <value t="str">
            <val>上市建材營造</val>
          </value>
          <value t="str">
            <val>冠德旗下住宅及土木工程營造廠</val>
          </value>
        </values>
      </ddeItem>
      <ddeItem name="2546.TW-CName,InvestorConferenceDate,DateofMeetingofShareHolders,TradingDate" advise="1">
        <values cols="4">
          <value t="str">
            <val>根基</val>
          </value>
          <value t="str">
            <val>2022/11/24</val>
          </value>
          <value t="str">
            <val>2022/06/15</val>
          </value>
          <value t="str">
            <val>2022/12/22</val>
          </value>
        </values>
      </ddeItem>
      <ddeItem name="2546.TW-ID,Name,MarketValue,Capital,NetIncomeGrowthRate,OperIncomeGrowthRate,FinancialStatementsTime,TFXRatio,MonthlyNetSalesYoY,RevenueMonth" advise="1">
        <values cols="10">
          <value t="str">
            <val>2546</val>
          </value>
          <value t="str">
            <val>根基</val>
          </value>
          <value t="str">
            <val>58.8</val>
          </value>
          <value t="str">
            <val>11.66</val>
          </value>
          <value t="str">
            <val>1.20</val>
          </value>
          <value t="str">
            <val>10.14</val>
          </value>
          <value t="str">
            <val>2022/09</val>
          </value>
          <value t="str">
            <val>49.69</val>
          </value>
          <value t="str">
            <val>117.14</val>
          </value>
          <value t="str">
            <val>2022/11</val>
          </value>
        </values>
      </ddeItem>
      <ddeItem name="2546.TW-OperatingProfitRatio,Price,PriceChangeRatio,InOutRatioNumber,Value,YearReturn,MonthReturn,WeekReturn,FinanceBalanceDif,ChipsField2" advise="1">
        <values cols="10">
          <value t="str">
            <val>7.89</val>
          </value>
          <value>
            <val>50.4</val>
          </value>
          <value>
            <val>0.6</val>
          </value>
          <value t="str">
            <val>19.51%</val>
          </value>
          <value t="str">
            <val>206萬</val>
          </value>
          <value t="str">
            <val>+19.05</val>
          </value>
          <value t="str">
            <val>+3.07</val>
          </value>
          <value t="str">
            <val>-1.18</val>
          </value>
          <value>
            <val>0</val>
          </value>
          <value>
            <val>0</val>
          </value>
        </values>
      </ddeItem>
      <ddeItem name="2547.TW-ChipsField3,ChipsField1,ChipsField25,CashAndStockDividend,CashDividendYieldRate,ProfitFourSeason,ProfitSingle,CName,ExchangeIndustry,CompanyPos" advise="1">
        <values cols="10">
          <value>
            <val>-6</val>
          </value>
          <value>
            <val>-85</val>
          </value>
          <value t="str">
            <val>2022/08/09</val>
          </value>
          <value t="str">
            <val>0.20</val>
          </value>
          <value>
            <val>2.2000000000000002</val>
          </value>
          <value t="str">
            <val>0.30</val>
          </value>
          <value t="str">
            <val>-0.03</val>
          </value>
          <value t="str">
            <val>日勝生</val>
          </value>
          <value t="str">
            <val>上市建材營造</val>
          </value>
          <value t="str">
            <val>以政府開發案起家，橫跨建築、百貨及觀光的中型建商</val>
          </value>
        </values>
      </ddeItem>
      <ddeItem name="2547.TW-CName,InvestorConferenceDate,DateofMeetingofShareHolders,TradingDate" advise="1">
        <values cols="4">
          <value t="str">
            <val>日勝生</val>
          </value>
          <value t="str">
            <val>2022/12/07</val>
          </value>
          <value t="str">
            <val>2022/05/27</val>
          </value>
          <value t="str">
            <val>2022/12/22</val>
          </value>
        </values>
      </ddeItem>
      <ddeItem name="2547.TW-ID,Name,MarketValue,Capital,NetIncomeGrowthRate,OperIncomeGrowthRate,FinancialStatementsTime,TFXRatio,MonthlyNetSalesYoY,RevenueMonth" advise="1">
        <values cols="10">
          <value t="str">
            <val>2547</val>
          </value>
          <value t="str">
            <val>日勝生</val>
          </value>
          <value t="str">
            <val>80.1</val>
          </value>
          <value t="str">
            <val>88.01</val>
          </value>
          <value t="str">
            <val>125.88</val>
          </value>
          <value t="str">
            <val>59.24</val>
          </value>
          <value t="str">
            <val>2022/09</val>
          </value>
          <value t="str">
            <val>-12.77</val>
          </value>
          <value t="str">
            <val>-27.70</val>
          </value>
          <value t="str">
            <val>2022/11</val>
          </value>
        </values>
      </ddeItem>
      <ddeItem name="2547.TW-OperatingProfitRatio,Price,PriceChangeRatio,InOutRatioNumber,Value,YearReturn,MonthReturn,WeekReturn,FinanceBalanceDif,ChipsField2" advise="1">
        <values cols="10">
          <value t="str">
            <val>16.57</val>
          </value>
          <value>
            <val>9.1</val>
          </value>
          <value>
            <val>0.44</val>
          </value>
          <value t="str">
            <val>45.10%</val>
          </value>
          <value t="str">
            <val>237萬</val>
          </value>
          <value t="str">
            <val>-6.90</val>
          </value>
          <value t="str">
            <val>-0.76</val>
          </value>
          <value t="str">
            <val>-0.87</val>
          </value>
          <value>
            <val>0</val>
          </value>
          <value>
            <val>0</val>
          </value>
        </values>
      </ddeItem>
      <ddeItem name="2548.TW-ChipsField3,ChipsField1,ChipsField25,CashAndStockDividend,CashDividendYieldRate,ProfitFourSeason,ProfitSingle,CName,ExchangeIndustry,CompanyPos" advise="1">
        <values cols="10">
          <value>
            <val>-13</val>
          </value>
          <value>
            <val>-6</val>
          </value>
          <value t="str">
            <val>2022/06/22</val>
          </value>
          <value t="str">
            <val>7.50</val>
          </value>
          <value>
            <val>8.49</val>
          </value>
          <value t="str">
            <val>15.41</val>
          </value>
          <value t="str">
            <val>0.97</val>
          </value>
          <value t="str">
            <val>華固</val>
          </value>
          <value t="str">
            <val>上市建材營造</val>
          </value>
          <value t="str">
            <val>大台北地區中型建商，並轉向地上權開發</val>
          </value>
        </values>
      </ddeItem>
      <ddeItem name="2548.TW-CName,InvestorConferenceDate,DateofMeetingofShareHolders,TradingDate" advise="1">
        <values cols="4">
          <value t="str">
            <val>華固</val>
          </value>
          <value t="str">
            <val>2022/12/14</val>
          </value>
          <value t="str">
            <val>2022/05/31</val>
          </value>
          <value t="str">
            <val>2022/12/22</val>
          </value>
        </values>
      </ddeItem>
      <ddeItem name="2548.TW-ID,Name,MarketValue,Capital,NetIncomeGrowthRate,OperIncomeGrowthRate,FinancialStatementsTime,TFXRatio,MonthlyNetSalesYoY,RevenueMonth" advise="1">
        <values cols="10">
          <value t="str">
            <val>2548</val>
          </value>
          <value t="str">
            <val>華固</val>
          </value>
          <value t="str">
            <val>244.4</val>
          </value>
          <value t="str">
            <val>27.68</val>
          </value>
          <value t="str">
            <val>80.45</val>
          </value>
          <value t="str">
            <val>86.18</val>
          </value>
          <value t="str">
            <val>2022/09</val>
          </value>
          <value t="str">
            <val>-52.42</val>
          </value>
          <value t="str">
            <val>-96.76</val>
          </value>
          <value t="str">
            <val>2022/11</val>
          </value>
        </values>
      </ddeItem>
      <ddeItem name="2548.TW-OperatingProfitRatio,Price,PriceChangeRatio,InOutRatioNumber,Value,YearReturn,MonthReturn,WeekReturn,FinanceBalanceDif,ChipsField2" advise="1">
        <values cols="10">
          <value t="str">
            <val>25.97</val>
          </value>
          <value>
            <val>88.3</val>
          </value>
          <value>
            <val>0</val>
          </value>
          <value t="str">
            <val>35.03%</val>
          </value>
          <value t="str">
            <val>1559萬</val>
          </value>
          <value t="str">
            <val>+4.91</val>
          </value>
          <value t="str">
            <val>+2.56</val>
          </value>
          <value t="str">
            <val>+0.80</val>
          </value>
          <value>
            <val>15</val>
          </value>
          <value>
            <val>0</val>
          </value>
        </values>
      </ddeItem>
      <ddeItem name="2597.TW-ChipsField3,ChipsField1,ChipsField25,CashAndStockDividend,CashDividendYieldRate,ProfitFourSeason,ProfitSingle,CName,ExchangeIndustry,CompanyPos" advise="1">
        <values cols="10">
          <value>
            <val>-18</val>
          </value>
          <value>
            <val>-9</val>
          </value>
          <value t="str">
            <val>2022/07/12</val>
          </value>
          <value t="str">
            <val>9.00</val>
          </value>
          <value>
            <val>7.41</val>
          </value>
          <value t="str">
            <val>11.23</val>
          </value>
          <value t="str">
            <val>3.97</val>
          </value>
          <value t="str">
            <val>潤弘</val>
          </value>
          <value t="str">
            <val>上市建材營造</val>
          </value>
          <value t="str">
            <val>潤泰集團旗下營造廠</val>
          </value>
        </values>
      </ddeItem>
      <ddeItem name="2597.TW-CName,InvestorConferenceDate,DateofMeetingofShareHolders,TradingDate" advise="1">
        <values cols="4">
          <value t="str">
            <val>潤弘</val>
          </value>
          <value t="str">
            <val>2022/11/25</val>
          </value>
          <value t="str">
            <val>2022/05/27</val>
          </value>
          <value t="str">
            <val>2022/12/22</val>
          </value>
        </values>
      </ddeItem>
      <ddeItem name="2597.TW-ID,Name,MarketValue,Capital,NetIncomeGrowthRate,OperIncomeGrowthRate,FinancialStatementsTime,TFXRatio,MonthlyNetSalesYoY,RevenueMonth" advise="1">
        <values cols="10">
          <value t="str">
            <val>2597</val>
          </value>
          <value t="str">
            <val>潤弘</val>
          </value>
          <value t="str">
            <val>224.7</val>
          </value>
          <value t="str">
            <val>18.50</val>
          </value>
          <value t="str">
            <val>25.60</val>
          </value>
          <value t="str">
            <val>5.74</val>
          </value>
          <value t="str">
            <val>2022/09</val>
          </value>
          <value t="str">
            <val>5.81</val>
          </value>
          <value t="str">
            <val>15.72</val>
          </value>
          <value t="str">
            <val>2022/11</val>
          </value>
        </values>
      </ddeItem>
      <ddeItem name="2597.TW-OperatingProfitRatio,Price,PriceChangeRatio,InOutRatioNumber,Value,YearReturn,MonthReturn,WeekReturn,FinanceBalanceDif,ChipsField2" advise="1">
        <values cols="10">
          <value t="str">
            <val>9.73</val>
          </value>
          <value>
            <val>121.5</val>
          </value>
          <value>
            <val>0.41</val>
          </value>
          <value t="str">
            <val>42.55%</val>
          </value>
          <value t="str">
            <val>1160萬</val>
          </value>
          <value t="str">
            <val>+10.14</val>
          </value>
          <value t="str">
            <val>+16.27</val>
          </value>
          <value t="str">
            <val>+2.10</val>
          </value>
          <value>
            <val>1</val>
          </value>
          <value>
            <val>81</val>
          </value>
        </values>
      </ddeItem>
      <ddeItem name="2601.TW-ChipsField3,ChipsField1,ChipsField25,CashAndStockDividend,CashDividendYieldRate,ProfitFourSeason,ProfitSingle,CName,ExchangeIndustry,CompanyPos" advise="1">
        <values cols="10">
          <value>
            <val>-385</val>
          </value>
          <value>
            <val>429</val>
          </value>
          <value t="str">
            <val>--</val>
          </value>
          <value t="str">
            <val>0.00</val>
          </value>
          <value>
            <val>0</val>
          </value>
          <value t="str">
            <val>0.14</val>
          </value>
          <value t="str">
            <val>-0.03</val>
          </value>
          <value t="str">
            <val>益航</val>
          </value>
          <value t="str">
            <val>上市貿易百貨</val>
          </value>
          <value t="str">
            <val>從事散裝航運，在大陸持有大洋百貨</val>
          </value>
        </values>
      </ddeItem>
      <ddeItem name="2601.TW-CName,InvestorConferenceDate,DateofMeetingofShareHolders,TradingDate" advise="1">
        <values cols="4">
          <value t="str">
            <val>益航</val>
          </value>
          <value t="str">
            <val>2022/12/02</val>
          </value>
          <value t="str">
            <val>2022/06/24</val>
          </value>
          <value t="str">
            <val>2022/12/22</val>
          </value>
        </values>
      </ddeItem>
      <ddeItem name="2601.TW-ID,Name,MarketValue,Capital,NetIncomeGrowthRate,OperIncomeGrowthRate,FinancialStatementsTime,TFXRatio,MonthlyNetSalesYoY,RevenueMonth" advise="1">
        <values cols="10">
          <value t="str">
            <val>2601</val>
          </value>
          <value t="str">
            <val>益航</val>
          </value>
          <value t="str">
            <val>75.8</val>
          </value>
          <value t="str">
            <val>83.48</val>
          </value>
          <value t="str">
            <val>-244.50</val>
          </value>
          <value t="str">
            <val>-13.35</val>
          </value>
          <value t="str">
            <val>2022/09</val>
          </value>
          <value t="str">
            <val>-15.22</val>
          </value>
          <value t="str">
            <val>-34.24</val>
          </value>
          <value t="str">
            <val>2022/11</val>
          </value>
        </values>
      </ddeItem>
      <ddeItem name="2601.TW-OperatingProfitRatio,Price,PriceChangeRatio,InOutRatioNumber,Value,YearReturn,MonthReturn,WeekReturn,FinanceBalanceDif,ChipsField2" advise="1">
        <values cols="10">
          <value t="str">
            <val>10.79</val>
          </value>
          <value>
            <val>9.08</val>
          </value>
          <value>
            <val>1.91</val>
          </value>
          <value t="str">
            <val>58.70%</val>
          </value>
          <value t="str">
            <val>6245萬</val>
          </value>
          <value t="str">
            <val>-30.69</val>
          </value>
          <value t="str">
            <val>+11.69</val>
          </value>
          <value t="str">
            <val>+1.57</val>
          </value>
          <value>
            <val>-10</val>
          </value>
          <value>
            <val>0</val>
          </value>
        </values>
      </ddeItem>
      <ddeItem name="2603.TW-ChipsField3,ChipsField1,ChipsField25,CashAndStockDividend,CashDividendYieldRate,ProfitFourSeason,ProfitSingle,CName,ExchangeIndustry,CompanyPos" advise="1">
        <values cols="10">
          <value>
            <val>-335</val>
          </value>
          <value>
            <val>2261</val>
          </value>
          <value t="str">
            <val>2022/06/29</val>
          </value>
          <value t="str">
            <val>18.00</val>
          </value>
          <value>
            <val>10.5</val>
          </value>
          <value t="str">
            <val>83.13</val>
          </value>
          <value t="str">
            <val>37.25</val>
          </value>
          <value t="str">
            <val>長榮</val>
          </value>
          <value t="str">
            <val>上市航運業</val>
          </value>
          <value t="str">
            <val>全球前七大貨櫃航商，且為台灣最大</val>
          </value>
        </values>
      </ddeItem>
      <ddeItem name="2603.TW-CName,InvestorConferenceDate,DateofMeetingofShareHolders,TradingDate" advise="1">
        <values cols="4">
          <value t="str">
            <val>長榮</val>
          </value>
          <value t="str">
            <val>2022/10/14</val>
          </value>
          <value t="str">
            <val>2022/05/30</val>
          </value>
          <value t="str">
            <val>2022/12/22</val>
          </value>
        </values>
      </ddeItem>
      <ddeItem name="2603.TW-ID,Name,MarketValue,Capital,NetIncomeGrowthRate,OperIncomeGrowthRate,FinancialStatementsTime,TFXRatio,MonthlyNetSalesYoY,RevenueMonth" advise="1">
        <values cols="10">
          <value t="str">
            <val>2603</val>
          </value>
          <value t="str">
            <val>長榮</val>
          </value>
          <value t="str">
            <val>3629.7</val>
          </value>
          <value t="str">
            <val>211.64</val>
          </value>
          <value t="str">
            <val>77.87</val>
          </value>
          <value t="str">
            <val>78.02</val>
          </value>
          <value t="str">
            <val>2022/09</val>
          </value>
          <value t="str">
            <val>-20.93</val>
          </value>
          <value t="str">
            <val>-29.29</val>
          </value>
          <value t="str">
            <val>2022/11</val>
          </value>
        </values>
      </ddeItem>
      <ddeItem name="2603.TW-OperatingProfitRatio,Price,PriceChangeRatio,InOutRatioNumber,Value,YearReturn,MonthReturn,WeekReturn,FinanceBalanceDif,ChipsField2" advise="1">
        <values cols="10">
          <value t="str">
            <val>66.24</val>
          </value>
          <value>
            <val>171.5</val>
          </value>
          <value>
            <val>4.57</val>
          </value>
          <value t="str">
            <val>65.25%</val>
          </value>
          <value t="str">
            <val>102億</val>
          </value>
          <value t="str">
            <val>-37.21</val>
          </value>
          <value t="str">
            <val>+16.27</val>
          </value>
          <value t="str">
            <val>+12.83</val>
          </value>
          <value>
            <val>353</val>
          </value>
          <value>
            <val>4319</val>
          </value>
        </values>
      </ddeItem>
      <ddeItem name="2605.TW-ChipsField3,ChipsField1,ChipsField25,CashAndStockDividend,CashDividendYieldRate,ProfitFourSeason,ProfitSingle,CName,ExchangeIndustry,CompanyPos" advise="1">
        <values cols="10">
          <value>
            <val>-6</val>
          </value>
          <value>
            <val>856</val>
          </value>
          <value t="str">
            <val>2022/07/25</val>
          </value>
          <value t="str">
            <val>1.00</val>
          </value>
          <value>
            <val>4.67</val>
          </value>
          <value t="str">
            <val>0.39</val>
          </value>
          <value t="str">
            <val>-0.17</val>
          </value>
          <value t="str">
            <val>新興</val>
          </value>
          <value t="str">
            <val>上市航運業</val>
          </value>
          <value t="str">
            <val>台灣前四大散裝船商</val>
          </value>
        </values>
      </ddeItem>
      <ddeItem name="2605.TW-CName,InvestorConferenceDate,DateofMeetingofShareHolders,TradingDate" advise="1">
        <values cols="4">
          <value t="str">
            <val>新興</val>
          </value>
          <value t="str">
            <val>2022/12/13</val>
          </value>
          <value t="str">
            <val>2022/06/10</val>
          </value>
          <value t="str">
            <val>2022/12/22</val>
          </value>
        </values>
      </ddeItem>
      <ddeItem name="2605.TW-ID,Name,MarketValue,Capital,NetIncomeGrowthRate,OperIncomeGrowthRate,FinancialStatementsTime,TFXRatio,MonthlyNetSalesYoY,RevenueMonth" advise="1">
        <values cols="10">
          <value t="str">
            <val>2605</val>
          </value>
          <value t="str">
            <val>新興</val>
          </value>
          <value t="str">
            <val>125.3</val>
          </value>
          <value t="str">
            <val>58.54</val>
          </value>
          <value t="str">
            <val>-91.95</val>
          </value>
          <value t="str">
            <val>-65.21</val>
          </value>
          <value t="str">
            <val>2022/09</val>
          </value>
          <value t="str">
            <val>25.07</val>
          </value>
          <value t="str">
            <val>-4.82</val>
          </value>
          <value t="str">
            <val>2022/11</val>
          </value>
        </values>
      </ddeItem>
      <ddeItem name="2605.TW-OperatingProfitRatio,Price,PriceChangeRatio,InOutRatioNumber,Value,YearReturn,MonthReturn,WeekReturn,FinanceBalanceDif,ChipsField2" advise="1">
        <values cols="10">
          <value t="str">
            <val>6.81</val>
          </value>
          <value>
            <val>21.4</val>
          </value>
          <value>
            <val>4.6500000000000004</val>
          </value>
          <value t="str">
            <val>47.30%</val>
          </value>
          <value t="str">
            <val>4.54億</val>
          </value>
          <value t="str">
            <val>-28.95</val>
          </value>
          <value t="str">
            <val>+15.99</val>
          </value>
          <value t="str">
            <val>+7.27</val>
          </value>
          <value>
            <val>-573</val>
          </value>
          <value>
            <val>0</val>
          </value>
        </values>
      </ddeItem>
      <ddeItem name="2606.TW-ChipsField3,ChipsField1,ChipsField25,CashAndStockDividend,CashDividendYieldRate,ProfitFourSeason,ProfitSingle,CName,ExchangeIndustry,CompanyPos" advise="1">
        <values cols="10">
          <value>
            <val>447</val>
          </value>
          <value>
            <val>-11543</val>
          </value>
          <value t="str">
            <val>2022/06/27</val>
          </value>
          <value t="str">
            <val>3.00</val>
          </value>
          <value>
            <val>5.78</val>
          </value>
          <value t="str">
            <val>6.67</val>
          </value>
          <value t="str">
            <val>2.18</val>
          </value>
          <value t="str">
            <val>裕民</val>
          </value>
          <value t="str">
            <val>上市航運業</val>
          </value>
          <value t="str">
            <val>台灣最大散裝航運公司之一</val>
          </value>
        </values>
      </ddeItem>
      <ddeItem name="2606.TW-CName,InvestorConferenceDate,DateofMeetingofShareHolders,TradingDate" advise="1">
        <values cols="4">
          <value t="str">
            <val>裕民</val>
          </value>
          <value t="str">
            <val>2022/12/13</val>
          </value>
          <value t="str">
            <val>2022/06/08</val>
          </value>
          <value t="str">
            <val>2022/12/22</val>
          </value>
        </values>
      </ddeItem>
      <ddeItem name="2606.TW-ID,Name,MarketValue,Capital,NetIncomeGrowthRate,OperIncomeGrowthRate,FinancialStatementsTime,TFXRatio,MonthlyNetSalesYoY,RevenueMonth" advise="1">
        <values cols="10">
          <value t="str">
            <val>2606</val>
          </value>
          <value t="str">
            <val>裕民</val>
          </value>
          <value t="str">
            <val>438.6</val>
          </value>
          <value t="str">
            <val>84.51</val>
          </value>
          <value t="str">
            <val>23.83</val>
          </value>
          <value t="str">
            <val>64.07</val>
          </value>
          <value t="str">
            <val>2022/09</val>
          </value>
          <value t="str">
            <val>-16.49</val>
          </value>
          <value t="str">
            <val>-34.42</val>
          </value>
          <value t="str">
            <val>2022/11</val>
          </value>
        </values>
      </ddeItem>
      <ddeItem name="2606.TW-OperatingProfitRatio,Price,PriceChangeRatio,InOutRatioNumber,Value,YearReturn,MonthReturn,WeekReturn,FinanceBalanceDif,ChipsField2" advise="1">
        <values cols="10">
          <value t="str">
            <val>33.92</val>
          </value>
          <value>
            <val>51.9</val>
          </value>
          <value>
            <val>4.95</val>
          </value>
          <value t="str">
            <val>64.57%</val>
          </value>
          <value t="str">
            <val>16.9億</val>
          </value>
          <value t="str">
            <val>-12.63</val>
          </value>
          <value t="str">
            <val>+24.46</val>
          </value>
          <value t="str">
            <val>+7.68</val>
          </value>
          <value>
            <val>-26</val>
          </value>
          <value>
            <val>9627</val>
          </value>
        </values>
      </ddeItem>
      <ddeItem name="2607.TW-ChipsField3,ChipsField1,ChipsField25,CashAndStockDividend,CashDividendYieldRate,ProfitFourSeason,ProfitSingle,CName,ExchangeIndustry,CompanyPos" advise="1">
        <values cols="10">
          <value>
            <val>-172</val>
          </value>
          <value>
            <val>696</val>
          </value>
          <value t="str">
            <val>2022/07/21</val>
          </value>
          <value t="str">
            <val>0.40</val>
          </value>
          <value>
            <val>1.39</val>
          </value>
          <value t="str">
            <val>3.13</val>
          </value>
          <value t="str">
            <val>0.88</val>
          </value>
          <value t="str">
            <val>榮運</val>
          </value>
          <value t="str">
            <val>上市航運業</val>
          </value>
          <value t="str">
            <val>長榮集團旗之內陸貨櫃運輸及倉儲服務業者</val>
          </value>
        </values>
      </ddeItem>
      <ddeItem name="2607.TW-CName,InvestorConferenceDate,DateofMeetingofShareHolders,TradingDate" advise="1">
        <values cols="4">
          <value t="str">
            <val>榮運</val>
          </value>
          <value t="str">
            <val>2022/10/14</val>
          </value>
          <value t="str">
            <val>2022/06/14</val>
          </value>
          <value t="str">
            <val>2022/12/22</val>
          </value>
        </values>
      </ddeItem>
      <ddeItem name="2607.TW-ID,Name,MarketValue,Capital,NetIncomeGrowthRate,OperIncomeGrowthRate,FinancialStatementsTime,TFXRatio,MonthlyNetSalesYoY,RevenueMonth" advise="1">
        <values cols="10">
          <value t="str">
            <val>2607</val>
          </value>
          <value t="str">
            <val>榮運</val>
          </value>
          <value t="str">
            <val>306.3</val>
          </value>
          <value t="str">
            <val>106.71</val>
          </value>
          <value t="str">
            <val>340.82</val>
          </value>
          <value t="str">
            <val>447.59</val>
          </value>
          <value t="str">
            <val>2022/09</val>
          </value>
          <value t="str">
            <val>-3.09</val>
          </value>
          <value t="str">
            <val>26.71</val>
          </value>
          <value t="str">
            <val>2022/11</val>
          </value>
        </values>
      </ddeItem>
      <ddeItem name="2607.TW-OperatingProfitRatio,Price,PriceChangeRatio,InOutRatioNumber,Value,YearReturn,MonthReturn,WeekReturn,FinanceBalanceDif,ChipsField2" advise="1">
        <values cols="10">
          <value t="str">
            <val>19.38</val>
          </value>
          <value>
            <val>28.7</val>
          </value>
          <value>
            <val>1.41</val>
          </value>
          <value t="str">
            <val>51.97%</val>
          </value>
          <value t="str">
            <val>4.14億</val>
          </value>
          <value t="str">
            <val>+1.02</val>
          </value>
          <value t="str">
            <val>+4.36</val>
          </value>
          <value t="str">
            <val>+3.80</val>
          </value>
          <value>
            <val>9</val>
          </value>
          <value>
            <val>0</val>
          </value>
        </values>
      </ddeItem>
      <ddeItem name="2608.TW-ChipsField3,ChipsField1,ChipsField25,CashAndStockDividend,CashDividendYieldRate,ProfitFourSeason,ProfitSingle,CName,ExchangeIndustry,CompanyPos" advise="1">
        <values cols="10">
          <value>
            <val>-9</val>
          </value>
          <value>
            <val>-34</val>
          </value>
          <value t="str">
            <val>2022/07/06</val>
          </value>
          <value t="str">
            <val>1.65</val>
          </value>
          <value>
            <val>4.32</val>
          </value>
          <value t="str">
            <val>2.88</val>
          </value>
          <value t="str">
            <val>0.65</val>
          </value>
          <value t="str">
            <val>嘉里大榮</val>
          </value>
          <value t="str">
            <val>上市航運業</val>
          </value>
          <value t="str">
            <val>台灣大型物流貨運公司，港資嘉里物流為最大股東</val>
          </value>
        </values>
      </ddeItem>
      <ddeItem name="2608.TW-CName,InvestorConferenceDate,DateofMeetingofShareHolders,TradingDate" advise="1">
        <values cols="4">
          <value t="str">
            <val>嘉里大榮</val>
          </value>
          <value t="str">
            <val>2021/12/08</val>
          </value>
          <value t="str">
            <val>2022/06/15</val>
          </value>
          <value t="str">
            <val>2022/12/22</val>
          </value>
        </values>
      </ddeItem>
      <ddeItem name="2608.TW-ID,Name,MarketValue,Capital,NetIncomeGrowthRate,OperIncomeGrowthRate,FinancialStatementsTime,TFXRatio,MonthlyNetSalesYoY,RevenueMonth" advise="1">
        <values cols="10">
          <value t="str">
            <val>2608</val>
          </value>
          <value t="str">
            <val>嘉里大榮</val>
          </value>
          <value t="str">
            <val>178.4</val>
          </value>
          <value t="str">
            <val>46.70</val>
          </value>
          <value t="str">
            <val>-1.81</val>
          </value>
          <value t="str">
            <val>-7.94</val>
          </value>
          <value t="str">
            <val>2022/09</val>
          </value>
          <value t="str">
            <val>8.04</val>
          </value>
          <value t="str">
            <val>-9.91</val>
          </value>
          <value t="str">
            <val>2022/11</val>
          </value>
        </values>
      </ddeItem>
      <ddeItem name="2608.TW-OperatingProfitRatio,Price,PriceChangeRatio,InOutRatioNumber,Value,YearReturn,MonthReturn,WeekReturn,FinanceBalanceDif,ChipsField2" advise="1">
        <values cols="10">
          <value t="str">
            <val>12.97</val>
          </value>
          <value>
            <val>38.200000000000003</val>
          </value>
          <value>
            <val>1.06</val>
          </value>
          <value t="str">
            <val>57.31%</val>
          </value>
          <value t="str">
            <val>1663萬</val>
          </value>
          <value t="str">
            <val>-10.86</val>
          </value>
          <value t="str">
            <val>+5.23</val>
          </value>
          <value t="str">
            <val>+0.66</val>
          </value>
          <value>
            <val>-59</val>
          </value>
          <value>
            <val>0</val>
          </value>
        </values>
      </ddeItem>
      <ddeItem name="2609.TW-ChipsField3,ChipsField1,ChipsField25,CashAndStockDividend,CashDividendYieldRate,ProfitFourSeason,ProfitSingle,CName,ExchangeIndustry,CompanyPos" advise="1">
        <values cols="10">
          <value>
            <val>800</val>
          </value>
          <value>
            <val>34145</val>
          </value>
          <value t="str">
            <val>2022/06/27</val>
          </value>
          <value t="str">
            <val>20.00</val>
          </value>
          <value>
            <val>29.41</val>
          </value>
          <value t="str">
            <val>63.82</val>
          </value>
          <value t="str">
            <val>14.25</val>
          </value>
          <value t="str">
            <val>陽明</val>
          </value>
          <value t="str">
            <val>上市航運業</val>
          </value>
          <value t="str">
            <val>台灣第二大貨櫃海運公司</val>
          </value>
        </values>
      </ddeItem>
      <ddeItem name="2609.TW-CName,InvestorConferenceDate,DateofMeetingofShareHolders,TradingDate" advise="1">
        <values cols="4">
          <value t="str">
            <val>陽明</val>
          </value>
          <value t="str">
            <val>2022/09/07</val>
          </value>
          <value t="str">
            <val>2022/05/27</val>
          </value>
          <value t="str">
            <val>2022/12/22</val>
          </value>
        </values>
      </ddeItem>
      <ddeItem name="2609.TW-ID,Name,MarketValue,Capital,NetIncomeGrowthRate,OperIncomeGrowthRate,FinancialStatementsTime,TFXRatio,MonthlyNetSalesYoY,RevenueMonth" advise="1">
        <values cols="10">
          <value t="str">
            <val>2609</val>
          </value>
          <value t="str">
            <val>陽明</val>
          </value>
          <value t="str">
            <val>2374.6</val>
          </value>
          <value t="str">
            <val>349.21</val>
          </value>
          <value t="str">
            <val>50.95</val>
          </value>
          <value t="str">
            <val>50.25</val>
          </value>
          <value t="str">
            <val>2022/09</val>
          </value>
          <value t="str">
            <val>-18.25</val>
          </value>
          <value t="str">
            <val>-43.13</val>
          </value>
          <value t="str">
            <val>2022/11</val>
          </value>
        </values>
      </ddeItem>
      <ddeItem name="2609.TW-OperatingProfitRatio,Price,PriceChangeRatio,InOutRatioNumber,Value,YearReturn,MonthReturn,WeekReturn,FinanceBalanceDif,ChipsField2" advise="1">
        <values cols="10">
          <value t="str">
            <val>63.70</val>
          </value>
          <value>
            <val>68</val>
          </value>
          <value>
            <val>3.5</val>
          </value>
          <value t="str">
            <val>67.95%</val>
          </value>
          <value t="str">
            <val>102億</val>
          </value>
          <value t="str">
            <val>-31.98</val>
          </value>
          <value t="str">
            <val>+10.75</val>
          </value>
          <value t="str">
            <val>+9.68</val>
          </value>
          <value>
            <val>349</val>
          </value>
          <value>
            <val>-21219</val>
          </value>
        </values>
      </ddeItem>
      <ddeItem name="2610.TW-ChipsField3,ChipsField1,ChipsField25,CashAndStockDividend,CashDividendYieldRate,ProfitFourSeason,ProfitSingle,CName,ExchangeIndustry,CompanyPos" advise="1">
        <values cols="10">
          <value>
            <val>681</val>
          </value>
          <value>
            <val>6917</val>
          </value>
          <value t="str">
            <val>2022/07/06</val>
          </value>
          <value t="str">
            <val>0.83</val>
          </value>
          <value>
            <val>4.3</val>
          </value>
          <value t="str">
            <val>1.94</val>
          </value>
          <value t="str">
            <val>0.02</val>
          </value>
          <value t="str">
            <val>華航</val>
          </value>
          <value t="str">
            <val>上市航運業</val>
          </value>
          <value t="str">
            <val>台灣前兩大航空公司</val>
          </value>
        </values>
      </ddeItem>
      <ddeItem name="2610.TW-CName,InvestorConferenceDate,DateofMeetingofShareHolders,TradingDate" advise="1">
        <values cols="4">
          <value t="str">
            <val>華航</val>
          </value>
          <value t="str">
            <val>2021/04/14</val>
          </value>
          <value t="str">
            <val>2022/05/26</val>
          </value>
          <value t="str">
            <val>2022/12/22</val>
          </value>
        </values>
      </ddeItem>
      <ddeItem name="2610.TW-ID,Name,MarketValue,Capital,NetIncomeGrowthRate,OperIncomeGrowthRate,FinancialStatementsTime,TFXRatio,MonthlyNetSalesYoY,RevenueMonth" advise="1">
        <values cols="10">
          <value t="str">
            <val>2610</val>
          </value>
          <value t="str">
            <val>華航</val>
          </value>
          <value t="str">
            <val>1160.6</val>
          </value>
          <value t="str">
            <val>601.35</val>
          </value>
          <value t="str">
            <val>186.04</val>
          </value>
          <value t="str">
            <val>-10.02</val>
          </value>
          <value t="str">
            <val>2022/09</val>
          </value>
          <value t="str">
            <val>-1.95</val>
          </value>
          <value t="str">
            <val>-20.22</val>
          </value>
          <value t="str">
            <val>2022/11</val>
          </value>
        </values>
      </ddeItem>
      <ddeItem name="2610.TW-OperatingProfitRatio,Price,PriceChangeRatio,InOutRatioNumber,Value,YearReturn,MonthReturn,WeekReturn,FinanceBalanceDif,ChipsField2" advise="1">
        <values cols="10">
          <value t="str">
            <val>3.80</val>
          </value>
          <value>
            <val>19.3</val>
          </value>
          <value>
            <val>2.93</val>
          </value>
          <value t="str">
            <val>53.59%</val>
          </value>
          <value t="str">
            <val>12.1億</val>
          </value>
          <value t="str">
            <val>-23.91</val>
          </value>
          <value t="str">
            <val>+13.86</val>
          </value>
          <value t="str">
            <val>+0.26</val>
          </value>
          <value>
            <val>-470</val>
          </value>
          <value>
            <val>100</val>
          </value>
        </values>
      </ddeItem>
      <ddeItem name="261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427</val>
          </value>
          <value t="str">
            <val>2022/08/04</val>
          </value>
          <value t="str">
            <val>2.00</val>
          </value>
          <value>
            <val>14.13</val>
          </value>
          <value t="str">
            <val>-1.46</val>
          </value>
          <value t="str">
            <val>0.25</val>
          </value>
          <value t="str">
            <val>志信</val>
          </value>
          <value t="str">
            <val>上市航運業</val>
          </value>
          <value t="str">
            <val>多角化經營陸運、加油站、營建、飯店業務</val>
          </value>
        </values>
      </ddeItem>
      <ddeItem name="2611.TW-CName,InvestorConferenceDate,DateofMeetingofShareHolders,TradingDate" advise="1">
        <values cols="4">
          <value t="str">
            <val>志信</val>
          </value>
          <value t="str">
            <val>2022/06/08</val>
          </value>
          <value t="str">
            <val>2022/06/24</val>
          </value>
          <value t="str">
            <val>2022/12/22</val>
          </value>
        </values>
      </ddeItem>
      <ddeItem name="2611.TW-ID,Name,MarketValue,Capital,NetIncomeGrowthRate,OperIncomeGrowthRate,FinancialStatementsTime,TFXRatio,MonthlyNetSalesYoY,RevenueMonth" advise="1">
        <values cols="10">
          <value t="str">
            <val>2611</val>
          </value>
          <value t="str">
            <val>志信</val>
          </value>
          <value t="str">
            <val>26.7</val>
          </value>
          <value t="str">
            <val>18.90</val>
          </value>
          <value t="str">
            <val>-193.70</val>
          </value>
          <value t="str">
            <val>166.03</val>
          </value>
          <value t="str">
            <val>2022/09</val>
          </value>
          <value t="str">
            <val>-18.19</val>
          </value>
          <value t="str">
            <val>-49.59</val>
          </value>
          <value t="str">
            <val>2022/11</val>
          </value>
        </values>
      </ddeItem>
      <ddeItem name="2611.TW-OperatingProfitRatio,Price,PriceChangeRatio,InOutRatioNumber,Value,YearReturn,MonthReturn,WeekReturn,FinanceBalanceDif,ChipsField2" advise="1">
        <values cols="10">
          <value t="str">
            <val>3.92</val>
          </value>
          <value>
            <val>14.15</val>
          </value>
          <value>
            <val>2.91</val>
          </value>
          <value t="str">
            <val>67.38%</val>
          </value>
          <value t="str">
            <val>1.98億</val>
          </value>
          <value t="str">
            <val>-20.50</val>
          </value>
          <value t="str">
            <val>+10.98</val>
          </value>
          <value t="str">
            <val>+4.81</val>
          </value>
          <value>
            <val>73</val>
          </value>
          <value>
            <val>0</val>
          </value>
        </values>
      </ddeItem>
      <ddeItem name="2612.TW-ChipsField3,ChipsField1,ChipsField25,CashAndStockDividend,CashDividendYieldRate,ProfitFourSeason,ProfitSingle,CName,ExchangeIndustry,CompanyPos" advise="1">
        <values cols="10">
          <value>
            <val>58</val>
          </value>
          <value>
            <val>1</val>
          </value>
          <value t="str">
            <val>2022/07/13</val>
          </value>
          <value t="str">
            <val>2.68</val>
          </value>
          <value>
            <val>6.01</val>
          </value>
          <value t="str">
            <val>4.15</val>
          </value>
          <value t="str">
            <val>0.97</val>
          </value>
          <value t="str">
            <val>中航</val>
          </value>
          <value t="str">
            <val>上市航運業</val>
          </value>
          <value t="str">
            <val>台灣散裝航運業者，且是具規模的貨櫃運輸業者</val>
          </value>
        </values>
      </ddeItem>
      <ddeItem name="2612.TW-CName,InvestorConferenceDate,DateofMeetingofShareHolders,TradingDate" advise="1">
        <values cols="4">
          <value t="str">
            <val>中航</val>
          </value>
          <value t="str">
            <val>2022/12/22</val>
          </value>
          <value t="str">
            <val>2022/05/12</val>
          </value>
          <value t="str">
            <val>2022/12/22</val>
          </value>
        </values>
      </ddeItem>
      <ddeItem name="2612.TW-ID,Name,MarketValue,Capital,NetIncomeGrowthRate,OperIncomeGrowthRate,FinancialStatementsTime,TFXRatio,MonthlyNetSalesYoY,RevenueMonth" advise="1">
        <values cols="10">
          <value t="str">
            <val>2612</val>
          </value>
          <value t="str">
            <val>中航</val>
          </value>
          <value t="str">
            <val>88.1</val>
          </value>
          <value t="str">
            <val>19.75</val>
          </value>
          <value t="str">
            <val>-28.26</val>
          </value>
          <value t="str">
            <val>316.75</val>
          </value>
          <value t="str">
            <val>2022/09</val>
          </value>
          <value t="str">
            <val>-10.94</val>
          </value>
          <value t="str">
            <val>-0.38</val>
          </value>
          <value t="str">
            <val>2022/11</val>
          </value>
        </values>
      </ddeItem>
      <ddeItem name="2612.TW-OperatingProfitRatio,Price,PriceChangeRatio,InOutRatioNumber,Value,YearReturn,MonthReturn,WeekReturn,FinanceBalanceDif,ChipsField2" advise="1">
        <values cols="10">
          <value t="str">
            <val>22.20</val>
          </value>
          <value>
            <val>44.6</val>
          </value>
          <value>
            <val>9.99</val>
          </value>
          <value t="str">
            <val>87.10%</val>
          </value>
          <value t="str">
            <val>2.03億</val>
          </value>
          <value t="str">
            <val>-22.47</val>
          </value>
          <value t="str">
            <val>+28.90</val>
          </value>
          <value t="str">
            <val>+24.93</val>
          </value>
          <value>
            <val>107</val>
          </value>
          <value>
            <val>0</val>
          </value>
        </values>
      </ddeItem>
      <ddeItem name="2613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243</val>
          </value>
          <value t="str">
            <val>2022/03/11</val>
          </value>
          <value t="str">
            <val>1.65</val>
          </value>
          <value>
            <val>7.07</val>
          </value>
          <value t="str">
            <val>1.65</val>
          </value>
          <value t="str">
            <val>0.15</val>
          </value>
          <value t="str">
            <val>中櫃</val>
          </value>
          <value t="str">
            <val>上市航運業</val>
          </value>
          <value t="str">
            <val>在台灣北、中、南擁有貨櫃集散場之公司</val>
          </value>
        </values>
      </ddeItem>
      <ddeItem name="2613.TW-CName,InvestorConferenceDate,DateofMeetingofShareHolders,TradingDate" advise="1">
        <values cols="4">
          <value t="str">
            <val>中櫃</val>
          </value>
          <value t="str">
            <val>2022/11/23</val>
          </value>
          <value t="str">
            <val>2022/05/27</val>
          </value>
          <value t="str">
            <val>2022/12/22</val>
          </value>
        </values>
      </ddeItem>
      <ddeItem name="2613.TW-ID,Name,MarketValue,Capital,NetIncomeGrowthRate,OperIncomeGrowthRate,FinancialStatementsTime,TFXRatio,MonthlyNetSalesYoY,RevenueMonth" advise="1">
        <values cols="10">
          <value t="str">
            <val>2613</val>
          </value>
          <value t="str">
            <val>中櫃</val>
          </value>
          <value t="str">
            <val>34.7</val>
          </value>
          <value t="str">
            <val>14.84</val>
          </value>
          <value t="str">
            <val>2.42</val>
          </value>
          <value t="str">
            <val>19.69</val>
          </value>
          <value t="str">
            <val>2022/09</val>
          </value>
          <value t="str">
            <val>1.93</val>
          </value>
          <value t="str">
            <val>-6.79</val>
          </value>
          <value t="str">
            <val>2022/11</val>
          </value>
        </values>
      </ddeItem>
      <ddeItem name="2613.TW-OperatingProfitRatio,Price,PriceChangeRatio,InOutRatioNumber,Value,YearReturn,MonthReturn,WeekReturn,FinanceBalanceDif,ChipsField2" advise="1">
        <values cols="10">
          <value t="str">
            <val>11.78</val>
          </value>
          <value>
            <val>23.35</val>
          </value>
          <value>
            <val>2.19</val>
          </value>
          <value t="str">
            <val>52.02%</val>
          </value>
          <value t="str">
            <val>1.74億</val>
          </value>
          <value t="str">
            <val>-7.94</val>
          </value>
          <value t="str">
            <val>+10.66</val>
          </value>
          <value t="str">
            <val>+2.86</val>
          </value>
          <value>
            <val>77</val>
          </value>
          <value>
            <val>0</val>
          </value>
        </values>
      </ddeItem>
      <ddeItem name="261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886</val>
          </value>
          <value t="str">
            <val>2022/04/13</val>
          </value>
          <value t="str">
            <val>1.00</val>
          </value>
          <value>
            <val>4.37</val>
          </value>
          <value t="str">
            <val>0.40</val>
          </value>
          <value t="str">
            <val>-0.06</val>
          </value>
          <value t="str">
            <val>東森</val>
          </value>
          <value t="str">
            <val>上市其他</val>
          </value>
          <value t="str">
            <val>從事港埠倉儲及新媒體等</val>
          </value>
        </values>
      </ddeItem>
      <ddeItem name="2614.TW-CName,InvestorConferenceDate,DateofMeetingofShareHolders,TradingDate" advise="1">
        <values cols="4">
          <value t="str">
            <val>東森</val>
          </value>
          <value t="str">
            <val>2022/12/26</val>
          </value>
          <value t="str">
            <val>2022/06/13</val>
          </value>
          <value t="str">
            <val>2022/12/22</val>
          </value>
        </values>
      </ddeItem>
      <ddeItem name="2614.TW-ID,Name,MarketValue,Capital,NetIncomeGrowthRate,OperIncomeGrowthRate,FinancialStatementsTime,TFXRatio,MonthlyNetSalesYoY,RevenueMonth" advise="1">
        <values cols="10">
          <value t="str">
            <val>2614</val>
          </value>
          <value t="str">
            <val>東森</val>
          </value>
          <value t="str">
            <val>109.0</val>
          </value>
          <value t="str">
            <val>47.61</val>
          </value>
          <value t="str">
            <val>-85.39</val>
          </value>
          <value t="str">
            <val>63.01</val>
          </value>
          <value t="str">
            <val>2022/09</val>
          </value>
          <value t="str">
            <val>-1.26</val>
          </value>
          <value t="str">
            <val>-3.09</val>
          </value>
          <value t="str">
            <val>2022/11</val>
          </value>
        </values>
      </ddeItem>
      <ddeItem name="2614.TW-OperatingProfitRatio,Price,PriceChangeRatio,InOutRatioNumber,Value,YearReturn,MonthReturn,WeekReturn,FinanceBalanceDif,ChipsField2" advise="1">
        <values cols="10">
          <value t="str">
            <val>4.06</val>
          </value>
          <value>
            <val>22.9</val>
          </value>
          <value>
            <val>0.66</val>
          </value>
          <value t="str">
            <val>43.69%</val>
          </value>
          <value t="str">
            <val>7509萬</val>
          </value>
          <value t="str">
            <val>-31.71</val>
          </value>
          <value t="str">
            <val>+11.17</val>
          </value>
          <value t="str">
            <val>-1.51</val>
          </value>
          <value>
            <val>-78</val>
          </value>
          <value>
            <val>0</val>
          </value>
        </values>
      </ddeItem>
      <ddeItem name="2615.TW-ChipsField3,ChipsField1,ChipsField25,CashAndStockDividend,CashDividendYieldRate,ProfitFourSeason,ProfitSingle,CName,ExchangeIndustry,CompanyPos" advise="1">
        <values cols="10">
          <value>
            <val>805</val>
          </value>
          <value>
            <val>-1744</val>
          </value>
          <value t="str">
            <val>2022/07/20</val>
          </value>
          <value t="str">
            <val>12.00</val>
          </value>
          <value>
            <val>13.76</val>
          </value>
          <value t="str">
            <val>48.50</val>
          </value>
          <value t="str">
            <val>7.97</val>
          </value>
          <value t="str">
            <val>萬海</val>
          </value>
          <value t="str">
            <val>上市航運業</val>
          </value>
          <value t="str">
            <val>亞洲大型貨櫃輪航商</val>
          </value>
        </values>
      </ddeItem>
      <ddeItem name="2615.TW-CName,InvestorConferenceDate,DateofMeetingofShareHolders,TradingDate" advise="1">
        <values cols="4">
          <value t="str">
            <val>萬海</val>
          </value>
          <value t="str">
            <val>2022/12/16</val>
          </value>
          <value t="str">
            <val>2022/05/26</val>
          </value>
          <value t="str">
            <val>2022/12/22</val>
          </value>
        </values>
      </ddeItem>
      <ddeItem name="2615.TW-ID,Name,MarketValue,Capital,NetIncomeGrowthRate,OperIncomeGrowthRate,FinancialStatementsTime,TFXRatio,MonthlyNetSalesYoY,RevenueMonth" advise="1">
        <values cols="10">
          <value t="str">
            <val>2615</val>
          </value>
          <value t="str">
            <val>萬海</val>
          </value>
          <value t="str">
            <val>2447.0</val>
          </value>
          <value t="str">
            <val>280.61</val>
          </value>
          <value t="str">
            <val>34.41</val>
          </value>
          <value t="str">
            <val>35.08</val>
          </value>
          <value t="str">
            <val>2022/09</val>
          </value>
          <value t="str">
            <val>-13.34</val>
          </value>
          <value t="str">
            <val>-43.27</val>
          </value>
          <value t="str">
            <val>2022/11</val>
          </value>
        </values>
      </ddeItem>
      <ddeItem name="2615.TW-OperatingProfitRatio,Price,PriceChangeRatio,InOutRatioNumber,Value,YearReturn,MonthReturn,WeekReturn,FinanceBalanceDif,ChipsField2" advise="1">
        <values cols="10">
          <value t="str">
            <val>51.62</val>
          </value>
          <value>
            <val>87.2</val>
          </value>
          <value>
            <val>9.27</val>
          </value>
          <value t="str">
            <val>55.67%</val>
          </value>
          <value t="str">
            <val>75.4億</val>
          </value>
          <value t="str">
            <val>-47.33</val>
          </value>
          <value t="str">
            <val>+25.47</val>
          </value>
          <value t="str">
            <val>+23.34</val>
          </value>
          <value>
            <val>354</val>
          </value>
          <value>
            <val>879</val>
          </value>
        </values>
      </ddeItem>
      <ddeItem name="2616.TW-ChipsField3,ChipsField1,ChipsField25,CashAndStockDividend,CashDividendYieldRate,ProfitFourSeason,ProfitSingle,CName,ExchangeIndustry,CompanyPos" advise="1">
        <values cols="10">
          <value>
            <val>-4</val>
          </value>
          <value>
            <val>1</val>
          </value>
          <value t="str">
            <val>2022/06/17</val>
          </value>
          <value t="str">
            <val>2.50</val>
          </value>
          <value>
            <val>7.78</val>
          </value>
          <value t="str">
            <val>2.06</val>
          </value>
          <value t="str">
            <val>0.14</val>
          </value>
          <value t="str">
            <val>山隆</val>
          </value>
          <value t="str">
            <val>上市油電燃氣</val>
          </value>
          <value t="str">
            <val>台灣知名加油站運營商</val>
          </value>
        </values>
      </ddeItem>
      <ddeItem name="2616.TW-CName,InvestorConferenceDate,DateofMeetingofShareHolders,TradingDate" advise="1">
        <values cols="4">
          <value t="str">
            <val>山隆</val>
          </value>
          <value t="str">
            <val>2022/08/19</val>
          </value>
          <value t="str">
            <val>2022/05/26</val>
          </value>
          <value t="str">
            <val>2022/12/22</val>
          </value>
        </values>
      </ddeItem>
      <ddeItem name="2616.TW-ID,Name,MarketValue,Capital,NetIncomeGrowthRate,OperIncomeGrowthRate,FinancialStatementsTime,TFXRatio,MonthlyNetSalesYoY,RevenueMonth" advise="1">
        <values cols="10">
          <value t="str">
            <val>2616</val>
          </value>
          <value t="str">
            <val>山隆</val>
          </value>
          <value t="str">
            <val>44.1</val>
          </value>
          <value t="str">
            <val>13.73</val>
          </value>
          <value t="str">
            <val>-37.65</val>
          </value>
          <value t="str">
            <val>-67.00</val>
          </value>
          <value t="str">
            <val>2022/09</val>
          </value>
          <value t="str">
            <val>-1.63</val>
          </value>
          <value t="str">
            <val>-15.19</val>
          </value>
          <value t="str">
            <val>2022/11</val>
          </value>
        </values>
      </ddeItem>
      <ddeItem name="2616.TW-OperatingProfitRatio,Price,PriceChangeRatio,InOutRatioNumber,Value,YearReturn,MonthReturn,WeekReturn,FinanceBalanceDif,ChipsField2" advise="1">
        <values cols="10">
          <value t="str">
            <val>0.72</val>
          </value>
          <value>
            <val>32.15</val>
          </value>
          <value>
            <val>-0.16</val>
          </value>
          <value t="str">
            <val>34.43%</val>
          </value>
          <value t="str">
            <val>783萬</val>
          </value>
          <value t="str">
            <val>-5.24</val>
          </value>
          <value t="str">
            <val>+0.16</val>
          </value>
          <value t="str">
            <val>-0.31</val>
          </value>
          <value>
            <val>0</val>
          </value>
          <value>
            <val>0</val>
          </value>
        </values>
      </ddeItem>
      <ddeItem name="2617.TW-ChipsField3,ChipsField1,ChipsField25,CashAndStockDividend,CashDividendYieldRate,ProfitFourSeason,ProfitSingle,CName,ExchangeIndustry,CompanyPos" advise="1">
        <values cols="10">
          <value>
            <val>1</val>
          </value>
          <value>
            <val>558</val>
          </value>
          <value t="str">
            <val>2022/07/14</val>
          </value>
          <value t="str">
            <val>2.00</val>
          </value>
          <value>
            <val>7.25</val>
          </value>
          <value t="str">
            <val>4.88</val>
          </value>
          <value t="str">
            <val>0.75</val>
          </value>
          <value t="str">
            <val>台航</val>
          </value>
          <value t="str">
            <val>上市航運業</val>
          </value>
          <value t="str">
            <val>大股東為中航之散裝航運業者</val>
          </value>
        </values>
      </ddeItem>
      <ddeItem name="2617.TW-CName,InvestorConferenceDate,DateofMeetingofShareHolders,TradingDate" advise="1">
        <values cols="4">
          <value t="str">
            <val>台航</val>
          </value>
          <value t="str">
            <val>2021/11/12</val>
          </value>
          <value t="str">
            <val>2022/06/15</val>
          </value>
          <value t="str">
            <val>2022/12/22</val>
          </value>
        </values>
      </ddeItem>
      <ddeItem name="2617.TW-ID,Name,MarketValue,Capital,NetIncomeGrowthRate,OperIncomeGrowthRate,FinancialStatementsTime,TFXRatio,MonthlyNetSalesYoY,RevenueMonth" advise="1">
        <values cols="10">
          <value t="str">
            <val>2617</val>
          </value>
          <value t="str">
            <val>台航</val>
          </value>
          <value t="str">
            <val>115.2</val>
          </value>
          <value t="str">
            <val>41.73</val>
          </value>
          <value t="str">
            <val>79.61</val>
          </value>
          <value t="str">
            <val>7.16</val>
          </value>
          <value t="str">
            <val>2022/09</val>
          </value>
          <value t="str">
            <val>2.55</val>
          </value>
          <value t="str">
            <val>21.85</val>
          </value>
          <value t="str">
            <val>2022/11</val>
          </value>
        </values>
      </ddeItem>
      <ddeItem name="2617.TW-OperatingProfitRatio,Price,PriceChangeRatio,InOutRatioNumber,Value,YearReturn,MonthReturn,WeekReturn,FinanceBalanceDif,ChipsField2" advise="1">
        <values cols="10">
          <value t="str">
            <val>30.48</val>
          </value>
          <value>
            <val>27.6</val>
          </value>
          <value>
            <val>2.2200000000000002</val>
          </value>
          <value t="str">
            <val>46.84%</val>
          </value>
          <value t="str">
            <val>2.56億</val>
          </value>
          <value t="str">
            <val>-22.38</val>
          </value>
          <value t="str">
            <val>+10.84</val>
          </value>
          <value t="str">
            <val>+4.94</val>
          </value>
          <value>
            <val>-65</val>
          </value>
          <value>
            <val>0</val>
          </value>
        </values>
      </ddeItem>
      <ddeItem name="2618.TW-ChipsField3,ChipsField1,ChipsField25,CashAndStockDividend,CashDividendYieldRate,ProfitFourSeason,ProfitSingle,CName,ExchangeIndustry,CompanyPos" advise="1">
        <values cols="10">
          <value>
            <val>-62</val>
          </value>
          <value>
            <val>7196</val>
          </value>
          <value t="str">
            <val>2022/08/04</val>
          </value>
          <value t="str">
            <val>0.59</val>
          </value>
          <value>
            <val>2.06</val>
          </value>
          <value t="str">
            <val>2.59</val>
          </value>
          <value t="str">
            <val>0.23</val>
          </value>
          <value t="str">
            <val>長榮航</val>
          </value>
          <value t="str">
            <val>上市航運業</val>
          </value>
          <value t="str">
            <val>台灣前兩大航空公司</val>
          </value>
        </values>
      </ddeItem>
      <ddeItem name="2618.TW-CName,InvestorConferenceDate,DateofMeetingofShareHolders,TradingDate" advise="1">
        <values cols="4">
          <value t="str">
            <val>長榮航</val>
          </value>
          <value t="str">
            <val>2022/11/23</val>
          </value>
          <value t="str">
            <val>2022/05/31</val>
          </value>
          <value t="str">
            <val>2022/12/22</val>
          </value>
        </values>
      </ddeItem>
      <ddeItem name="2618.TW-ID,Name,MarketValue,Capital,NetIncomeGrowthRate,OperIncomeGrowthRate,FinancialStatementsTime,TFXRatio,MonthlyNetSalesYoY,RevenueMonth" advise="1">
        <values cols="10">
          <value t="str">
            <val>2618</val>
          </value>
          <value t="str">
            <val>長榮航</val>
          </value>
          <value t="str">
            <val>1537.8</val>
          </value>
          <value t="str">
            <val>535.81</val>
          </value>
          <value t="str">
            <val>1279.75</val>
          </value>
          <value t="str">
            <val>487.68</val>
          </value>
          <value t="str">
            <val>2022/09</val>
          </value>
          <value t="str">
            <val>7.10</val>
          </value>
          <value t="str">
            <val>11.61</val>
          </value>
          <value t="str">
            <val>2022/11</val>
          </value>
        </values>
      </ddeItem>
      <ddeItem name="2618.TW-OperatingProfitRatio,Price,PriceChangeRatio,InOutRatioNumber,Value,YearReturn,MonthReturn,WeekReturn,FinanceBalanceDif,ChipsField2" advise="1">
        <values cols="10">
          <value t="str">
            <val>8.04</val>
          </value>
          <value>
            <val>28.7</val>
          </value>
          <value>
            <val>3.8</val>
          </value>
          <value t="str">
            <val>67.39%</val>
          </value>
          <value t="str">
            <val>18.8億</val>
          </value>
          <value t="str">
            <val>+9.40</val>
          </value>
          <value t="str">
            <val>+11.46</val>
          </value>
          <value t="str">
            <val>+1.77</val>
          </value>
          <value>
            <val>-489</val>
          </value>
          <value>
            <val>0</val>
          </value>
        </values>
      </ddeItem>
      <ddeItem name="263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2022/04/14</val>
          </value>
          <value t="str">
            <val>1.00</val>
          </value>
          <value>
            <val>5.88</val>
          </value>
          <value t="str">
            <val>0.17</val>
          </value>
          <value t="str">
            <val>0.04</val>
          </value>
          <value t="str">
            <val>亞航</val>
          </value>
          <value t="str">
            <val>上市航運業</val>
          </value>
          <value t="str">
            <val>台灣專業航空器修護公司</val>
          </value>
        </values>
      </ddeItem>
      <ddeItem name="2630.TW-CName,InvestorConferenceDate,DateofMeetingofShareHolders,TradingDate" advise="1">
        <values cols="4">
          <value t="str">
            <val>亞航</val>
          </value>
          <value t="str">
            <val>2022/08/24</val>
          </value>
          <value t="str">
            <val>2022/06/15</val>
          </value>
          <value t="str">
            <val>2022/12/22</val>
          </value>
        </values>
      </ddeItem>
      <ddeItem name="2630.TW-ID,Name,MarketValue,Capital,NetIncomeGrowthRate,OperIncomeGrowthRate,FinancialStatementsTime,TFXRatio,MonthlyNetSalesYoY,RevenueMonth" advise="1">
        <values cols="10">
          <value t="str">
            <val>2630</val>
          </value>
          <value t="str">
            <val>亞航</val>
          </value>
          <value t="str">
            <val>27.5</val>
          </value>
          <value t="str">
            <val>16.20</val>
          </value>
          <value t="str">
            <val>-85.31</val>
          </value>
          <value t="str">
            <val>263.62</val>
          </value>
          <value t="str">
            <val>2022/09</val>
          </value>
          <value t="str">
            <val>0.45</val>
          </value>
          <value t="str">
            <val>0.03</val>
          </value>
          <value t="str">
            <val>2022/11</val>
          </value>
        </values>
      </ddeItem>
      <ddeItem name="2630.TW-OperatingProfitRatio,Price,PriceChangeRatio,InOutRatioNumber,Value,YearReturn,MonthReturn,WeekReturn,FinanceBalanceDif,ChipsField2" advise="1">
        <values cols="10">
          <value t="str">
            <val>0.61</val>
          </value>
          <value>
            <val>17</val>
          </value>
          <value>
            <val>0.59</val>
          </value>
          <value t="str">
            <val>30.26%</val>
          </value>
          <value t="str">
            <val>129萬</val>
          </value>
          <value t="str">
            <val>-1.24</val>
          </value>
          <value t="str">
            <val>+1.19</val>
          </value>
          <value t="str">
            <val>-0.58</val>
          </value>
          <value>
            <val>0</val>
          </value>
          <value>
            <val>0</val>
          </value>
        </values>
      </ddeItem>
      <ddeItem name="2633.TW-ChipsField3,ChipsField1,ChipsField25,CashAndStockDividend,CashDividendYieldRate,ProfitFourSeason,ProfitSingle,CName,ExchangeIndustry,CompanyPos" advise="1">
        <values cols="10">
          <value>
            <val>-73</val>
          </value>
          <value>
            <val>2092</val>
          </value>
          <value t="str">
            <val>2022/07/06</val>
          </value>
          <value t="str">
            <val>0.76</val>
          </value>
          <value>
            <val>2.63</val>
          </value>
          <value t="str">
            <val>0.54</val>
          </value>
          <value t="str">
            <val>0.23</val>
          </value>
          <value t="str">
            <val>台灣高鐵</val>
          </value>
          <value t="str">
            <val>上市航運業</val>
          </value>
          <value t="str">
            <val>台灣高速鐵路運輸服務公司</val>
          </value>
        </values>
      </ddeItem>
      <ddeItem name="2633.TW-CName,InvestorConferenceDate,DateofMeetingofShareHolders,TradingDate" advise="1">
        <values cols="4">
          <value t="str">
            <val>台灣高鐵</val>
          </value>
          <value t="str">
            <val>2022/12/06</val>
          </value>
          <value t="str">
            <val>2022/05/26</val>
          </value>
          <value t="str">
            <val>2022/12/22</val>
          </value>
        </values>
      </ddeItem>
      <ddeItem name="2633.TW-ID,Name,MarketValue,Capital,NetIncomeGrowthRate,OperIncomeGrowthRate,FinancialStatementsTime,TFXRatio,MonthlyNetSalesYoY,RevenueMonth" advise="1">
        <values cols="10">
          <value t="str">
            <val>2633</val>
          </value>
          <value t="str">
            <val>台灣高鐵</val>
          </value>
          <value t="str">
            <val>759.6</val>
          </value>
          <value t="str">
            <val>562.83</val>
          </value>
          <value t="str">
            <val>-20.76</val>
          </value>
          <value t="str">
            <val>1039.89</val>
          </value>
          <value t="str">
            <val>2022/09</val>
          </value>
          <value t="str">
            <val>1.51</val>
          </value>
          <value t="str">
            <val>22.33</val>
          </value>
          <value t="str">
            <val>2022/11</val>
          </value>
        </values>
      </ddeItem>
      <ddeItem name="2633.TW-OperatingProfitRatio,Price,PriceChangeRatio,InOutRatioNumber,Value,YearReturn,MonthReturn,WeekReturn,FinanceBalanceDif,ChipsField2" advise="1">
        <values cols="10">
          <value t="str">
            <val>20.68</val>
          </value>
          <value>
            <val>28.9</val>
          </value>
          <value>
            <val>0.52</val>
          </value>
          <value t="str">
            <val>50.73%</val>
          </value>
          <value t="str">
            <val>8038萬</val>
          </value>
          <value t="str">
            <val>+1.20</val>
          </value>
          <value t="str">
            <val>+3.58</val>
          </value>
          <value t="str">
            <val>-0.17</val>
          </value>
          <value>
            <val>263</val>
          </value>
          <value>
            <val>-2262</val>
          </value>
        </values>
      </ddeItem>
      <ddeItem name="2634.TW-ChipsField3,ChipsField1,ChipsField25,CashAndStockDividend,CashDividendYieldRate,ProfitFourSeason,ProfitSingle,CName,ExchangeIndustry,CompanyPos" advise="1">
        <values cols="10">
          <value>
            <val>-292</val>
          </value>
          <value>
            <val>497</val>
          </value>
          <value t="str">
            <val>2022/07/12</val>
          </value>
          <value t="str">
            <val>0.35</val>
          </value>
          <value>
            <val>1.04</val>
          </value>
          <value t="str">
            <val>1.66</val>
          </value>
          <value t="str">
            <val>0.61</val>
          </value>
          <value t="str">
            <val>漢翔</val>
          </value>
          <value t="str">
            <val>上市航運業</val>
          </value>
          <value t="str">
            <val>從軍用戰機生產商轉型為飛機發動機機匣生產商</val>
          </value>
        </values>
      </ddeItem>
      <ddeItem name="2634.TW-CName,InvestorConferenceDate,DateofMeetingofShareHolders,TradingDate" advise="1">
        <values cols="4">
          <value t="str">
            <val>漢翔</val>
          </value>
          <value t="str">
            <val>2022/12/07</val>
          </value>
          <value t="str">
            <val>2022/05/27</val>
          </value>
          <value t="str">
            <val>2022/12/22</val>
          </value>
        </values>
      </ddeItem>
      <ddeItem name="2634.TW-ID,Name,MarketValue,Capital,NetIncomeGrowthRate,OperIncomeGrowthRate,FinancialStatementsTime,TFXRatio,MonthlyNetSalesYoY,RevenueMonth" advise="1">
        <values cols="10">
          <value t="str">
            <val>2634</val>
          </value>
          <value t="str">
            <val>漢翔</val>
          </value>
          <value t="str">
            <val>315.5</val>
          </value>
          <value t="str">
            <val>94.19</val>
          </value>
          <value t="str">
            <val>269.47</val>
          </value>
          <value t="str">
            <val>1083.52</val>
          </value>
          <value t="str">
            <val>2022/09</val>
          </value>
          <value t="str">
            <val>12.83</val>
          </value>
          <value t="str">
            <val>44.97</val>
          </value>
          <value t="str">
            <val>2022/11</val>
          </value>
        </values>
      </ddeItem>
      <ddeItem name="2634.TW-OperatingProfitRatio,Price,PriceChangeRatio,InOutRatioNumber,Value,YearReturn,MonthReturn,WeekReturn,FinanceBalanceDif,ChipsField2" advise="1">
        <values cols="10">
          <value t="str">
            <val>4.82</val>
          </value>
          <value>
            <val>33.5</val>
          </value>
          <value>
            <val>0.75</val>
          </value>
          <value t="str">
            <val>48.12%</val>
          </value>
          <value t="str">
            <val>1.68億</val>
          </value>
          <value t="str">
            <val>+16.30</val>
          </value>
          <value t="str">
            <val>+8.41</val>
          </value>
          <value t="str">
            <val>-4.29</val>
          </value>
          <value>
            <val>-1205</val>
          </value>
          <value>
            <val>150</val>
          </value>
        </values>
      </ddeItem>
      <ddeItem name="2636.TW-ChipsField3,ChipsField1,ChipsField25,CashAndStockDividend,CashDividendYieldRate,ProfitFourSeason,ProfitSingle,CName,ExchangeIndustry,CompanyPos" advise="1">
        <values cols="10">
          <value>
            <val>-47</val>
          </value>
          <value>
            <val>103</val>
          </value>
          <value t="str">
            <val>2023/01/04</val>
          </value>
          <value t="str">
            <val>5.18</val>
          </value>
          <value>
            <val>16.88</val>
          </value>
          <value t="str">
            <val>25.25</val>
          </value>
          <value t="str">
            <val>3.04</val>
          </value>
          <value t="str">
            <val>台驊</val>
          </value>
          <value t="str">
            <val>上市航運業</val>
          </value>
          <value t="str">
            <val>台灣第一家海運承攬上市公司，並轉型為物流控股公司</val>
          </value>
        </values>
      </ddeItem>
      <ddeItem name="2636.TW-CName,InvestorConferenceDate,DateofMeetingofShareHolders,TradingDate" advise="1">
        <values cols="4">
          <value t="str">
            <val>台驊</val>
          </value>
          <value t="str">
            <val>2022/11/30</val>
          </value>
          <value t="str">
            <val>2022/05/24</val>
          </value>
          <value t="str">
            <val>2022/12/22</val>
          </value>
        </values>
      </ddeItem>
      <ddeItem name="2636.TW-ID,Name,MarketValue,Capital,NetIncomeGrowthRate,OperIncomeGrowthRate,FinancialStatementsTime,TFXRatio,MonthlyNetSalesYoY,RevenueMonth" advise="1">
        <values cols="10">
          <value t="str">
            <val>2636</val>
          </value>
          <value t="str">
            <val>台驊投控</val>
          </value>
          <value t="str">
            <val>110.4</val>
          </value>
          <value t="str">
            <val>14.34</val>
          </value>
          <value t="str">
            <val>-13.71</val>
          </value>
          <value t="str">
            <val>-20.06</val>
          </value>
          <value t="str">
            <val>2022/09</val>
          </value>
          <value t="str">
            <val>-10.78</val>
          </value>
          <value t="str">
            <val>-61.63</val>
          </value>
          <value t="str">
            <val>2022/11</val>
          </value>
        </values>
      </ddeItem>
      <ddeItem name="2636.TW-OperatingProfitRatio,Price,PriceChangeRatio,InOutRatioNumber,Value,YearReturn,MonthReturn,WeekReturn,FinanceBalanceDif,ChipsField2" advise="1">
        <values cols="10">
          <value t="str">
            <val>9.81</val>
          </value>
          <value>
            <val>77</val>
          </value>
          <value>
            <val>2.5299999999999998</val>
          </value>
          <value t="str">
            <val>49.54%</val>
          </value>
          <value t="str">
            <val>3.22億</val>
          </value>
          <value t="str">
            <val>-38.82</val>
          </value>
          <value t="str">
            <val>+7.09</val>
          </value>
          <value t="str">
            <val>+7.84</val>
          </value>
          <value>
            <val>51</val>
          </value>
          <value>
            <val>0</val>
          </value>
        </values>
      </ddeItem>
      <ddeItem name="2637.TW-ChipsField3,ChipsField1,ChipsField25,CashAndStockDividend,CashDividendYieldRate,ProfitFourSeason,ProfitSingle,CName,ExchangeIndustry,CompanyPos" advise="1">
        <values cols="10">
          <value>
            <val>405</val>
          </value>
          <value>
            <val>-13176</val>
          </value>
          <value t="str">
            <val>2022/06/08</val>
          </value>
          <value t="str">
            <val>5.50</val>
          </value>
          <value>
            <val>8.2100000000000009</val>
          </value>
          <value t="str">
            <val>16.89</val>
          </value>
          <value t="str">
            <val>3.42</val>
          </value>
          <value t="str">
            <val>慧洋-KY</val>
          </value>
          <value t="str">
            <val>上市航運業</val>
          </value>
          <value t="str">
            <val>台灣具規模的散裝船隊船東之一</val>
          </value>
        </values>
      </ddeItem>
      <ddeItem name="2637.TW-CName,InvestorConferenceDate,DateofMeetingofShareHolders,TradingDate" advise="1">
        <values cols="4">
          <value t="str">
            <val>慧洋-KY</val>
          </value>
          <value t="str">
            <val>2022/09/06</val>
          </value>
          <value t="str">
            <val>2022/05/20</val>
          </value>
          <value t="str">
            <val>2022/12/22</val>
          </value>
        </values>
      </ddeItem>
      <ddeItem name="2637.TW-ID,Name,MarketValue,Capital,NetIncomeGrowthRate,OperIncomeGrowthRate,FinancialStatementsTime,TFXRatio,MonthlyNetSalesYoY,RevenueMonth" advise="1">
        <values cols="10">
          <value t="str">
            <val>2637</val>
          </value>
          <value t="str">
            <val>慧洋-KY</val>
          </value>
          <value t="str">
            <val>500.1</val>
          </value>
          <value t="str">
            <val>76.37</val>
          </value>
          <value t="str">
            <val>85.00</val>
          </value>
          <value t="str">
            <val>93.88</val>
          </value>
          <value t="str">
            <val>2022/09</val>
          </value>
          <value t="str">
            <val>-12.04</val>
          </value>
          <value t="str">
            <val>-15.58</val>
          </value>
          <value t="str">
            <val>2022/11</val>
          </value>
        </values>
      </ddeItem>
      <ddeItem name="2637.TW-OperatingProfitRatio,Price,PriceChangeRatio,InOutRatioNumber,Value,YearReturn,MonthReturn,WeekReturn,FinanceBalanceDif,ChipsField2" advise="1">
        <values cols="10">
          <value t="str">
            <val>49.84</val>
          </value>
          <value>
            <val>67</val>
          </value>
          <value>
            <val>3.4</val>
          </value>
          <value t="str">
            <val>56.01%</val>
          </value>
          <value t="str">
            <val>32.6億</val>
          </value>
          <value t="str">
            <val>-15.30</val>
          </value>
          <value t="str">
            <val>+18.79</val>
          </value>
          <value t="str">
            <val>+13.95</val>
          </value>
          <value>
            <val>819</val>
          </value>
          <value>
            <val>10404</val>
          </value>
        </values>
      </ddeItem>
      <ddeItem name="2642.TW-ChipsField3,ChipsField1,ChipsField25,CashAndStockDividend,CashDividendYieldRate,ProfitFourSeason,ProfitSingle,CName,ExchangeIndustry,CompanyPos" advise="1">
        <values cols="10">
          <value>
            <val>28</val>
          </value>
          <value>
            <val>-293</val>
          </value>
          <value t="str">
            <val>2022/06/16</val>
          </value>
          <value t="str">
            <val>2.10</val>
          </value>
          <value>
            <val>4.08</val>
          </value>
          <value t="str">
            <val>1.92</val>
          </value>
          <value t="str">
            <val>0.35</val>
          </value>
          <value t="str">
            <val>宅配通</val>
          </value>
          <value t="str">
            <val>上市航運業</val>
          </value>
          <value t="str">
            <val>東元與日本通運合資成立的宅配服務業者</val>
          </value>
        </values>
      </ddeItem>
      <ddeItem name="2642.TW-CName,InvestorConferenceDate,DateofMeetingofShareHolders,TradingDate" advise="1">
        <values cols="4">
          <value t="str">
            <val>宅配通</val>
          </value>
          <value t="str">
            <val>2022/10/04</val>
          </value>
          <value t="str">
            <val>2022/05/27</val>
          </value>
          <value t="str">
            <val>2022/12/22</val>
          </value>
        </values>
      </ddeItem>
      <ddeItem name="2642.TW-ID,Name,MarketValue,Capital,NetIncomeGrowthRate,OperIncomeGrowthRate,FinancialStatementsTime,TFXRatio,MonthlyNetSalesYoY,RevenueMonth" advise="1">
        <values cols="10">
          <value t="str">
            <val>2642</val>
          </value>
          <value t="str">
            <val>宅配通</val>
          </value>
          <value t="str">
            <val>49.2</val>
          </value>
          <value t="str">
            <val>9.55</val>
          </value>
          <value t="str">
            <val>-29.15</val>
          </value>
          <value t="str">
            <val>-31.21</val>
          </value>
          <value t="str">
            <val>2022/09</val>
          </value>
          <value t="str">
            <val>16.71</val>
          </value>
          <value t="str">
            <val>-3.50</val>
          </value>
          <value t="str">
            <val>2022/11</val>
          </value>
        </values>
      </ddeItem>
      <ddeItem name="2642.TW-OperatingProfitRatio,Price,PriceChangeRatio,InOutRatioNumber,Value,YearReturn,MonthReturn,WeekReturn,FinanceBalanceDif,ChipsField2" advise="1">
        <values cols="10">
          <value t="str">
            <val>4.66</val>
          </value>
          <value>
            <val>51.5</val>
          </value>
          <value>
            <val>-2.65</val>
          </value>
          <value t="str">
            <val>31.00%</val>
          </value>
          <value t="str">
            <val>6310萬</val>
          </value>
          <value t="str">
            <val>-27.88</val>
          </value>
          <value t="str">
            <val>+17.58</val>
          </value>
          <value t="str">
            <val>+9.57</val>
          </value>
          <value>
            <val>-3</val>
          </value>
          <value>
            <val>0</val>
          </value>
        </values>
      </ddeItem>
      <ddeItem name="2701.TW-ChipsField3,ChipsField1,ChipsField25,CashAndStockDividend,CashDividendYieldRate,ProfitFourSeason,ProfitSingle,CName,ExchangeIndustry,CompanyPos" advise="1">
        <values cols="10">
          <value>
            <val>-4</val>
          </value>
          <value>
            <val>1</val>
          </value>
          <value t="str">
            <val>2022/09/14</val>
          </value>
          <value t="str">
            <val>0.17</val>
          </value>
          <value>
            <val>1.42</val>
          </value>
          <value t="str">
            <val>0.48</val>
          </value>
          <value t="str">
            <val>0.20</val>
          </value>
          <value t="str">
            <val>萬企</val>
          </value>
          <value t="str">
            <val>上市觀光</val>
          </value>
          <value t="str">
            <val>經營商場租賃、電影院及遊樂場業務</val>
          </value>
        </values>
      </ddeItem>
      <ddeItem name="2701.TW-CName,InvestorConferenceDate,DateofMeetingofShareHolders,TradingDate" advise="1">
        <values cols="4">
          <value t="str">
            <val>萬企</val>
          </value>
          <value t="str">
            <val>2022/11/25</val>
          </value>
          <value t="str">
            <val>2022/06/21</val>
          </value>
          <value t="str">
            <val>2022/12/22</val>
          </value>
        </values>
      </ddeItem>
      <ddeItem name="2701.TW-ID,Name,MarketValue,Capital,NetIncomeGrowthRate,OperIncomeGrowthRate,FinancialStatementsTime,TFXRatio,MonthlyNetSalesYoY,RevenueMonth" advise="1">
        <values cols="10">
          <value t="str">
            <val>2701</val>
          </value>
          <value t="str">
            <val>萬企</val>
          </value>
          <value t="str">
            <val>54.0</val>
          </value>
          <value t="str">
            <val>45.00</val>
          </value>
          <value t="str">
            <val>202.50</val>
          </value>
          <value t="str">
            <val>-13.89</val>
          </value>
          <value t="str">
            <val>2022/09</val>
          </value>
          <value t="str">
            <val>11.09</val>
          </value>
          <value t="str">
            <val>-7.64</val>
          </value>
          <value t="str">
            <val>2022/11</val>
          </value>
        </values>
      </ddeItem>
      <ddeItem name="2701.TW-OperatingProfitRatio,Price,PriceChangeRatio,InOutRatioNumber,Value,YearReturn,MonthReturn,WeekReturn,FinanceBalanceDif,ChipsField2" advise="1">
        <values cols="10">
          <value t="str">
            <val>46.59</val>
          </value>
          <value>
            <val>12</val>
          </value>
          <value>
            <val>0.42</val>
          </value>
          <value t="str">
            <val>21.87%</val>
          </value>
          <value t="str">
            <val>38.4萬</val>
          </value>
          <value t="str">
            <val>+1.36</val>
          </value>
          <value t="str">
            <val>-0.83</val>
          </value>
          <value t="str">
            <val>-1.64</val>
          </value>
          <value>
            <val>0</val>
          </value>
          <value>
            <val>0</val>
          </value>
        </values>
      </ddeItem>
      <ddeItem name="270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206</val>
          </value>
          <value t="str">
            <val>2022/08/24</val>
          </value>
          <value t="str">
            <val>4.50</val>
          </value>
          <value>
            <val>19.87</val>
          </value>
          <value t="str">
            <val>17.39</val>
          </value>
          <value t="str">
            <val>0.49</val>
          </value>
          <value t="str">
            <val>華園</val>
          </value>
          <value t="str">
            <val>上市觀光</val>
          </value>
          <value t="str">
            <val>位於高雄六合夜市及愛河中心點的國際觀光飯店</val>
          </value>
        </values>
      </ddeItem>
      <ddeItem name="2702.TW-CName,InvestorConferenceDate,DateofMeetingofShareHolders,TradingDate" advise="1">
        <values cols="4">
          <value t="str">
            <val>華園</val>
          </value>
          <value t="str">
            <val>2022/08/30</val>
          </value>
          <value t="str">
            <val>2022/06/15</val>
          </value>
          <value t="str">
            <val>2022/12/22</val>
          </value>
        </values>
      </ddeItem>
      <ddeItem name="2702.TW-ID,Name,MarketValue,Capital,NetIncomeGrowthRate,OperIncomeGrowthRate,FinancialStatementsTime,TFXRatio,MonthlyNetSalesYoY,RevenueMonth" advise="1">
        <values cols="10">
          <value t="str">
            <val>2702</val>
          </value>
          <value t="str">
            <val>華園</val>
          </value>
          <value t="str">
            <val>33.8</val>
          </value>
          <value t="str">
            <val>14.92</val>
          </value>
          <value t="str">
            <val>201.86</val>
          </value>
          <value t="str">
            <val>174.46</val>
          </value>
          <value t="str">
            <val>2022/09</val>
          </value>
          <value t="str">
            <val>-27.18</val>
          </value>
          <value t="str">
            <val>37.36</val>
          </value>
          <value t="str">
            <val>2022/11</val>
          </value>
        </values>
      </ddeItem>
      <ddeItem name="2702.TW-OperatingProfitRatio,Price,PriceChangeRatio,InOutRatioNumber,Value,YearReturn,MonthReturn,WeekReturn,FinanceBalanceDif,ChipsField2" advise="1">
        <values cols="10">
          <value t="str">
            <val>5.81</val>
          </value>
          <value>
            <val>22.65</val>
          </value>
          <value>
            <val>0.67</val>
          </value>
          <value t="str">
            <val>28.05%</val>
          </value>
          <value t="str">
            <val>377萬</val>
          </value>
          <value t="str">
            <val>+24.39</val>
          </value>
          <value t="str">
            <val>+6.09</val>
          </value>
          <value t="str">
            <val>-2.37</val>
          </value>
          <value>
            <val>7</val>
          </value>
          <value>
            <val>0</val>
          </value>
        </values>
      </ddeItem>
      <ddeItem name="2704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-23</val>
          </value>
          <value t="str">
            <val>--</val>
          </value>
          <value t="str">
            <val>0.00</val>
          </value>
          <value>
            <val>0</val>
          </value>
          <value t="str">
            <val>0.14</val>
          </value>
          <value t="str">
            <val>0.22</val>
          </value>
          <value t="str">
            <val>國賓</val>
          </value>
          <value t="str">
            <val>上市觀光</val>
          </value>
          <value t="str">
            <val>在台北、新竹、高雄等地經營五星級飯店</val>
          </value>
        </values>
      </ddeItem>
      <ddeItem name="2704.TW-CName,InvestorConferenceDate,DateofMeetingofShareHolders,TradingDate" advise="1">
        <values cols="4">
          <value t="str">
            <val>國賓</val>
          </value>
          <value t="str">
            <val>2022/12/21</val>
          </value>
          <value t="str">
            <val>2022/06/14</val>
          </value>
          <value t="str">
            <val>2022/12/22</val>
          </value>
        </values>
      </ddeItem>
      <ddeItem name="2704.TW-ID,Name,MarketValue,Capital,NetIncomeGrowthRate,OperIncomeGrowthRate,FinancialStatementsTime,TFXRatio,MonthlyNetSalesYoY,RevenueMonth" advise="1">
        <values cols="10">
          <value t="str">
            <val>2704</val>
          </value>
          <value t="str">
            <val>國賓</val>
          </value>
          <value t="str">
            <val>116.9</val>
          </value>
          <value t="str">
            <val>36.69</val>
          </value>
          <value t="str">
            <val>270.29</val>
          </value>
          <value t="str">
            <val>15.61</val>
          </value>
          <value t="str">
            <val>2022/09</val>
          </value>
          <value t="str">
            <val>19.15</val>
          </value>
          <value t="str">
            <val>-4.16</val>
          </value>
          <value t="str">
            <val>2022/11</val>
          </value>
        </values>
      </ddeItem>
      <ddeItem name="2704.TW-OperatingProfitRatio,Price,PriceChangeRatio,InOutRatioNumber,Value,YearReturn,MonthReturn,WeekReturn,FinanceBalanceDif,ChipsField2" advise="1">
        <values cols="10">
          <value t="str">
            <val>-23.93</val>
          </value>
          <value>
            <val>31.85</val>
          </value>
          <value>
            <val>1.1100000000000001</val>
          </value>
          <value t="str">
            <val>67.61%</val>
          </value>
          <value t="str">
            <val>677萬</val>
          </value>
          <value t="str">
            <val>+3.07</val>
          </value>
          <value t="str">
            <val>+3.75</val>
          </value>
          <value t="str">
            <val>+2.25</val>
          </value>
          <value>
            <val>-11</val>
          </value>
          <value>
            <val>0</val>
          </value>
        </values>
      </ddeItem>
      <ddeItem name="270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-4</val>
          </value>
          <value t="str">
            <val>--</val>
          </value>
          <value t="str">
            <val>0.00</val>
          </value>
          <value>
            <val>0</val>
          </value>
          <value t="str">
            <val>-0.42</val>
          </value>
          <value t="str">
            <val>0.21</val>
          </value>
          <value t="str">
            <val>六福</val>
          </value>
          <value t="str">
            <val>上市觀光</val>
          </value>
          <value t="str">
            <val>集團旗下擁有遊樂園、影城、渡假飯店及五星級飯店</val>
          </value>
        </values>
      </ddeItem>
      <ddeItem name="2705.TW-CName,InvestorConferenceDate,DateofMeetingofShareHolders,TradingDate" advise="1">
        <values cols="4">
          <value t="str">
            <val>六福</val>
          </value>
          <value t="str">
            <val>2022/06/17</val>
          </value>
          <value t="str">
            <val>2022/05/30</val>
          </value>
          <value t="str">
            <val>2022/12/22</val>
          </value>
        </values>
      </ddeItem>
      <ddeItem name="2705.TW-ID,Name,MarketValue,Capital,NetIncomeGrowthRate,OperIncomeGrowthRate,FinancialStatementsTime,TFXRatio,MonthlyNetSalesYoY,RevenueMonth" advise="1">
        <values cols="10">
          <value t="str">
            <val>2705</val>
          </value>
          <value t="str">
            <val>六福</val>
          </value>
          <value t="str">
            <val>30.8</val>
          </value>
          <value t="str">
            <val>19.13</val>
          </value>
          <value t="str">
            <val>35.87</val>
          </value>
          <value t="str">
            <val>51.77</val>
          </value>
          <value t="str">
            <val>2022/09</val>
          </value>
          <value t="str">
            <val>-9.36</val>
          </value>
          <value t="str">
            <val>7.09</val>
          </value>
          <value t="str">
            <val>2022/11</val>
          </value>
        </values>
      </ddeItem>
      <ddeItem name="2705.TW-OperatingProfitRatio,Price,PriceChangeRatio,InOutRatioNumber,Value,YearReturn,MonthReturn,WeekReturn,FinanceBalanceDif,ChipsField2" advise="1">
        <values cols="10">
          <value t="str">
            <val>-23.05</val>
          </value>
          <value>
            <val>16.5</val>
          </value>
          <value>
            <val>-0.3</val>
          </value>
          <value t="str">
            <val>12.50%</val>
          </value>
          <value t="str">
            <val>216萬</val>
          </value>
          <value t="str">
            <val>-4.35</val>
          </value>
          <value t="str">
            <val>+0.61</val>
          </value>
          <value t="str">
            <val>-2.37</val>
          </value>
          <value>
            <val>8</val>
          </value>
          <value>
            <val>0</val>
          </value>
        </values>
      </ddeItem>
      <ddeItem name="2706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-6</val>
          </value>
          <value t="str">
            <val>2022/09/06</val>
          </value>
          <value t="str">
            <val>0.14</val>
          </value>
          <value>
            <val>1</val>
          </value>
          <value t="str">
            <val>0.57</val>
          </value>
          <value t="str">
            <val>0.23</val>
          </value>
          <value t="str">
            <val>第一店</val>
          </value>
          <value t="str">
            <val>上市觀光</val>
          </value>
          <value t="str">
            <val>萬華企業集團旗下位於南京東路精華地帶之飯店</val>
          </value>
        </values>
      </ddeItem>
      <ddeItem name="2706.TW-CName,InvestorConferenceDate,DateofMeetingofShareHolders,TradingDate" advise="1">
        <values cols="4">
          <value t="str">
            <val>第一店</val>
          </value>
          <value t="str">
            <val>2022/12/02</val>
          </value>
          <value t="str">
            <val>2022/06/24</val>
          </value>
          <value t="str">
            <val>2022/12/22</val>
          </value>
        </values>
      </ddeItem>
      <ddeItem name="2706.TW-ID,Name,MarketValue,Capital,NetIncomeGrowthRate,OperIncomeGrowthRate,FinancialStatementsTime,TFXRatio,MonthlyNetSalesYoY,RevenueMonth" advise="1">
        <values cols="10">
          <value t="str">
            <val>2706</val>
          </value>
          <value t="str">
            <val>第一店</val>
          </value>
          <value t="str">
            <val>70.2</val>
          </value>
          <value t="str">
            <val>50.00</val>
          </value>
          <value t="str">
            <val>299.76</val>
          </value>
          <value t="str">
            <val>25.48</val>
          </value>
          <value t="str">
            <val>2022/09</val>
          </value>
          <value t="str">
            <val>3.77</val>
          </value>
          <value t="str">
            <val>4.94</val>
          </value>
          <value t="str">
            <val>2022/11</val>
          </value>
        </values>
      </ddeItem>
      <ddeItem name="2706.TW-OperatingProfitRatio,Price,PriceChangeRatio,InOutRatioNumber,Value,YearReturn,MonthReturn,WeekReturn,FinanceBalanceDif,ChipsField2" advise="1">
        <values cols="10">
          <value t="str">
            <val>69.07</val>
          </value>
          <value>
            <val>14.05</val>
          </value>
          <value>
            <val>0.72</val>
          </value>
          <value t="str">
            <val>50.00%</val>
          </value>
          <value t="str">
            <val>61.8萬</val>
          </value>
          <value t="str">
            <val>-0.07</val>
          </value>
          <value t="str">
            <val>+0.36</val>
          </value>
          <value t="str">
            <val>-1.75</val>
          </value>
          <value>
            <val>-81</val>
          </value>
          <value>
            <val>0</val>
          </value>
        </values>
      </ddeItem>
      <ddeItem name="2707.TW-ChipsField3,ChipsField1,ChipsField25,CashAndStockDividend,CashDividendYieldRate,ProfitFourSeason,ProfitSingle,CName,ExchangeIndustry,CompanyPos" advise="1">
        <values cols="10">
          <value>
            <val>93</val>
          </value>
          <value>
            <val>425</val>
          </value>
          <value t="str">
            <val>2022/06/16</val>
          </value>
          <value t="str">
            <val>12.39</val>
          </value>
          <value>
            <val>4.8600000000000003</val>
          </value>
          <value t="str">
            <val>7.05</val>
          </value>
          <value t="str">
            <val>2.07</val>
          </value>
          <value t="str">
            <val>晶華</val>
          </value>
          <value t="str">
            <val>上市觀光</val>
          </value>
          <value t="str">
            <val>國際五星級觀光飯店</val>
          </value>
        </values>
      </ddeItem>
      <ddeItem name="2707.TW-CName,InvestorConferenceDate,DateofMeetingofShareHolders,TradingDate" advise="1">
        <values cols="4">
          <value t="str">
            <val>晶華</val>
          </value>
          <value t="str">
            <val>--</val>
          </value>
          <value t="str">
            <val>2022/06/14</val>
          </value>
          <value t="str">
            <val>2022/12/22</val>
          </value>
        </values>
      </ddeItem>
      <ddeItem name="2707.TW-ID,Name,MarketValue,Capital,NetIncomeGrowthRate,OperIncomeGrowthRate,FinancialStatementsTime,TFXRatio,MonthlyNetSalesYoY,RevenueMonth" advise="1">
        <values cols="10">
          <value t="str">
            <val>2707</val>
          </value>
          <value t="str">
            <val>晶華</val>
          </value>
          <value t="str">
            <val>324.9</val>
          </value>
          <value t="str">
            <val>12.74</val>
          </value>
          <value t="str">
            <val>-64.31</val>
          </value>
          <value t="str">
            <val>242.12</val>
          </value>
          <value t="str">
            <val>2022/09</val>
          </value>
          <value t="str">
            <val>3.57</val>
          </value>
          <value t="str">
            <val>14.56</val>
          </value>
          <value t="str">
            <val>2022/11</val>
          </value>
        </values>
      </ddeItem>
      <ddeItem name="2707.TW-OperatingProfitRatio,Price,PriceChangeRatio,InOutRatioNumber,Value,YearReturn,MonthReturn,WeekReturn,FinanceBalanceDif,ChipsField2" advise="1">
        <values cols="10">
          <value t="str">
            <val>20.18</val>
          </value>
          <value>
            <val>255</val>
          </value>
          <value>
            <val>0.79</val>
          </value>
          <value t="str">
            <val>42.40%</val>
          </value>
          <value t="str">
            <val>1.38億</val>
          </value>
          <value t="str">
            <val>+83.08</val>
          </value>
          <value t="str">
            <val>+32.81</val>
          </value>
          <value t="str">
            <val>+0.99</val>
          </value>
          <value>
            <val>-4</val>
          </value>
          <value>
            <val>50</val>
          </value>
        </values>
      </ddeItem>
      <ddeItem name="271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0.06</val>
          </value>
          <value t="str">
            <val>0.46</val>
          </value>
          <value t="str">
            <val>遠雄來</val>
          </value>
          <value t="str">
            <val>上市觀光</val>
          </value>
          <value t="str">
            <val>遠雄集團旗下位於花蓮海洋公園旁之五星級飯店</val>
          </value>
        </values>
      </ddeItem>
      <ddeItem name="2712.TW-CName,InvestorConferenceDate,DateofMeetingofShareHolders,TradingDate" advise="1">
        <values cols="4">
          <value t="str">
            <val>遠雄來</val>
          </value>
          <value t="str">
            <val>2022/11/21</val>
          </value>
          <value t="str">
            <val>2022/05/25</val>
          </value>
          <value t="str">
            <val>2022/12/22</val>
          </value>
        </values>
      </ddeItem>
      <ddeItem name="2712.TW-ID,Name,MarketValue,Capital,NetIncomeGrowthRate,OperIncomeGrowthRate,FinancialStatementsTime,TFXRatio,MonthlyNetSalesYoY,RevenueMonth" advise="1">
        <values cols="10">
          <value t="str">
            <val>2712</val>
          </value>
          <value t="str">
            <val>遠雄來</val>
          </value>
          <value t="str">
            <val>34.5</val>
          </value>
          <value t="str">
            <val>10.50</val>
          </value>
          <value t="str">
            <val>173.88</val>
          </value>
          <value t="str">
            <val>149.45</val>
          </value>
          <value t="str">
            <val>2022/09</val>
          </value>
          <value t="str">
            <val>-12.70</val>
          </value>
          <value t="str">
            <val>48.08</val>
          </value>
          <value t="str">
            <val>2022/11</val>
          </value>
        </values>
      </ddeItem>
      <ddeItem name="2712.TW-OperatingProfitRatio,Price,PriceChangeRatio,InOutRatioNumber,Value,YearReturn,MonthReturn,WeekReturn,FinanceBalanceDif,ChipsField2" advise="1">
        <values cols="10">
          <value t="str">
            <val>4.24</val>
          </value>
          <value>
            <val>32.85</val>
          </value>
          <value>
            <val>-0.45</val>
          </value>
          <value t="str">
            <val>40.00%</val>
          </value>
          <value t="str">
            <val>16.5萬</val>
          </value>
          <value t="str">
            <val>-12.40</val>
          </value>
          <value t="str">
            <val>-1.50</val>
          </value>
          <value t="str">
            <val>-0.45</val>
          </value>
          <value>
            <val>0</val>
          </value>
          <value>
            <val>0</val>
          </value>
        </values>
      </ddeItem>
      <ddeItem name="272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2022/06/23</val>
          </value>
          <value t="str">
            <val>0.20</val>
          </value>
          <value>
            <val>0.59</val>
          </value>
          <value t="str">
            <val>1.54</val>
          </value>
          <value t="str">
            <val>1.03</val>
          </value>
          <value t="str">
            <val>夏都</val>
          </value>
          <value t="str">
            <val>上市觀光</val>
          </value>
          <value t="str">
            <val>官田鋼轉投資，位於台灣墾丁之觀光渡假飯店</val>
          </value>
        </values>
      </ddeItem>
      <ddeItem name="2722.TW-CName,InvestorConferenceDate,DateofMeetingofShareHolders,TradingDate" advise="1">
        <values cols="4">
          <value t="str">
            <val>夏都</val>
          </value>
          <value t="str">
            <val>2022/12/06</val>
          </value>
          <value t="str">
            <val>2022/05/25</val>
          </value>
          <value t="str">
            <val>2022/12/22</val>
          </value>
        </values>
      </ddeItem>
      <ddeItem name="2722.TW-ID,Name,MarketValue,Capital,NetIncomeGrowthRate,OperIncomeGrowthRate,FinancialStatementsTime,TFXRatio,MonthlyNetSalesYoY,RevenueMonth" advise="1">
        <values cols="10">
          <value t="str">
            <val>2722</val>
          </value>
          <value t="str">
            <val>夏都</val>
          </value>
          <value t="str">
            <val>37.6</val>
          </value>
          <value t="str">
            <val>11.15</val>
          </value>
          <value t="str">
            <val>805.49</val>
          </value>
          <value t="str">
            <val>508.52</val>
          </value>
          <value t="str">
            <val>2022/09</val>
          </value>
          <value t="str">
            <val>-20.64</val>
          </value>
          <value t="str">
            <val>-6.49</val>
          </value>
          <value t="str">
            <val>2022/11</val>
          </value>
        </values>
      </ddeItem>
      <ddeItem name="2722.TW-OperatingProfitRatio,Price,PriceChangeRatio,InOutRatioNumber,Value,YearReturn,MonthReturn,WeekReturn,FinanceBalanceDif,ChipsField2" advise="1">
        <values cols="10">
          <value t="str">
            <val>24.88</val>
          </value>
          <value>
            <val>33.75</val>
          </value>
          <value>
            <val>0.15</val>
          </value>
          <value t="str">
            <val>25.00%</val>
          </value>
          <value t="str">
            <val>27.1萬</val>
          </value>
          <value t="str">
            <val>+11.72</val>
          </value>
          <value t="str">
            <val>+2.74</val>
          </value>
          <value t="str">
            <val>-1.60</val>
          </value>
          <value>
            <val>31</val>
          </value>
          <value>
            <val>0</val>
          </value>
        </values>
      </ddeItem>
      <ddeItem name="2723.TW-ChipsField3,ChipsField1,ChipsField25,CashAndStockDividend,CashDividendYieldRate,ProfitFourSeason,ProfitSingle,CName,ExchangeIndustry,CompanyPos" advise="1">
        <values cols="10">
          <value>
            <val>16</val>
          </value>
          <value>
            <val>-20</val>
          </value>
          <value t="str">
            <val>2022/06/20</val>
          </value>
          <value t="str">
            <val>5.00</val>
          </value>
          <value>
            <val>3.62</val>
          </value>
          <value t="str">
            <val>2.96</val>
          </value>
          <value t="str">
            <val>0.92</val>
          </value>
          <value t="str">
            <val>美食-KY</val>
          </value>
          <value t="str">
            <val>上市觀光</val>
          </value>
          <value t="str">
            <val>以「85度C」為品牌之咖啡烘焙連鎖店</val>
          </value>
        </values>
      </ddeItem>
      <ddeItem name="2723.TW-CName,InvestorConferenceDate,DateofMeetingofShareHolders,TradingDate" advise="1">
        <values cols="4">
          <value t="str">
            <val>美食-KY</val>
          </value>
          <value t="str">
            <val>2022/11/25</val>
          </value>
          <value t="str">
            <val>2022/06/02</val>
          </value>
          <value t="str">
            <val>2022/12/22</val>
          </value>
        </values>
      </ddeItem>
      <ddeItem name="2723.TW-ID,Name,MarketValue,Capital,NetIncomeGrowthRate,OperIncomeGrowthRate,FinancialStatementsTime,TFXRatio,MonthlyNetSalesYoY,RevenueMonth" advise="1">
        <values cols="10">
          <value t="str">
            <val>2723</val>
          </value>
          <value t="str">
            <val>美食-KY</val>
          </value>
          <value t="str">
            <val>248.4</val>
          </value>
          <value t="str">
            <val>18.00</val>
          </value>
          <value t="str">
            <val>-60.08</val>
          </value>
          <value t="str">
            <val>-52.03</val>
          </value>
          <value t="str">
            <val>2022/09</val>
          </value>
          <value t="str">
            <val>-5.70</val>
          </value>
          <value t="str">
            <val>2.09</val>
          </value>
          <value t="str">
            <val>2022/11</val>
          </value>
        </values>
      </ddeItem>
      <ddeItem name="2723.TW-OperatingProfitRatio,Price,PriceChangeRatio,InOutRatioNumber,Value,YearReturn,MonthReturn,WeekReturn,FinanceBalanceDif,ChipsField2" advise="1">
        <values cols="10">
          <value t="str">
            <val>3.65</val>
          </value>
          <value>
            <val>138</val>
          </value>
          <value>
            <val>-0.72</val>
          </value>
          <value t="str">
            <val>33.03%</val>
          </value>
          <value t="str">
            <val>7958萬</val>
          </value>
          <value t="str">
            <val>+28.80</val>
          </value>
          <value t="str">
            <val>+20.52</val>
          </value>
          <value t="str">
            <val>-3.83</val>
          </value>
          <value>
            <val>-6</val>
          </value>
          <value>
            <val>0</val>
          </value>
        </values>
      </ddeItem>
      <ddeItem name="2727.TW-ChipsField3,ChipsField1,ChipsField25,CashAndStockDividend,CashDividendYieldRate,ProfitFourSeason,ProfitSingle,CName,ExchangeIndustry,CompanyPos" advise="1">
        <values cols="10">
          <value>
            <val>-21</val>
          </value>
          <value>
            <val>47</val>
          </value>
          <value t="str">
            <val>--</val>
          </value>
          <value t="str">
            <val>0.00</val>
          </value>
          <value>
            <val>0</val>
          </value>
          <value t="str">
            <val>3.45</val>
          </value>
          <value t="str">
            <val>3.79</val>
          </value>
          <value t="str">
            <val>王品</val>
          </value>
          <value t="str">
            <val>上市觀光</val>
          </value>
          <value t="str">
            <val>連鎖餐飲集團，旗下擁有多個餐飲品牌</val>
          </value>
        </values>
      </ddeItem>
      <ddeItem name="2727.TW-CName,InvestorConferenceDate,DateofMeetingofShareHolders,TradingDate" advise="1">
        <values cols="4">
          <value t="str">
            <val>王品</val>
          </value>
          <value t="str">
            <val>2022/11/09</val>
          </value>
          <value t="str">
            <val>2022/06/28</val>
          </value>
          <value t="str">
            <val>2022/12/22</val>
          </value>
        </values>
      </ddeItem>
      <ddeItem name="2727.TW-ID,Name,MarketValue,Capital,NetIncomeGrowthRate,OperIncomeGrowthRate,FinancialStatementsTime,TFXRatio,MonthlyNetSalesYoY,RevenueMonth" advise="1">
        <values cols="10">
          <value t="str">
            <val>2727</val>
          </value>
          <value t="str">
            <val>王品</val>
          </value>
          <value t="str">
            <val>123.6</val>
          </value>
          <value t="str">
            <val>7.70</val>
          </value>
          <value t="str">
            <val>142.11</val>
          </value>
          <value t="str">
            <val>204.60</val>
          </value>
          <value t="str">
            <val>2022/09</val>
          </value>
          <value t="str">
            <val>-10.73</val>
          </value>
          <value t="str">
            <val>-0.62</val>
          </value>
          <value t="str">
            <val>2022/11</val>
          </value>
        </values>
      </ddeItem>
      <ddeItem name="2727.TW-OperatingProfitRatio,Price,PriceChangeRatio,InOutRatioNumber,Value,YearReturn,MonthReturn,WeekReturn,FinanceBalanceDif,ChipsField2" advise="1">
        <values cols="10">
          <value t="str">
            <val>1.58</val>
          </value>
          <value>
            <val>160.5</val>
          </value>
          <value>
            <val>1.26</val>
          </value>
          <value t="str">
            <val>55.68%</val>
          </value>
          <value t="str">
            <val>4353萬</val>
          </value>
          <value t="str">
            <val>+20.68</val>
          </value>
          <value t="str">
            <val>+1.90</val>
          </value>
          <value t="str">
            <val>-1.53</val>
          </value>
          <value>
            <val>20</val>
          </value>
          <value>
            <val>0</val>
          </value>
        </values>
      </ddeItem>
      <ddeItem name="2731.TW-ChipsField3,ChipsField1,ChipsField25,CashAndStockDividend,CashDividendYieldRate,ProfitFourSeason,ProfitSingle,CName,ExchangeIndustry,CompanyPos" advise="1">
        <values cols="10">
          <value>
            <val>1</val>
          </value>
          <value>
            <val>464</val>
          </value>
          <value t="str">
            <val>--</val>
          </value>
          <value t="str">
            <val>0.00</val>
          </value>
          <value>
            <val>0</val>
          </value>
          <value t="str">
            <val>-9.22</val>
          </value>
          <value t="str">
            <val>-2.36</val>
          </value>
          <value t="str">
            <val>雄獅</val>
          </value>
          <value t="str">
            <val>上市觀光</val>
          </value>
          <value t="str">
            <val>台灣營收規模最大之綜合旅行社</val>
          </value>
        </values>
      </ddeItem>
      <ddeItem name="2731.TW-CName,InvestorConferenceDate,DateofMeetingofShareHolders,TradingDate" advise="1">
        <values cols="4">
          <value t="str">
            <val>雄獅</val>
          </value>
          <value t="str">
            <val>2022/12/16</val>
          </value>
          <value t="str">
            <val>2022/06/16</val>
          </value>
          <value t="str">
            <val>2022/12/22</val>
          </value>
        </values>
      </ddeItem>
      <ddeItem name="2731.TW-ID,Name,MarketValue,Capital,NetIncomeGrowthRate,OperIncomeGrowthRate,FinancialStatementsTime,TFXRatio,MonthlyNetSalesYoY,RevenueMonth" advise="1">
        <values cols="10">
          <value t="str">
            <val>2731</val>
          </value>
          <value t="str">
            <val>雄獅</val>
          </value>
          <value t="str">
            <val>78.8</val>
          </value>
          <value t="str">
            <val>7.90</val>
          </value>
          <value t="str">
            <val>-65.62</val>
          </value>
          <value t="str">
            <val>17.96</val>
          </value>
          <value t="str">
            <val>2022/09</val>
          </value>
          <value t="str">
            <val>24.22</val>
          </value>
          <value t="str">
            <val>158.76</val>
          </value>
          <value t="str">
            <val>2022/11</val>
          </value>
        </values>
      </ddeItem>
      <ddeItem name="2731.TW-OperatingProfitRatio,Price,PriceChangeRatio,InOutRatioNumber,Value,YearReturn,MonthReturn,WeekReturn,FinanceBalanceDif,ChipsField2" advise="1">
        <values cols="10">
          <value t="str">
            <val>-38.06</val>
          </value>
          <value>
            <val>101.5</val>
          </value>
          <value>
            <val>2.73</val>
          </value>
          <value t="str">
            <val>56.56%</val>
          </value>
          <value t="str">
            <val>4.06億</val>
          </value>
          <value t="str">
            <val>+19.27</val>
          </value>
          <value t="str">
            <val>+6.06</val>
          </value>
          <value t="str">
            <val>-1.46</val>
          </value>
          <value>
            <val>-200</val>
          </value>
          <value>
            <val>323</val>
          </value>
        </values>
      </ddeItem>
      <ddeItem name="273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</val>
          </value>
          <value t="str">
            <val>--</val>
          </value>
          <value t="str">
            <val>0.00</val>
          </value>
          <value>
            <val>0</val>
          </value>
          <value t="str">
            <val>-5.13</val>
          </value>
          <value t="str">
            <val>-0.94</val>
          </value>
          <value t="str">
            <val>寒舍</val>
          </value>
          <value t="str">
            <val>上市觀光</val>
          </value>
          <value t="str">
            <val>在台北經營管理五星級飯店及餐飲服務之業者</val>
          </value>
        </values>
      </ddeItem>
      <ddeItem name="2739.TW-CName,InvestorConferenceDate,DateofMeetingofShareHolders,TradingDate" advise="1">
        <values cols="4">
          <value t="str">
            <val>寒舍</val>
          </value>
          <value t="str">
            <val>2022/12/01</val>
          </value>
          <value t="str">
            <val>2022/05/30</val>
          </value>
          <value t="str">
            <val>2022/12/22</val>
          </value>
        </values>
      </ddeItem>
      <ddeItem name="2739.TW-ID,Name,MarketValue,Capital,NetIncomeGrowthRate,OperIncomeGrowthRate,FinancialStatementsTime,TFXRatio,MonthlyNetSalesYoY,RevenueMonth" advise="1">
        <values cols="10">
          <value t="str">
            <val>2739</val>
          </value>
          <value t="str">
            <val>寒舍</val>
          </value>
          <value t="str">
            <val>27.4</val>
          </value>
          <value t="str">
            <val>9.15</val>
          </value>
          <value t="str">
            <val>34.32</val>
          </value>
          <value t="str">
            <val>51.19</val>
          </value>
          <value t="str">
            <val>2022/09</val>
          </value>
          <value t="str">
            <val>9.85</val>
          </value>
          <value t="str">
            <val>52.67</val>
          </value>
          <value t="str">
            <val>2022/11</val>
          </value>
        </values>
      </ddeItem>
      <ddeItem name="2739.TW-OperatingProfitRatio,Price,PriceChangeRatio,InOutRatioNumber,Value,YearReturn,MonthReturn,WeekReturn,FinanceBalanceDif,ChipsField2" advise="1">
        <values cols="10">
          <value t="str">
            <val>-14.88</val>
          </value>
          <value>
            <val>29.95</val>
          </value>
          <value>
            <val>2.04</val>
          </value>
          <value t="str">
            <val>83.74%</val>
          </value>
          <value t="str">
            <val>370萬</val>
          </value>
          <value t="str">
            <val>+8.56</val>
          </value>
          <value t="str">
            <val>+10.72</val>
          </value>
          <value t="str">
            <val>+1.01</val>
          </value>
          <value>
            <val>0</val>
          </value>
          <value>
            <val>0</val>
          </value>
        </values>
      </ddeItem>
      <ddeItem name="2748.TW-ChipsField3,ChipsField1,ChipsField25,CashAndStockDividend,CashDividendYieldRate,ProfitFourSeason,ProfitSingle,CName,ExchangeIndustry,CompanyPos" advise="1">
        <values cols="10">
          <value>
            <val>21</val>
          </value>
          <value>
            <val>296</val>
          </value>
          <value t="str">
            <val>2022/08/25</val>
          </value>
          <value t="str">
            <val>0.50</val>
          </value>
          <value>
            <val>0.87</val>
          </value>
          <value t="str">
            <val>1.75</val>
          </value>
          <value t="str">
            <val>0.49</val>
          </value>
          <value t="str">
            <val>雲品</val>
          </value>
          <value t="str">
            <val>上市觀光</val>
          </value>
          <value t="str">
            <val>日月潭首家擁有天然溫泉的五星渡假飯店</val>
          </value>
        </values>
      </ddeItem>
      <ddeItem name="2748.TW-CName,InvestorConferenceDate,DateofMeetingofShareHolders,TradingDate" advise="1">
        <values cols="4">
          <value t="str">
            <val>雲品</val>
          </value>
          <value t="str">
            <val>2021/12/22</val>
          </value>
          <value t="str">
            <val>2022/05/27</val>
          </value>
          <value t="str">
            <val>2022/12/22</val>
          </value>
        </values>
      </ddeItem>
      <ddeItem name="2748.TW-ID,Name,MarketValue,Capital,NetIncomeGrowthRate,OperIncomeGrowthRate,FinancialStatementsTime,TFXRatio,MonthlyNetSalesYoY,RevenueMonth" advise="1">
        <values cols="10">
          <value t="str">
            <val>2748</val>
          </value>
          <value t="str">
            <val>雲品</val>
          </value>
          <value t="str">
            <val>52.2</val>
          </value>
          <value t="str">
            <val>9.06</val>
          </value>
          <value t="str">
            <val>179.56</val>
          </value>
          <value t="str">
            <val>177.43</val>
          </value>
          <value t="str">
            <val>2022/09</val>
          </value>
          <value t="str">
            <val>-3.29</val>
          </value>
          <value t="str">
            <val>31.00</val>
          </value>
          <value t="str">
            <val>2022/11</val>
          </value>
        </values>
      </ddeItem>
      <ddeItem name="2748.TW-OperatingProfitRatio,Price,PriceChangeRatio,InOutRatioNumber,Value,YearReturn,MonthReturn,WeekReturn,FinanceBalanceDif,ChipsField2" advise="1">
        <values cols="10">
          <value t="str">
            <val>7.88</val>
          </value>
          <value>
            <val>57.7</val>
          </value>
          <value>
            <val>0.17</val>
          </value>
          <value t="str">
            <val>27.92%</val>
          </value>
          <value t="str">
            <val>2078萬</val>
          </value>
          <value t="str">
            <val>+50.19</val>
          </value>
          <value t="str">
            <val>+14.48</val>
          </value>
          <value t="str">
            <val>-1.37</val>
          </value>
          <value>
            <val>-28</val>
          </value>
          <value>
            <val>0</val>
          </value>
        </values>
      </ddeItem>
      <ddeItem name="2753.TW-ChipsField3,ChipsField1,ChipsField25,CashAndStockDividend,CashDividendYieldRate,ProfitFourSeason,ProfitSingle,CName,ExchangeIndustry,CompanyPos" advise="1">
        <values cols="10">
          <value>
            <val>3</val>
          </value>
          <value>
            <val>40</val>
          </value>
          <value t="str">
            <val>2022/12/15</val>
          </value>
          <value t="str">
            <val>2.49</val>
          </value>
          <value>
            <val>3.28</val>
          </value>
          <value t="str">
            <val>9.89</val>
          </value>
          <value t="str">
            <val>2.69</val>
          </value>
          <value t="str">
            <val>八方雲集</val>
          </value>
          <value t="str">
            <val>上市觀光</val>
          </value>
          <value t="str">
            <val>台式連鎖餐飲集團，擁有八方雲集、梁社漢排骨</val>
          </value>
        </values>
      </ddeItem>
      <ddeItem name="2753.TW-CName,InvestorConferenceDate,DateofMeetingofShareHolders,TradingDate" advise="1">
        <values cols="4">
          <value t="str">
            <val>八方雲集</val>
          </value>
          <value t="str">
            <val>2022/11/22</val>
          </value>
          <value t="str">
            <val>2022/06/15</val>
          </value>
          <value t="str">
            <val>2022/12/22</val>
          </value>
        </values>
      </ddeItem>
      <ddeItem name="2753.TW-ID,Name,MarketValue,Capital,NetIncomeGrowthRate,OperIncomeGrowthRate,FinancialStatementsTime,TFXRatio,MonthlyNetSalesYoY,RevenueMonth" advise="1">
        <values cols="10">
          <value t="str">
            <val>2753</val>
          </value>
          <value t="str">
            <val>八方雲集</val>
          </value>
          <value t="str">
            <val>131.3</val>
          </value>
          <value t="str">
            <val>6.63</val>
          </value>
          <value t="str">
            <val>26.64</val>
          </value>
          <value t="str">
            <val>16.91</val>
          </value>
          <value t="str">
            <val>2022/09</val>
          </value>
          <value t="str">
            <val>-5.01</val>
          </value>
          <value t="str">
            <val>12.04</val>
          </value>
          <value t="str">
            <val>2022/11</val>
          </value>
        </values>
      </ddeItem>
      <ddeItem name="2753.TW-OperatingProfitRatio,Price,PriceChangeRatio,InOutRatioNumber,Value,YearReturn,MonthReturn,WeekReturn,FinanceBalanceDif,ChipsField2" advise="1">
        <values cols="10">
          <value t="str">
            <val>11.29</val>
          </value>
          <value>
            <val>198</val>
          </value>
          <value>
            <val>1.8</val>
          </value>
          <value t="str">
            <val>56.52%</val>
          </value>
          <value t="str">
            <val>9693萬</val>
          </value>
          <value t="str">
            <val>+58.91</val>
          </value>
          <value t="str">
            <val>-4.13</val>
          </value>
          <value t="str">
            <val>-5.27</val>
          </value>
          <value>
            <val>75</val>
          </value>
          <value>
            <val>-6</val>
          </value>
        </values>
      </ddeItem>
      <ddeItem name="2801.TW-ChipsField3,ChipsField1,ChipsField25,CashAndStockDividend,CashDividendYieldRate,ProfitFourSeason,ProfitSingle,CName,ExchangeIndustry,CompanyPos" advise="1">
        <values cols="10">
          <value>
            <val>-459</val>
          </value>
          <value>
            <val>-66</val>
          </value>
          <value t="str">
            <val>2022/08/11</val>
          </value>
          <value t="str">
            <val>0.60</val>
          </value>
          <value>
            <val>3.47</val>
          </value>
          <value t="str">
            <val>1.00</val>
          </value>
          <value t="str">
            <val>0.30</val>
          </value>
          <value t="str">
            <val>彰銀</val>
          </value>
          <value t="str">
            <val>上市金融保險</val>
          </value>
          <value t="str">
            <val>台灣老牌銀行，為銀行界歷史悠久的三商銀之一</val>
          </value>
        </values>
      </ddeItem>
      <ddeItem name="2801.TW-CName,InvestorConferenceDate,DateofMeetingofShareHolders,TradingDate" advise="1">
        <values cols="4">
          <value t="str">
            <val>彰銀</val>
          </value>
          <value t="str">
            <val>2022/11/21</val>
          </value>
          <value t="str">
            <val>2022/06/17</val>
          </value>
          <value t="str">
            <val>2022/12/22</val>
          </value>
        </values>
      </ddeItem>
      <ddeItem name="2801.TW-ID,Name,MarketValue,Capital,NetIncomeGrowthRate,OperIncomeGrowthRate,FinancialStatementsTime,TFXRatio,MonthlyNetSalesYoY,RevenueMonth" advise="1">
        <values cols="10">
          <value t="str">
            <val>2801</val>
          </value>
          <value t="str">
            <val>彰銀</val>
          </value>
          <value t="str">
            <val>1832.7</val>
          </value>
          <value t="str">
            <val>1059.35</val>
          </value>
          <value t="str">
            <val>25.77</val>
          </value>
          <value t="str">
            <val>--</val>
          </value>
          <value t="str">
            <val>2022/09</val>
          </value>
          <value t="str">
            <val>16.33</val>
          </value>
          <value t="str">
            <val>33.44</val>
          </value>
          <value t="str">
            <val>2022/11</val>
          </value>
        </values>
      </ddeItem>
      <ddeItem name="2801.TW-OperatingProfitRatio,Price,PriceChangeRatio,InOutRatioNumber,Value,YearReturn,MonthReturn,WeekReturn,FinanceBalanceDif,ChipsField2" advise="1">
        <values cols="10">
          <value t="str">
            <val>--</val>
          </value>
          <value>
            <val>17.3</val>
          </value>
          <value>
            <val>0.28999999999999998</val>
          </value>
          <value t="str">
            <val>54.90%</val>
          </value>
          <value t="str">
            <val>4747萬</val>
          </value>
          <value t="str">
            <val>+7.59</val>
          </value>
          <value t="str">
            <val>+1.47</val>
          </value>
          <value t="str">
            <val>-0.86</val>
          </value>
          <value>
            <val>156</val>
          </value>
          <value>
            <val>0</val>
          </value>
        </values>
      </ddeItem>
      <ddeItem name="2809.TW-ChipsField3,ChipsField1,ChipsField25,CashAndStockDividend,CashDividendYieldRate,ProfitFourSeason,ProfitSingle,CName,ExchangeIndustry,CompanyPos" advise="1">
        <values cols="10">
          <value>
            <val>33</val>
          </value>
          <value>
            <val>-9456</val>
          </value>
          <value t="str">
            <val>2022/05/24</val>
          </value>
          <value t="str">
            <val>2.10</val>
          </value>
          <value>
            <val>5.98</val>
          </value>
          <value t="str">
            <val>0.73</val>
          </value>
          <value t="str">
            <val>0.22</val>
          </value>
          <value t="str">
            <val>京城銀</val>
          </value>
          <value t="str">
            <val>上市金融保險</val>
          </value>
          <value t="str">
            <val>京城建設入主之商業銀行，營業據點多集中南部</val>
          </value>
        </values>
      </ddeItem>
      <ddeItem name="2809.TW-CName,InvestorConferenceDate,DateofMeetingofShareHolders,TradingDate" advise="1">
        <values cols="4">
          <value t="str">
            <val>京城銀</val>
          </value>
          <value t="str">
            <val>2022/08/16</val>
          </value>
          <value t="str">
            <val>2022/05/09</val>
          </value>
          <value t="str">
            <val>2022/12/22</val>
          </value>
        </values>
      </ddeItem>
      <ddeItem name="2809.TW-ID,Name,MarketValue,Capital,NetIncomeGrowthRate,OperIncomeGrowthRate,FinancialStatementsTime,TFXRatio,MonthlyNetSalesYoY,RevenueMonth" advise="1">
        <values cols="10">
          <value t="str">
            <val>2809</val>
          </value>
          <value t="str">
            <val>京城銀</val>
          </value>
          <value t="str">
            <val>390.0</val>
          </value>
          <value t="str">
            <val>111.12</val>
          </value>
          <value t="str">
            <val>-81.42</val>
          </value>
          <value t="str">
            <val>--</val>
          </value>
          <value t="str">
            <val>2022/09</val>
          </value>
          <value t="str">
            <val>120.72</val>
          </value>
          <value t="str">
            <val>29.68</val>
          </value>
          <value t="str">
            <val>2022/11</val>
          </value>
        </values>
      </ddeItem>
      <ddeItem name="2809.TW-OperatingProfitRatio,Price,PriceChangeRatio,InOutRatioNumber,Value,YearReturn,MonthReturn,WeekReturn,FinanceBalanceDif,ChipsField2" advise="1">
        <values cols="10">
          <value t="str">
            <val>--</val>
          </value>
          <value>
            <val>35.1</val>
          </value>
          <value>
            <val>2.78</val>
          </value>
          <value t="str">
            <val>23.00%</val>
          </value>
          <value t="str">
            <val>5.72億</val>
          </value>
          <value t="str">
            <val>-6.70</val>
          </value>
          <value t="str">
            <val>+1.59</val>
          </value>
          <value t="str">
            <val>-2.50</val>
          </value>
          <value>
            <val>31</val>
          </value>
          <value>
            <val>9709</val>
          </value>
        </values>
      </ddeItem>
      <ddeItem name="2812.TW-ChipsField3,ChipsField1,ChipsField25,CashAndStockDividend,CashDividendYieldRate,ProfitFourSeason,ProfitSingle,CName,ExchangeIndustry,CompanyPos" advise="1">
        <values cols="10">
          <value>
            <val>-2641</val>
          </value>
          <value>
            <val>-1366</val>
          </value>
          <value t="str">
            <val>2022/07/19</val>
          </value>
          <value t="str">
            <val>0.75</val>
          </value>
          <value>
            <val>5.84</val>
          </value>
          <value t="str">
            <val>1.12</val>
          </value>
          <value t="str">
            <val>0.28</val>
          </value>
          <value t="str">
            <val>台中銀</val>
          </value>
          <value t="str">
            <val>上市金融保險</val>
          </value>
          <value t="str">
            <val>中纖為大股東之中小型商業銀行</val>
          </value>
        </values>
      </ddeItem>
      <ddeItem name="2812.TW-CName,InvestorConferenceDate,DateofMeetingofShareHolders,TradingDate" advise="1">
        <values cols="4">
          <value t="str">
            <val>台中銀</val>
          </value>
          <value t="str">
            <val>2022/08/29</val>
          </value>
          <value t="str">
            <val>2022/05/17</val>
          </value>
          <value t="str">
            <val>2022/12/22</val>
          </value>
        </values>
      </ddeItem>
      <ddeItem name="2812.TW-ID,Name,MarketValue,Capital,NetIncomeGrowthRate,OperIncomeGrowthRate,FinancialStatementsTime,TFXRatio,MonthlyNetSalesYoY,RevenueMonth" advise="1">
        <values cols="10">
          <value t="str">
            <val>2812</val>
          </value>
          <value t="str">
            <val>台中銀</val>
          </value>
          <value t="str">
            <val>644.5</val>
          </value>
          <value t="str">
            <val>501.54</val>
          </value>
          <value t="str">
            <val>10.60</val>
          </value>
          <value t="str">
            <val>--</val>
          </value>
          <value t="str">
            <val>2022/09</val>
          </value>
          <value t="str">
            <val>12.94</val>
          </value>
          <value t="str">
            <val>3.60</val>
          </value>
          <value t="str">
            <val>2022/11</val>
          </value>
        </values>
      </ddeItem>
      <ddeItem name="2812.TW-OperatingProfitRatio,Price,PriceChangeRatio,InOutRatioNumber,Value,YearReturn,MonthReturn,WeekReturn,FinanceBalanceDif,ChipsField2" advise="1">
        <values cols="10">
          <value t="str">
            <val>--</val>
          </value>
          <value>
            <val>12.85</val>
          </value>
          <value>
            <val>0.39</val>
          </value>
          <value t="str">
            <val>45.18%</val>
          </value>
          <value t="str">
            <val>6780萬</val>
          </value>
          <value t="str">
            <val>+14.53</val>
          </value>
          <value t="str">
            <val>+0.78</val>
          </value>
          <value t="str">
            <val>-1.91</val>
          </value>
          <value>
            <val>118</val>
          </value>
          <value>
            <val>0</val>
          </value>
        </values>
      </ddeItem>
      <ddeItem name="2816.TW-ChipsField3,ChipsField1,ChipsField25,CashAndStockDividend,CashDividendYieldRate,ProfitFourSeason,ProfitSingle,CName,ExchangeIndustry,CompanyPos" advise="1">
        <values cols="10">
          <value>
            <val>-8</val>
          </value>
          <value>
            <val>-1</val>
          </value>
          <value t="str">
            <val>2022/08/04</val>
          </value>
          <value t="str">
            <val>1.00</val>
          </value>
          <value>
            <val>6.29</val>
          </value>
          <value t="str">
            <val>-2.23</val>
          </value>
          <value t="str">
            <val>0.03</val>
          </value>
          <value t="str">
            <val>旺旺保</val>
          </value>
          <value t="str">
            <val>上市金融保險</val>
          </value>
          <value t="str">
            <val>台灣產險業第一家上市公司，後由旺旺集團入主</val>
          </value>
        </values>
      </ddeItem>
      <ddeItem name="2816.TW-CName,InvestorConferenceDate,DateofMeetingofShareHolders,TradingDate" advise="1">
        <values cols="4">
          <value t="str">
            <val>旺旺保</val>
          </value>
          <value t="str">
            <val>2022/09/22</val>
          </value>
          <value t="str">
            <val>2022/06/24</val>
          </value>
          <value t="str">
            <val>2022/12/22</val>
          </value>
        </values>
      </ddeItem>
      <ddeItem name="2816.TW-ID,Name,MarketValue,Capital,NetIncomeGrowthRate,OperIncomeGrowthRate,FinancialStatementsTime,TFXRatio,MonthlyNetSalesYoY,RevenueMonth" advise="1">
        <values cols="10">
          <value t="str">
            <val>2816</val>
          </value>
          <value t="str">
            <val>旺旺保</val>
          </value>
          <value t="str">
            <val>35.6</val>
          </value>
          <value t="str">
            <val>22.36</val>
          </value>
          <value t="str">
            <val>-308.13</val>
          </value>
          <value t="str">
            <val>-276.04</val>
          </value>
          <value t="str">
            <val>2022/09</val>
          </value>
          <value t="str">
            <val>11.36</val>
          </value>
          <value t="str">
            <val>2.81</val>
          </value>
          <value t="str">
            <val>2022/11</val>
          </value>
        </values>
      </ddeItem>
      <ddeItem name="2816.TW-OperatingProfitRatio,Price,PriceChangeRatio,InOutRatioNumber,Value,YearReturn,MonthReturn,WeekReturn,FinanceBalanceDif,ChipsField2" advise="1">
        <values cols="10">
          <value t="str">
            <val>-13.12</val>
          </value>
          <value>
            <val>15.9</val>
          </value>
          <value>
            <val>-0.31</val>
          </value>
          <value t="str">
            <val>52.63%</val>
          </value>
          <value t="str">
            <val>60.6萬</val>
          </value>
          <value t="str">
            <val>-13.55</val>
          </value>
          <value t="str">
            <val>+3.25</val>
          </value>
          <value t="str">
            <val>-0.62</val>
          </value>
          <value>
            <val>0</val>
          </value>
          <value>
            <val>0</val>
          </value>
        </values>
      </ddeItem>
      <ddeItem name="2820.TW-ChipsField3,ChipsField1,ChipsField25,CashAndStockDividend,CashDividendYieldRate,ProfitFourSeason,ProfitSingle,CName,ExchangeIndustry,CompanyPos" advise="1">
        <values cols="10">
          <value>
            <val>-65</val>
          </value>
          <value>
            <val>224</val>
          </value>
          <value t="str">
            <val>2022/07/04</val>
          </value>
          <value t="str">
            <val>0.90</val>
          </value>
          <value>
            <val>6.19</val>
          </value>
          <value t="str">
            <val>1.00</val>
          </value>
          <value t="str">
            <val>0.24</val>
          </value>
          <value t="str">
            <val>華票</val>
          </value>
          <value t="str">
            <val>上市金融保險</val>
          </value>
          <value t="str">
            <val>台灣前三大票券商</val>
          </value>
        </values>
      </ddeItem>
      <ddeItem name="2820.TW-CName,InvestorConferenceDate,DateofMeetingofShareHolders,TradingDate" advise="1">
        <values cols="4">
          <value t="str">
            <val>華票</val>
          </value>
          <value t="str">
            <val>2022/03/23</val>
          </value>
          <value t="str">
            <val>2022/06/17</val>
          </value>
          <value t="str">
            <val>2022/12/22</val>
          </value>
        </values>
      </ddeItem>
      <ddeItem name="2820.TW-ID,Name,MarketValue,Capital,NetIncomeGrowthRate,OperIncomeGrowthRate,FinancialStatementsTime,TFXRatio,MonthlyNetSalesYoY,RevenueMonth" advise="1">
        <values cols="10">
          <value t="str">
            <val>2820</val>
          </value>
          <value t="str">
            <val>華票</val>
          </value>
          <value t="str">
            <val>195.4</val>
          </value>
          <value t="str">
            <val>134.30</val>
          </value>
          <value t="str">
            <val>-35.90</val>
          </value>
          <value t="str">
            <val>--</val>
          </value>
          <value t="str">
            <val>2022/09</val>
          </value>
          <value t="str">
            <val>-132.72</val>
          </value>
          <value t="str">
            <val>-108.17</val>
          </value>
          <value t="str">
            <val>2022/11</val>
          </value>
        </values>
      </ddeItem>
      <ddeItem name="2820.TW-OperatingProfitRatio,Price,PriceChangeRatio,InOutRatioNumber,Value,YearReturn,MonthReturn,WeekReturn,FinanceBalanceDif,ChipsField2" advise="1">
        <values cols="10">
          <value t="str">
            <val>--</val>
          </value>
          <value>
            <val>14.55</val>
          </value>
          <value>
            <val>0.34</val>
          </value>
          <value t="str">
            <val>56.70%</val>
          </value>
          <value t="str">
            <val>423萬</val>
          </value>
          <value t="str">
            <val>-9.54</val>
          </value>
          <value t="str">
            <val>0.00</val>
          </value>
          <value t="str">
            <val>+0.34</val>
          </value>
          <value>
            <val>-10</val>
          </value>
          <value>
            <val>0</val>
          </value>
        </values>
      </ddeItem>
      <ddeItem name="2832.TW-ChipsField3,ChipsField1,ChipsField25,CashAndStockDividend,CashDividendYieldRate,ProfitFourSeason,ProfitSingle,CName,ExchangeIndustry,CompanyPos" advise="1">
        <values cols="10">
          <value>
            <val>-15</val>
          </value>
          <value>
            <val>6</val>
          </value>
          <value t="str">
            <val>2022/04/08</val>
          </value>
          <value t="str">
            <val>0.75</val>
          </value>
          <value>
            <val>3.66</val>
          </value>
          <value t="str">
            <val>3.05</val>
          </value>
          <value t="str">
            <val>0.71</val>
          </value>
          <value t="str">
            <val>台產</val>
          </value>
          <value t="str">
            <val>上市金融保險</val>
          </value>
          <value t="str">
            <val>台灣歷史最悠久的中小型產險公司</val>
          </value>
        </values>
      </ddeItem>
      <ddeItem name="2832.TW-CName,InvestorConferenceDate,DateofMeetingofShareHolders,TradingDate" advise="1">
        <values cols="4">
          <value t="str">
            <val>台產</val>
          </value>
          <value t="str">
            <val>2022/09/13</val>
          </value>
          <value t="str">
            <val>2022/06/10</val>
          </value>
          <value t="str">
            <val>2022/12/22</val>
          </value>
        </values>
      </ddeItem>
      <ddeItem name="2832.TW-ID,Name,MarketValue,Capital,NetIncomeGrowthRate,OperIncomeGrowthRate,FinancialStatementsTime,TFXRatio,MonthlyNetSalesYoY,RevenueMonth" advise="1">
        <values cols="10">
          <value t="str">
            <val>2832</val>
          </value>
          <value t="str">
            <val>台產</val>
          </value>
          <value t="str">
            <val>74.3</val>
          </value>
          <value t="str">
            <val>36.22</val>
          </value>
          <value t="str">
            <val>672.34</val>
          </value>
          <value t="str">
            <val>604.41</val>
          </value>
          <value t="str">
            <val>2022/09</val>
          </value>
          <value t="str">
            <val>-8.83</val>
          </value>
          <value t="str">
            <val>-25.81</val>
          </value>
          <value t="str">
            <val>2022/11</val>
          </value>
        </values>
      </ddeItem>
      <ddeItem name="2832.TW-OperatingProfitRatio,Price,PriceChangeRatio,InOutRatioNumber,Value,YearReturn,MonthReturn,WeekReturn,FinanceBalanceDif,ChipsField2" advise="1">
        <values cols="10">
          <value t="str">
            <val>17.10</val>
          </value>
          <value>
            <val>20.5</val>
          </value>
          <value>
            <val>0</val>
          </value>
          <value t="str">
            <val>36.00%</val>
          </value>
          <value t="str">
            <val>51.2萬</val>
          </value>
          <value t="str">
            <val>+5.80</val>
          </value>
          <value t="str">
            <val>+1.74</val>
          </value>
          <value t="str">
            <val>0.00</val>
          </value>
          <value>
            <val>0</val>
          </value>
          <value>
            <val>0</val>
          </value>
        </values>
      </ddeItem>
      <ddeItem name="2834.TW-ChipsField3,ChipsField1,ChipsField25,CashAndStockDividend,CashDividendYieldRate,ProfitFourSeason,ProfitSingle,CName,ExchangeIndustry,CompanyPos" advise="1">
        <values cols="10">
          <value>
            <val>-644</val>
          </value>
          <value>
            <val>415</val>
          </value>
          <value t="str">
            <val>2022/08/02</val>
          </value>
          <value t="str">
            <val>0.47</val>
          </value>
          <value>
            <val>3.63</val>
          </value>
          <value t="str">
            <val>1.05</val>
          </value>
          <value t="str">
            <val>0.36</val>
          </value>
          <value t="str">
            <val>臺企銀</val>
          </value>
          <value t="str">
            <val>上市金融保險</val>
          </value>
          <value t="str">
            <val>台灣六大泛公股銀行之一</val>
          </value>
        </values>
      </ddeItem>
      <ddeItem name="2834.TW-CName,InvestorConferenceDate,DateofMeetingofShareHolders,TradingDate" advise="1">
        <values cols="4">
          <value t="str">
            <val>臺企銀</val>
          </value>
          <value t="str">
            <val>2022/11/23</val>
          </value>
          <value t="str">
            <val>2022/06/17</val>
          </value>
          <value t="str">
            <val>2022/12/22</val>
          </value>
        </values>
      </ddeItem>
      <ddeItem name="2834.TW-ID,Name,MarketValue,Capital,NetIncomeGrowthRate,OperIncomeGrowthRate,FinancialStatementsTime,TFXRatio,MonthlyNetSalesYoY,RevenueMonth" advise="1">
        <values cols="10">
          <value t="str">
            <val>2834</val>
          </value>
          <value t="str">
            <val>臺企銀</val>
          </value>
          <value t="str">
            <val>1039.8</val>
          </value>
          <value t="str">
            <val>802.97</val>
          </value>
          <value t="str">
            <val>81.93</val>
          </value>
          <value t="str">
            <val>--</val>
          </value>
          <value t="str">
            <val>2022/09</val>
          </value>
          <value t="str">
            <val>-22.18</val>
          </value>
          <value t="str">
            <val>19.88</val>
          </value>
          <value t="str">
            <val>2022/11</val>
          </value>
        </values>
      </ddeItem>
      <ddeItem name="2834.TW-OperatingProfitRatio,Price,PriceChangeRatio,InOutRatioNumber,Value,YearReturn,MonthReturn,WeekReturn,FinanceBalanceDif,ChipsField2" advise="1">
        <values cols="10">
          <value t="str">
            <val>--</val>
          </value>
          <value>
            <val>12.95</val>
          </value>
          <value>
            <val>0.39</val>
          </value>
          <value t="str">
            <val>39.33%</val>
          </value>
          <value t="str">
            <val>9328萬</val>
          </value>
          <value t="str">
            <val>+39.56</val>
          </value>
          <value t="str">
            <val>+1.57</val>
          </value>
          <value t="str">
            <val>-0.38</val>
          </value>
          <value>
            <val>-785</val>
          </value>
          <value>
            <val>0</val>
          </value>
        </values>
      </ddeItem>
      <ddeItem name="2836.TW-ChipsField3,ChipsField1,ChipsField25,CashAndStockDividend,CashDividendYieldRate,ProfitFourSeason,ProfitSingle,CName,ExchangeIndustry,CompanyPos" advise="1">
        <values cols="10">
          <value>
            <val>-21</val>
          </value>
          <value>
            <val>-66</val>
          </value>
          <value t="str">
            <val>2022/07/28</val>
          </value>
          <value t="str">
            <val>0.70</val>
          </value>
          <value>
            <val>5.58</val>
          </value>
          <value t="str">
            <val>0.85</val>
          </value>
          <value t="str">
            <val>0.18</val>
          </value>
          <value t="str">
            <val>高雄銀</val>
          </value>
          <value t="str">
            <val>上市金融保險</val>
          </value>
          <value t="str">
            <val>高雄市政府為大股東之區域型銀行</val>
          </value>
        </values>
      </ddeItem>
      <ddeItem name="2836.TW-CName,InvestorConferenceDate,DateofMeetingofShareHolders,TradingDate" advise="1">
        <values cols="4">
          <value t="str">
            <val>高雄銀</val>
          </value>
          <value t="str">
            <val>2022/11/23</val>
          </value>
          <value t="str">
            <val>2022/12/22</val>
          </value>
          <value t="str">
            <val>2022/12/22</val>
          </value>
        </values>
      </ddeItem>
      <ddeItem name="2836.TW-ID,Name,MarketValue,Capital,NetIncomeGrowthRate,OperIncomeGrowthRate,FinancialStatementsTime,TFXRatio,MonthlyNetSalesYoY,RevenueMonth" advise="1">
        <values cols="10">
          <value t="str">
            <val>2836</val>
          </value>
          <value t="str">
            <val>高雄銀</val>
          </value>
          <value t="str">
            <val>150.4</val>
          </value>
          <value t="str">
            <val>119.83</val>
          </value>
          <value t="str">
            <val>12.82</val>
          </value>
          <value t="str">
            <val>--</val>
          </value>
          <value t="str">
            <val>2022/09</val>
          </value>
          <value t="str">
            <val>3.73</val>
          </value>
          <value t="str">
            <val>3.40</val>
          </value>
          <value t="str">
            <val>2022/11</val>
          </value>
        </values>
      </ddeItem>
      <ddeItem name="2836.TW-OperatingProfitRatio,Price,PriceChangeRatio,InOutRatioNumber,Value,YearReturn,MonthReturn,WeekReturn,FinanceBalanceDif,ChipsField2" advise="1">
        <values cols="10">
          <value t="str">
            <val>--</val>
          </value>
          <value>
            <val>12.55</val>
          </value>
          <value>
            <val>0.4</val>
          </value>
          <value t="str">
            <val>44.16%</val>
          </value>
          <value t="str">
            <val>315萬</val>
          </value>
          <value t="str">
            <val>+13.66</val>
          </value>
          <value t="str">
            <val>0.00</val>
          </value>
          <value t="str">
            <val>-0.79</val>
          </value>
          <value>
            <val>-4</val>
          </value>
          <value>
            <val>0</val>
          </value>
        </values>
      </ddeItem>
      <ddeItem name="2838.TW-ChipsField3,ChipsField1,ChipsField25,CashAndStockDividend,CashDividendYieldRate,ProfitFourSeason,ProfitSingle,CName,ExchangeIndustry,CompanyPos" advise="1">
        <values cols="10">
          <value>
            <val>-130</val>
          </value>
          <value>
            <val>363</val>
          </value>
          <value t="str">
            <val>2022/07/06</val>
          </value>
          <value t="str">
            <val>1.04</val>
          </value>
          <value>
            <val>6.4</val>
          </value>
          <value t="str">
            <val>0.96</val>
          </value>
          <value t="str">
            <val>0.34</val>
          </value>
          <value t="str">
            <val>聯邦銀</val>
          </value>
          <value t="str">
            <val>上市金融保險</val>
          </value>
          <value t="str">
            <val>三重幫林榮三家族為大股東之民營銀行</val>
          </value>
        </values>
      </ddeItem>
      <ddeItem name="2838.TW-CName,InvestorConferenceDate,DateofMeetingofShareHolders,TradingDate" advise="1">
        <values cols="4">
          <value t="str">
            <val>聯邦銀</val>
          </value>
          <value t="str">
            <val>2022/11/11</val>
          </value>
          <value t="str">
            <val>2022/05/27</val>
          </value>
          <value t="str">
            <val>2022/12/22</val>
          </value>
        </values>
      </ddeItem>
      <ddeItem name="2838.TW-ID,Name,MarketValue,Capital,NetIncomeGrowthRate,OperIncomeGrowthRate,FinancialStatementsTime,TFXRatio,MonthlyNetSalesYoY,RevenueMonth" advise="1">
        <values cols="10">
          <value t="str">
            <val>2838</val>
          </value>
          <value t="str">
            <val>聯邦銀</val>
          </value>
          <value t="str">
            <val>584.0</val>
          </value>
          <value t="str">
            <val>359.40</val>
          </value>
          <value t="str">
            <val>-33.52</val>
          </value>
          <value t="str">
            <val>--</val>
          </value>
          <value t="str">
            <val>2022/09</val>
          </value>
          <value t="str">
            <val>16.92</val>
          </value>
          <value t="str">
            <val>2.89</val>
          </value>
          <value t="str">
            <val>2022/11</val>
          </value>
        </values>
      </ddeItem>
      <ddeItem name="2838.TW-OperatingProfitRatio,Price,PriceChangeRatio,InOutRatioNumber,Value,YearReturn,MonthReturn,WeekReturn,FinanceBalanceDif,ChipsField2" advise="1">
        <values cols="10">
          <value t="str">
            <val>--</val>
          </value>
          <value>
            <val>16.25</val>
          </value>
          <value>
            <val>1.56</val>
          </value>
          <value t="str">
            <val>65.76%</val>
          </value>
          <value t="str">
            <val>2065萬</val>
          </value>
          <value t="str">
            <val>+36.85</val>
          </value>
          <value t="str">
            <val>+1.56</val>
          </value>
          <value t="str">
            <val>+0.62</val>
          </value>
          <value>
            <val>1</val>
          </value>
          <value>
            <val>0</val>
          </value>
        </values>
      </ddeItem>
      <ddeItem name="2845.TW-ChipsField3,ChipsField1,ChipsField25,CashAndStockDividend,CashDividendYieldRate,ProfitFourSeason,ProfitSingle,CName,ExchangeIndustry,CompanyPos" advise="1">
        <values cols="10">
          <value>
            <val>-244</val>
          </value>
          <value>
            <val>-336</val>
          </value>
          <value t="str">
            <val>2022/09/06</val>
          </value>
          <value t="str">
            <val>0.59</val>
          </value>
          <value>
            <val>5.27</val>
          </value>
          <value t="str">
            <val>0.92</val>
          </value>
          <value t="str">
            <val>0.24</val>
          </value>
          <value t="str">
            <val>遠東銀</val>
          </value>
          <value t="str">
            <val>上市金融保險</val>
          </value>
          <value t="str">
            <val>遠東集團旗下之中小型商業銀行</val>
          </value>
        </values>
      </ddeItem>
      <ddeItem name="2845.TW-CName,InvestorConferenceDate,DateofMeetingofShareHolders,TradingDate" advise="1">
        <values cols="4">
          <value t="str">
            <val>遠東銀</val>
          </value>
          <value t="str">
            <val>2022/11/10</val>
          </value>
          <value t="str">
            <val>2022/06/21</val>
          </value>
          <value t="str">
            <val>2022/12/22</val>
          </value>
        </values>
      </ddeItem>
      <ddeItem name="2845.TW-ID,Name,MarketValue,Capital,NetIncomeGrowthRate,OperIncomeGrowthRate,FinancialStatementsTime,TFXRatio,MonthlyNetSalesYoY,RevenueMonth" advise="1">
        <values cols="10">
          <value t="str">
            <val>2845</val>
          </value>
          <value t="str">
            <val>遠東銀</val>
          </value>
          <value t="str">
            <val>455.8</val>
          </value>
          <value t="str">
            <val>406.95</val>
          </value>
          <value t="str">
            <val>13.04</val>
          </value>
          <value t="str">
            <val>--</val>
          </value>
          <value t="str">
            <val>2022/09</val>
          </value>
          <value t="str">
            <val>13.31</val>
          </value>
          <value t="str">
            <val>24.74</val>
          </value>
          <value t="str">
            <val>2022/11</val>
          </value>
        </values>
      </ddeItem>
      <ddeItem name="2845.TW-OperatingProfitRatio,Price,PriceChangeRatio,InOutRatioNumber,Value,YearReturn,MonthReturn,WeekReturn,FinanceBalanceDif,ChipsField2" advise="1">
        <values cols="10">
          <value t="str">
            <val>--</val>
          </value>
          <value>
            <val>11.2</val>
          </value>
          <value>
            <val>1.36</val>
          </value>
          <value t="str">
            <val>83.63%</val>
          </value>
          <value t="str">
            <val>6284萬</val>
          </value>
          <value t="str">
            <val>+11.22</val>
          </value>
          <value t="str">
            <val>+3.70</val>
          </value>
          <value t="str">
            <val>-0.44</val>
          </value>
          <value>
            <val>-9</val>
          </value>
          <value>
            <val>0</val>
          </value>
        </values>
      </ddeItem>
      <ddeItem name="2849.TW-ChipsField3,ChipsField1,ChipsField25,CashAndStockDividend,CashDividendYieldRate,ProfitFourSeason,ProfitSingle,CName,ExchangeIndustry,CompanyPos" advise="1">
        <values cols="10">
          <value>
            <val>-12</val>
          </value>
          <value>
            <val>-2</val>
          </value>
          <value t="str">
            <val>2022/07/19</val>
          </value>
          <value t="str">
            <val>0.73</val>
          </value>
          <value>
            <val>5</val>
          </value>
          <value t="str">
            <val>1.06</val>
          </value>
          <value t="str">
            <val>0.24</val>
          </value>
          <value t="str">
            <val>安泰銀</val>
          </value>
          <value t="str">
            <val>上市金融保險</val>
          </value>
          <value t="str">
            <val>私募基金隆力集團入主的中小型銀行</val>
          </value>
        </values>
      </ddeItem>
      <ddeItem name="2849.TW-CName,InvestorConferenceDate,DateofMeetingofShareHolders,TradingDate" advise="1">
        <values cols="4">
          <value t="str">
            <val>安泰銀</val>
          </value>
          <value t="str">
            <val>2022/11/11</val>
          </value>
          <value t="str">
            <val>2022/06/17</val>
          </value>
          <value t="str">
            <val>2022/12/22</val>
          </value>
        </values>
      </ddeItem>
      <ddeItem name="2849.TW-ID,Name,MarketValue,Capital,NetIncomeGrowthRate,OperIncomeGrowthRate,FinancialStatementsTime,TFXRatio,MonthlyNetSalesYoY,RevenueMonth" advise="1">
        <values cols="10">
          <value t="str">
            <val>2849</val>
          </value>
          <value t="str">
            <val>安泰銀</val>
          </value>
          <value t="str">
            <val>219.4</val>
          </value>
          <value t="str">
            <val>195.76</val>
          </value>
          <value t="str">
            <val>-13.47</val>
          </value>
          <value t="str">
            <val>--</val>
          </value>
          <value t="str">
            <val>2022/09</val>
          </value>
          <value t="str">
            <val>-6.75</val>
          </value>
          <value t="str">
            <val>3.98</val>
          </value>
          <value t="str">
            <val>2022/11</val>
          </value>
        </values>
      </ddeItem>
      <ddeItem name="2849.TW-OperatingProfitRatio,Price,PriceChangeRatio,InOutRatioNumber,Value,YearReturn,MonthReturn,WeekReturn,FinanceBalanceDif,ChipsField2" advise="1">
        <values cols="10">
          <value t="str">
            <val>--</val>
          </value>
          <value>
            <val>14.6</val>
          </value>
          <value>
            <val>0</val>
          </value>
          <value t="str">
            <val>38.10%</val>
          </value>
          <value t="str">
            <val>30.8萬</val>
          </value>
          <value t="str">
            <val>-6.45</val>
          </value>
          <value t="str">
            <val>-0.34</val>
          </value>
          <value t="str">
            <val>-2.67</val>
          </value>
          <value>
            <val>1</val>
          </value>
          <value>
            <val>0</val>
          </value>
        </values>
      </ddeItem>
      <ddeItem name="2850.TW-ChipsField3,ChipsField1,ChipsField25,CashAndStockDividend,CashDividendYieldRate,ProfitFourSeason,ProfitSingle,CName,ExchangeIndustry,CompanyPos" advise="1">
        <values cols="10">
          <value>
            <val>-20</val>
          </value>
          <value>
            <val>41</val>
          </value>
          <value t="str">
            <val>2022/06/14</val>
          </value>
          <value t="str">
            <val>3.20</val>
          </value>
          <value>
            <val>6.57</val>
          </value>
          <value t="str">
            <val>6.42</val>
          </value>
          <value t="str">
            <val>1.78</val>
          </value>
          <value t="str">
            <val>新產</val>
          </value>
          <value t="str">
            <val>上市金融保險</val>
          </value>
          <value t="str">
            <val>新光集團旗下，為台灣前三大產險公司</val>
          </value>
        </values>
      </ddeItem>
      <ddeItem name="2850.TW-CName,InvestorConferenceDate,DateofMeetingofShareHolders,TradingDate" advise="1">
        <values cols="4">
          <value t="str">
            <val>新產</val>
          </value>
          <value t="str">
            <val>2022/12/22</val>
          </value>
          <value t="str">
            <val>2022/05/27</val>
          </value>
          <value t="str">
            <val>2022/12/22</val>
          </value>
        </values>
      </ddeItem>
      <ddeItem name="2850.TW-ID,Name,MarketValue,Capital,NetIncomeGrowthRate,OperIncomeGrowthRate,FinancialStatementsTime,TFXRatio,MonthlyNetSalesYoY,RevenueMonth" advise="1">
        <values cols="10">
          <value t="str">
            <val>2850</val>
          </value>
          <value t="str">
            <val>新產</val>
          </value>
          <value t="str">
            <val>153.9</val>
          </value>
          <value t="str">
            <val>31.60</val>
          </value>
          <value t="str">
            <val>-13.00</val>
          </value>
          <value t="str">
            <val>-7.51</val>
          </value>
          <value t="str">
            <val>2022/09</val>
          </value>
          <value t="str">
            <val>-3.46</val>
          </value>
          <value t="str">
            <val>-0.73</val>
          </value>
          <value t="str">
            <val>2022/11</val>
          </value>
        </values>
      </ddeItem>
      <ddeItem name="2850.TW-OperatingProfitRatio,Price,PriceChangeRatio,InOutRatioNumber,Value,YearReturn,MonthReturn,WeekReturn,FinanceBalanceDif,ChipsField2" advise="1">
        <values cols="10">
          <value t="str">
            <val>13.21</val>
          </value>
          <value>
            <val>48.7</val>
          </value>
          <value>
            <val>2.2000000000000002</val>
          </value>
          <value t="str">
            <val>59.12%</val>
          </value>
          <value t="str">
            <val>776萬</val>
          </value>
          <value t="str">
            <val>+11.41</val>
          </value>
          <value t="str">
            <val>+4.39</val>
          </value>
          <value t="str">
            <val>+2.10</val>
          </value>
          <value>
            <val>0</val>
          </value>
          <value>
            <val>0</val>
          </value>
        </values>
      </ddeItem>
      <ddeItem name="2851.TW-ChipsField3,ChipsField1,ChipsField25,CashAndStockDividend,CashDividendYieldRate,ProfitFourSeason,ProfitSingle,CName,ExchangeIndustry,CompanyPos" advise="1">
        <values cols="10">
          <value>
            <val>-488</val>
          </value>
          <value>
            <val>34</val>
          </value>
          <value t="str">
            <val>2022/06/16</val>
          </value>
          <value t="str">
            <val>1.80</val>
          </value>
          <value>
            <val>9.86</val>
          </value>
          <value t="str">
            <val>0.83</val>
          </value>
          <value t="str">
            <val>-0.11</val>
          </value>
          <value t="str">
            <val>中再保</val>
          </value>
          <value t="str">
            <val>上市金融保險</val>
          </value>
          <value t="str">
            <val>長榮集團旗下，為台灣保險市場中唯一的本土再保險公司</val>
          </value>
        </values>
      </ddeItem>
      <ddeItem name="2851.TW-CName,InvestorConferenceDate,DateofMeetingofShareHolders,TradingDate" advise="1">
        <values cols="4">
          <value t="str">
            <val>中再保</val>
          </value>
          <value t="str">
            <val>2022/09/23</val>
          </value>
          <value t="str">
            <val>2022/08/10</val>
          </value>
          <value t="str">
            <val>2022/12/22</val>
          </value>
        </values>
      </ddeItem>
      <ddeItem name="2851.TW-ID,Name,MarketValue,Capital,NetIncomeGrowthRate,OperIncomeGrowthRate,FinancialStatementsTime,TFXRatio,MonthlyNetSalesYoY,RevenueMonth" advise="1">
        <values cols="10">
          <value t="str">
            <val>2851</val>
          </value>
          <value t="str">
            <val>中再保</val>
          </value>
          <value t="str">
            <val>146.1</val>
          </value>
          <value t="str">
            <val>80.04</val>
          </value>
          <value t="str">
            <val>-95.39</val>
          </value>
          <value t="str">
            <val>-106.45</val>
          </value>
          <value t="str">
            <val>2022/09</val>
          </value>
          <value t="str">
            <val>4.26</val>
          </value>
          <value t="str">
            <val>-3.60</val>
          </value>
          <value t="str">
            <val>2022/11</val>
          </value>
        </values>
      </ddeItem>
      <ddeItem name="2851.TW-OperatingProfitRatio,Price,PriceChangeRatio,InOutRatioNumber,Value,YearReturn,MonthReturn,WeekReturn,FinanceBalanceDif,ChipsField2" advise="1">
        <values cols="10">
          <value t="str">
            <val>-0.77</val>
          </value>
          <value>
            <val>18.25</val>
          </value>
          <value>
            <val>0.55000000000000004</val>
          </value>
          <value t="str">
            <val>56.43%</val>
          </value>
          <value t="str">
            <val>1870萬</val>
          </value>
          <value t="str">
            <val>-30.99</val>
          </value>
          <value t="str">
            <val>+4.29</val>
          </value>
          <value t="str">
            <val>-3.95</val>
          </value>
          <value>
            <val>29</val>
          </value>
          <value>
            <val>0</val>
          </value>
        </values>
      </ddeItem>
      <ddeItem name="2852.TW-ChipsField3,ChipsField1,ChipsField25,CashAndStockDividend,CashDividendYieldRate,ProfitFourSeason,ProfitSingle,CName,ExchangeIndustry,CompanyPos" advise="1">
        <values cols="10">
          <value>
            <val>-10</val>
          </value>
          <value>
            <val>14</val>
          </value>
          <value t="str">
            <val>2022/07/25</val>
          </value>
          <value t="str">
            <val>1.21</val>
          </value>
          <value>
            <val>7.68</val>
          </value>
          <value t="str">
            <val>2.05</val>
          </value>
          <value t="str">
            <val>0.82</val>
          </value>
          <value t="str">
            <val>第一保</val>
          </value>
          <value t="str">
            <val>上市金融保險</val>
          </value>
          <value t="str">
            <val>台灣排名前十大的產險公司</val>
          </value>
        </values>
      </ddeItem>
      <ddeItem name="2852.TW-CName,InvestorConferenceDate,DateofMeetingofShareHolders,TradingDate" advise="1">
        <values cols="4">
          <value t="str">
            <val>第一保</val>
          </value>
          <value t="str">
            <val>2022/11/30</val>
          </value>
          <value t="str">
            <val>2022/06/23</val>
          </value>
          <value t="str">
            <val>2022/12/22</val>
          </value>
        </values>
      </ddeItem>
      <ddeItem name="2852.TW-ID,Name,MarketValue,Capital,NetIncomeGrowthRate,OperIncomeGrowthRate,FinancialStatementsTime,TFXRatio,MonthlyNetSalesYoY,RevenueMonth" advise="1">
        <values cols="10">
          <value t="str">
            <val>2852</val>
          </value>
          <value t="str">
            <val>第一保</val>
          </value>
          <value t="str">
            <val>47.4</val>
          </value>
          <value t="str">
            <val>30.12</val>
          </value>
          <value t="str">
            <val>13.92</val>
          </value>
          <value t="str">
            <val>16.50</val>
          </value>
          <value t="str">
            <val>2022/09</val>
          </value>
          <value t="str">
            <val>-3.23</val>
          </value>
          <value t="str">
            <val>9.93</val>
          </value>
          <value t="str">
            <val>2022/11</val>
          </value>
        </values>
      </ddeItem>
      <ddeItem name="2852.TW-OperatingProfitRatio,Price,PriceChangeRatio,InOutRatioNumber,Value,YearReturn,MonthReturn,WeekReturn,FinanceBalanceDif,ChipsField2" advise="1">
        <values cols="10">
          <value t="str">
            <val>12.06</val>
          </value>
          <value>
            <val>15.75</val>
          </value>
          <value>
            <val>0</val>
          </value>
          <value t="str">
            <val>15.92%</val>
          </value>
          <value t="str">
            <val>387萬</val>
          </value>
          <value t="str">
            <val>+17.63</val>
          </value>
          <value t="str">
            <val>+2.94</val>
          </value>
          <value t="str">
            <val>-0.32</val>
          </value>
          <value>
            <val>0</val>
          </value>
          <value>
            <val>0</val>
          </value>
        </values>
      </ddeItem>
      <ddeItem name="285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256</val>
          </value>
          <value t="str">
            <val>2022/07/12</val>
          </value>
          <value t="str">
            <val>1.89</val>
          </value>
          <value>
            <val>11.92</val>
          </value>
          <value t="str">
            <val>0.79</val>
          </value>
          <value t="str">
            <val>0.47</val>
          </value>
          <value t="str">
            <val>統一證</val>
          </value>
          <value t="str">
            <val>上市金融保險</val>
          </value>
          <value t="str">
            <val>為統一集團旗下券商，市佔排名前八大</val>
          </value>
        </values>
      </ddeItem>
      <ddeItem name="2855.TW-CName,InvestorConferenceDate,DateofMeetingofShareHolders,TradingDate" advise="1">
        <values cols="4">
          <value t="str">
            <val>統一證</val>
          </value>
          <value t="str">
            <val>2022/11/04</val>
          </value>
          <value t="str">
            <val>2022/06/23</val>
          </value>
          <value t="str">
            <val>2022/12/22</val>
          </value>
        </values>
      </ddeItem>
      <ddeItem name="2855.TW-ID,Name,MarketValue,Capital,NetIncomeGrowthRate,OperIncomeGrowthRate,FinancialStatementsTime,TFXRatio,MonthlyNetSalesYoY,RevenueMonth" advise="1">
        <values cols="10">
          <value t="str">
            <val>2855</val>
          </value>
          <value t="str">
            <val>統一證</val>
          </value>
          <value t="str">
            <val>230.7</val>
          </value>
          <value t="str">
            <val>145.58</val>
          </value>
          <value t="str">
            <val>-84.67</val>
          </value>
          <value t="str">
            <val>-86.32</val>
          </value>
          <value t="str">
            <val>2022/09</val>
          </value>
          <value t="str">
            <val>79.25</val>
          </value>
          <value t="str">
            <val>-34.64</val>
          </value>
          <value t="str">
            <val>2022/11</val>
          </value>
        </values>
      </ddeItem>
      <ddeItem name="2855.TW-OperatingProfitRatio,Price,PriceChangeRatio,InOutRatioNumber,Value,YearReturn,MonthReturn,WeekReturn,FinanceBalanceDif,ChipsField2" advise="1">
        <values cols="10">
          <value t="str">
            <val>10.60</val>
          </value>
          <value>
            <val>15.85</val>
          </value>
          <value>
            <val>0</val>
          </value>
          <value t="str">
            <val>45.63%</val>
          </value>
          <value t="str">
            <val>762萬</val>
          </value>
          <value t="str">
            <val>-22.41</val>
          </value>
          <value t="str">
            <val>+1.28</val>
          </value>
          <value t="str">
            <val>-1.55</val>
          </value>
          <value>
            <val>-2</val>
          </value>
          <value>
            <val>0</val>
          </value>
        </values>
      </ddeItem>
      <ddeItem name="2867.TW-ChipsField3,ChipsField1,ChipsField25,CashAndStockDividend,CashDividendYieldRate,ProfitFourSeason,ProfitSingle,CName,ExchangeIndustry,CompanyPos" advise="1">
        <values cols="10">
          <value>
            <val>-669</val>
          </value>
          <value>
            <val>127</val>
          </value>
          <value t="str">
            <val>--</val>
          </value>
          <value t="str">
            <val>0.00</val>
          </value>
          <value>
            <val>0</val>
          </value>
          <value t="str">
            <val>-2.27</val>
          </value>
          <value t="str">
            <val>0.34</val>
          </value>
          <value t="str">
            <val>三商壽</val>
          </value>
          <value t="str">
            <val>上市金融保險</val>
          </value>
          <value t="str">
            <val>台灣排名前七大的壽險公司，隸屬三商集團</val>
          </value>
        </values>
      </ddeItem>
      <ddeItem name="2867.TW-CName,InvestorConferenceDate,DateofMeetingofShareHolders,TradingDate" advise="1">
        <values cols="4">
          <value t="str">
            <val>三商壽</val>
          </value>
          <value t="str">
            <val>2022/12/07</val>
          </value>
          <value t="str">
            <val>2022/09/29</val>
          </value>
          <value t="str">
            <val>2022/12/22</val>
          </value>
        </values>
      </ddeItem>
      <ddeItem name="2867.TW-ID,Name,MarketValue,Capital,NetIncomeGrowthRate,OperIncomeGrowthRate,FinancialStatementsTime,TFXRatio,MonthlyNetSalesYoY,RevenueMonth" advise="1">
        <values cols="10">
          <value t="str">
            <val>2867</val>
          </value>
          <value t="str">
            <val>三商壽</val>
          </value>
          <value t="str">
            <val>231.2</val>
          </value>
          <value t="str">
            <val>409.95</val>
          </value>
          <value t="str">
            <val>-389.10</val>
          </value>
          <value t="str">
            <val>-1511.62</val>
          </value>
          <value t="str">
            <val>2022/09</val>
          </value>
          <value t="str">
            <val>-16.72</val>
          </value>
          <value t="str">
            <val>-25.69</val>
          </value>
          <value t="str">
            <val>2022/11</val>
          </value>
        </values>
      </ddeItem>
      <ddeItem name="2867.TW-OperatingProfitRatio,Price,PriceChangeRatio,InOutRatioNumber,Value,YearReturn,MonthReturn,WeekReturn,FinanceBalanceDif,ChipsField2" advise="1">
        <values cols="10">
          <value t="str">
            <val>-6.50</val>
          </value>
          <value>
            <val>5.64</val>
          </value>
          <value>
            <val>0.36</val>
          </value>
          <value t="str">
            <val>39.82%</val>
          </value>
          <value t="str">
            <val>2748萬</val>
          </value>
          <value t="str">
            <val>-38.23</val>
          </value>
          <value t="str">
            <val>+6.62</val>
          </value>
          <value t="str">
            <val>-2.08</val>
          </value>
          <value>
            <val>0</val>
          </value>
          <value>
            <val>0</val>
          </value>
        </values>
      </ddeItem>
      <ddeItem name="2880.TW-ChipsField3,ChipsField1,ChipsField25,CashAndStockDividend,CashDividendYieldRate,ProfitFourSeason,ProfitSingle,CName,ExchangeIndustry,CompanyPos" advise="1">
        <values cols="10">
          <value>
            <val>-665</val>
          </value>
          <value>
            <val>819</val>
          </value>
          <value t="str">
            <val>2022/08/11</val>
          </value>
          <value t="str">
            <val>1.12</val>
          </value>
          <value>
            <val>4.92</val>
          </value>
          <value t="str">
            <val>1.26</val>
          </value>
          <value t="str">
            <val>0.43</val>
          </value>
          <value t="str">
            <val>華南金</val>
          </value>
          <value t="str">
            <val>上市金融保險</val>
          </value>
          <value t="str">
            <val>以銀行為主體公營金控公司，為台灣銀行界歷史悠久的三商銀之一</val>
          </value>
        </values>
      </ddeItem>
      <ddeItem name="2880.TW-CName,InvestorConferenceDate,DateofMeetingofShareHolders,TradingDate" advise="1">
        <values cols="4">
          <value t="str">
            <val>華南金</val>
          </value>
          <value t="str">
            <val>2022/08/11</val>
          </value>
          <value t="str">
            <val>2022/06/17</val>
          </value>
          <value t="str">
            <val>2022/12/22</val>
          </value>
        </values>
      </ddeItem>
      <ddeItem name="2880.TW-ID,Name,MarketValue,Capital,NetIncomeGrowthRate,OperIncomeGrowthRate,FinancialStatementsTime,TFXRatio,MonthlyNetSalesYoY,RevenueMonth" advise="1">
        <values cols="10">
          <value t="str">
            <val>2880</val>
          </value>
          <value t="str">
            <val>華南金</val>
          </value>
          <value t="str">
            <val>3103.7</val>
          </value>
          <value t="str">
            <val>1364.27</val>
          </value>
          <value t="str">
            <val>-2.05</val>
          </value>
          <value t="str">
            <val>--</val>
          </value>
          <value t="str">
            <val>2022/09</val>
          </value>
          <value t="str">
            <val>3.77</val>
          </value>
          <value t="str">
            <val>-5.30</val>
          </value>
          <value t="str">
            <val>2022/11</val>
          </value>
        </values>
      </ddeItem>
      <ddeItem name="2880.TW-OperatingProfitRatio,Price,PriceChangeRatio,InOutRatioNumber,Value,YearReturn,MonthReturn,WeekReturn,FinanceBalanceDif,ChipsField2" advise="1">
        <values cols="10">
          <value t="str">
            <val>--</val>
          </value>
          <value>
            <val>22.75</val>
          </value>
          <value>
            <val>0.44</val>
          </value>
          <value t="str">
            <val>56.14%</val>
          </value>
          <value t="str">
            <val>7240萬</val>
          </value>
          <value t="str">
            <val>+16.28</val>
          </value>
          <value t="str">
            <val>+4.36</val>
          </value>
          <value t="str">
            <val>+0.22</val>
          </value>
          <value>
            <val>53</val>
          </value>
          <value>
            <val>0</val>
          </value>
        </values>
      </ddeItem>
      <ddeItem name="2881.TW-ChipsField3,ChipsField1,ChipsField25,CashAndStockDividend,CashDividendYieldRate,ProfitFourSeason,ProfitSingle,CName,ExchangeIndustry,CompanyPos" advise="1">
        <values cols="10">
          <value>
            <val>-632</val>
          </value>
          <value>
            <val>5323</val>
          </value>
          <value t="str">
            <val>2022/07/27</val>
          </value>
          <value t="str">
            <val>4.00</val>
          </value>
          <value>
            <val>7.04</val>
          </value>
          <value t="str">
            <val>8.23</val>
          </value>
          <value t="str">
            <val>1.15</val>
          </value>
          <value t="str">
            <val>富邦金</val>
          </value>
          <value t="str">
            <val>上市金融保險</val>
          </value>
          <value t="str">
            <val>台灣資產規模前二大的金控公司，旗下擁有台灣最大產險公司</val>
          </value>
        </values>
      </ddeItem>
      <ddeItem name="2881.TW-CName,InvestorConferenceDate,DateofMeetingofShareHolders,TradingDate" advise="1">
        <values cols="4">
          <value t="str">
            <val>富邦金</val>
          </value>
          <value t="str">
            <val>2022/11/25</val>
          </value>
          <value t="str">
            <val>2022/06/17</val>
          </value>
          <value t="str">
            <val>2022/12/22</val>
          </value>
        </values>
      </ddeItem>
      <ddeItem name="2881.TW-ID,Name,MarketValue,Capital,NetIncomeGrowthRate,OperIncomeGrowthRate,FinancialStatementsTime,TFXRatio,MonthlyNetSalesYoY,RevenueMonth" advise="1">
        <values cols="10">
          <value t="str">
            <val>2881</val>
          </value>
          <value t="str">
            <val>富邦金</val>
          </value>
          <value t="str">
            <val>7040.5</val>
          </value>
          <value t="str">
            <val>1239.52</val>
          </value>
          <value t="str">
            <val>-36.17</val>
          </value>
          <value t="str">
            <val>--</val>
          </value>
          <value t="str">
            <val>2022/09</val>
          </value>
          <value t="str">
            <val>-392.26</val>
          </value>
          <value t="str">
            <val>-196.45</val>
          </value>
          <value t="str">
            <val>2022/11</val>
          </value>
        </values>
      </ddeItem>
      <ddeItem name="2881.TW-OperatingProfitRatio,Price,PriceChangeRatio,InOutRatioNumber,Value,YearReturn,MonthReturn,WeekReturn,FinanceBalanceDif,ChipsField2" advise="1">
        <values cols="10">
          <value t="str">
            <val>--</val>
          </value>
          <value>
            <val>56.8</val>
          </value>
          <value>
            <val>1.07</val>
          </value>
          <value t="str">
            <val>45.39%</val>
          </value>
          <value t="str">
            <val>5.82億</val>
          </value>
          <value t="str">
            <val>-15.26</val>
          </value>
          <value t="str">
            <val>+2.34</val>
          </value>
          <value t="str">
            <val>-1.22</val>
          </value>
          <value>
            <val>39</val>
          </value>
          <value>
            <val>-3959</val>
          </value>
        </values>
      </ddeItem>
      <ddeItem name="2882.TW-ChipsField3,ChipsField1,ChipsField25,CashAndStockDividend,CashDividendYieldRate,ProfitFourSeason,ProfitSingle,CName,ExchangeIndustry,CompanyPos" advise="1">
        <values cols="10">
          <value>
            <val>-3090</val>
          </value>
          <value>
            <val>1313</val>
          </value>
          <value t="str">
            <val>2022/07/04</val>
          </value>
          <value t="str">
            <val>3.50</val>
          </value>
          <value>
            <val>8.66</val>
          </value>
          <value t="str">
            <val>5.45</val>
          </value>
          <value t="str">
            <val>0.39</val>
          </value>
          <value t="str">
            <val>國泰金</val>
          </value>
          <value t="str">
            <val>上市金融保險</val>
          </value>
          <value t="str">
            <val>台灣資產規模前二大金控公司，旗下擁有台灣最大壽險公司</val>
          </value>
        </values>
      </ddeItem>
      <ddeItem name="2882.TW-CName,InvestorConferenceDate,DateofMeetingofShareHolders,TradingDate" advise="1">
        <values cols="4">
          <value t="str">
            <val>國泰金</val>
          </value>
          <value t="str">
            <val>2022/11/17</val>
          </value>
          <value t="str">
            <val>2022/06/17</val>
          </value>
          <value t="str">
            <val>2022/12/22</val>
          </value>
        </values>
      </ddeItem>
      <ddeItem name="2882.TW-ID,Name,MarketValue,Capital,NetIncomeGrowthRate,OperIncomeGrowthRate,FinancialStatementsTime,TFXRatio,MonthlyNetSalesYoY,RevenueMonth" advise="1">
        <values cols="10">
          <value t="str">
            <val>2882</val>
          </value>
          <value t="str">
            <val>國泰金</val>
          </value>
          <value t="str">
            <val>5926.4</val>
          </value>
          <value t="str">
            <val>1466.92</val>
          </value>
          <value t="str">
            <val>-55.48</val>
          </value>
          <value t="str">
            <val>--</val>
          </value>
          <value t="str">
            <val>2022/09</val>
          </value>
          <value t="str">
            <val>-90.58</val>
          </value>
          <value t="str">
            <val>-96.31</val>
          </value>
          <value t="str">
            <val>2022/11</val>
          </value>
        </values>
      </ddeItem>
      <ddeItem name="2882.TW-OperatingProfitRatio,Price,PriceChangeRatio,InOutRatioNumber,Value,YearReturn,MonthReturn,WeekReturn,FinanceBalanceDif,ChipsField2" advise="1">
        <values cols="10">
          <value t="str">
            <val>--</val>
          </value>
          <value>
            <val>40.4</val>
          </value>
          <value>
            <val>1</val>
          </value>
          <value t="str">
            <val>42.54%</val>
          </value>
          <value t="str">
            <val>7.62億</val>
          </value>
          <value t="str">
            <val>-27.93</val>
          </value>
          <value t="str">
            <val>-4.04</val>
          </value>
          <value t="str">
            <val>-1.22</val>
          </value>
          <value>
            <val>-2</val>
          </value>
          <value>
            <val>588</val>
          </value>
        </values>
      </ddeItem>
      <ddeItem name="2883.TW-ChipsField3,ChipsField1,ChipsField25,CashAndStockDividend,CashDividendYieldRate,ProfitFourSeason,ProfitSingle,CName,ExchangeIndustry,CompanyPos" advise="1">
        <values cols="10">
          <value>
            <val>-710</val>
          </value>
          <value>
            <val>550</val>
          </value>
          <value t="str">
            <val>2022/07/06</val>
          </value>
          <value t="str">
            <val>1.00</val>
          </value>
          <value>
            <val>7.81</val>
          </value>
          <value t="str">
            <val>1.51</val>
          </value>
          <value t="str">
            <val>0.40</val>
          </value>
          <value t="str">
            <val>開發金</val>
          </value>
          <value t="str">
            <val>上市金融保險</val>
          </value>
          <value t="str">
            <val>以投資銀行業務為主之金控，並藉購併跨入證券與商業銀行領域</val>
          </value>
        </values>
      </ddeItem>
      <ddeItem name="2883.TW-CName,InvestorConferenceDate,DateofMeetingofShareHolders,TradingDate" advise="1">
        <values cols="4">
          <value t="str">
            <val>開發金</val>
          </value>
          <value t="str">
            <val>2022/11/23</val>
          </value>
          <value t="str">
            <val>2022/06/17</val>
          </value>
          <value t="str">
            <val>2022/12/22</val>
          </value>
        </values>
      </ddeItem>
      <ddeItem name="2883.TW-ID,Name,MarketValue,Capital,NetIncomeGrowthRate,OperIncomeGrowthRate,FinancialStatementsTime,TFXRatio,MonthlyNetSalesYoY,RevenueMonth" advise="1">
        <values cols="10">
          <value t="str">
            <val>2883</val>
          </value>
          <value t="str">
            <val>開發金</val>
          </value>
          <value t="str">
            <val>2156.4</val>
          </value>
          <value t="str">
            <val>1684.54</val>
          </value>
          <value t="str">
            <val>-51.55</val>
          </value>
          <value t="str">
            <val>--</val>
          </value>
          <value t="str">
            <val>2022/09</val>
          </value>
          <value t="str">
            <val>-334.91</val>
          </value>
          <value t="str">
            <val>-135.04</val>
          </value>
          <value t="str">
            <val>2022/11</val>
          </value>
        </values>
      </ddeItem>
      <ddeItem name="2883.TW-OperatingProfitRatio,Price,PriceChangeRatio,InOutRatioNumber,Value,YearReturn,MonthReturn,WeekReturn,FinanceBalanceDif,ChipsField2" advise="1">
        <values cols="10">
          <value t="str">
            <val>--</val>
          </value>
          <value>
            <val>12.8</val>
          </value>
          <value>
            <val>1.99</val>
          </value>
          <value t="str">
            <val>58.39%</val>
          </value>
          <value t="str">
            <val>1.46億</val>
          </value>
          <value t="str">
            <val>-17.07</val>
          </value>
          <value t="str">
            <val>-2.29</val>
          </value>
          <value t="str">
            <val>-0.39</val>
          </value>
          <value>
            <val>-71</val>
          </value>
          <value>
            <val>3934</val>
          </value>
        </values>
      </ddeItem>
      <ddeItem name="2884.TW-ChipsField3,ChipsField1,ChipsField25,CashAndStockDividend,CashDividendYieldRate,ProfitFourSeason,ProfitSingle,CName,ExchangeIndustry,CompanyPos" advise="1">
        <values cols="10">
          <value>
            <val>-806</val>
          </value>
          <value>
            <val>363</val>
          </value>
          <value t="str">
            <val>2022/07/28</val>
          </value>
          <value t="str">
            <val>1.34</val>
          </value>
          <value>
            <val>5.5</val>
          </value>
          <value t="str">
            <val>1.18</val>
          </value>
          <value t="str">
            <val>0.32</val>
          </value>
          <value t="str">
            <val>玉山金</val>
          </value>
          <value t="str">
            <val>上市金融保險</val>
          </value>
          <value t="str">
            <val>以玉山銀行為主體的金控公司</val>
          </value>
        </values>
      </ddeItem>
      <ddeItem name="2884.TW-CName,InvestorConferenceDate,DateofMeetingofShareHolders,TradingDate" advise="1">
        <values cols="4">
          <value t="str">
            <val>玉山金</val>
          </value>
          <value t="str">
            <val>2022/11/11</val>
          </value>
          <value t="str">
            <val>2022/06/17</val>
          </value>
          <value t="str">
            <val>2022/12/22</val>
          </value>
        </values>
      </ddeItem>
      <ddeItem name="2884.TW-ID,Name,MarketValue,Capital,NetIncomeGrowthRate,OperIncomeGrowthRate,FinancialStatementsTime,TFXRatio,MonthlyNetSalesYoY,RevenueMonth" advise="1">
        <values cols="10">
          <value t="str">
            <val>2884</val>
          </value>
          <value t="str">
            <val>玉山金</val>
          </value>
          <value t="str">
            <val>3476.0</val>
          </value>
          <value t="str">
            <val>1427.51</val>
          </value>
          <value t="str">
            <val>-26.66</val>
          </value>
          <value t="str">
            <val>--</val>
          </value>
          <value t="str">
            <val>2022/09</val>
          </value>
          <value t="str">
            <val>17.24</val>
          </value>
          <value t="str">
            <val>-1.58</val>
          </value>
          <value t="str">
            <val>2022/11</val>
          </value>
        </values>
      </ddeItem>
      <ddeItem name="2884.TW-OperatingProfitRatio,Price,PriceChangeRatio,InOutRatioNumber,Value,YearReturn,MonthReturn,WeekReturn,FinanceBalanceDif,ChipsField2" advise="1">
        <values cols="10">
          <value t="str">
            <val>--</val>
          </value>
          <value>
            <val>24.35</val>
          </value>
          <value>
            <val>1.04</val>
          </value>
          <value t="str">
            <val>45.33%</val>
          </value>
          <value t="str">
            <val>2.17億</val>
          </value>
          <value t="str">
            <val>-4.84</val>
          </value>
          <value t="str">
            <val>+2.53</val>
          </value>
          <value t="str">
            <val>-1.22</val>
          </value>
          <value>
            <val>-18</val>
          </value>
          <value>
            <val>2</val>
          </value>
        </values>
      </ddeItem>
      <ddeItem name="2885.TW-ChipsField3,ChipsField1,ChipsField25,CashAndStockDividend,CashDividendYieldRate,ProfitFourSeason,ProfitSingle,CName,ExchangeIndustry,CompanyPos" advise="1">
        <values cols="10">
          <value>
            <val>-119</val>
          </value>
          <value>
            <val>-32342</val>
          </value>
          <value t="str">
            <val>2022/06/28</val>
          </value>
          <value t="str">
            <val>1.80</val>
          </value>
          <value>
            <val>8.18</val>
          </value>
          <value t="str">
            <val>2.12</val>
          </value>
          <value t="str">
            <val>0.65</val>
          </value>
          <value t="str">
            <val>元大金</val>
          </value>
          <value t="str">
            <val>上市金融保險</val>
          </value>
          <value t="str">
            <val>以證券為主體金控公司，旗下元大證券為台灣最大券商</val>
          </value>
        </values>
      </ddeItem>
      <ddeItem name="2885.TW-CName,InvestorConferenceDate,DateofMeetingofShareHolders,TradingDate" advise="1">
        <values cols="4">
          <value t="str">
            <val>元大金</val>
          </value>
          <value t="str">
            <val>2022/12/16</val>
          </value>
          <value t="str">
            <val>2022/06/10</val>
          </value>
          <value t="str">
            <val>2022/12/22</val>
          </value>
        </values>
      </ddeItem>
      <ddeItem name="2885.TW-ID,Name,MarketValue,Capital,NetIncomeGrowthRate,OperIncomeGrowthRate,FinancialStatementsTime,TFXRatio,MonthlyNetSalesYoY,RevenueMonth" advise="1">
        <values cols="10">
          <value t="str">
            <val>2885</val>
          </value>
          <value t="str">
            <val>元大金</val>
          </value>
          <value t="str">
            <val>2750.3</val>
          </value>
          <value t="str">
            <val>1250.16</val>
          </value>
          <value t="str">
            <val>-33.37</val>
          </value>
          <value t="str">
            <val>--</val>
          </value>
          <value t="str">
            <val>2022/09</val>
          </value>
          <value t="str">
            <val>-26.42</val>
          </value>
          <value t="str">
            <val>-55.79</val>
          </value>
          <value t="str">
            <val>2022/11</val>
          </value>
        </values>
      </ddeItem>
      <ddeItem name="2885.TW-OperatingProfitRatio,Price,PriceChangeRatio,InOutRatioNumber,Value,YearReturn,MonthReturn,WeekReturn,FinanceBalanceDif,ChipsField2" advise="1">
        <values cols="10">
          <value t="str">
            <val>--</val>
          </value>
          <value>
            <val>22</val>
          </value>
          <value>
            <val>0.92</val>
          </value>
          <value t="str">
            <val>74.27%</val>
          </value>
          <value t="str">
            <val>10.5億</val>
          </value>
          <value t="str">
            <val>-2.14</val>
          </value>
          <value t="str">
            <val>+4.27</val>
          </value>
          <value t="str">
            <val>-1.35</val>
          </value>
          <value>
            <val>33</val>
          </value>
          <value>
            <val>33076</val>
          </value>
        </values>
      </ddeItem>
      <ddeItem name="2886.TW-ChipsField3,ChipsField1,ChipsField25,CashAndStockDividend,CashDividendYieldRate,ProfitFourSeason,ProfitSingle,CName,ExchangeIndustry,CompanyPos" advise="1">
        <values cols="10">
          <value>
            <val>-564</val>
          </value>
          <value>
            <val>-1237</val>
          </value>
          <value t="str">
            <val>2022/08/11</val>
          </value>
          <value t="str">
            <val>1.65</val>
          </value>
          <value>
            <val>5.35</val>
          </value>
          <value t="str">
            <val>1.43</val>
          </value>
          <value t="str">
            <val>0.41</val>
          </value>
          <value t="str">
            <val>兆豐金</val>
          </value>
          <value t="str">
            <val>上市金融保險</val>
          </value>
          <value t="str">
            <val>具有國營背景的金控公司，旗下銀行為台灣主要企業聯貸銀行</val>
          </value>
        </values>
      </ddeItem>
      <ddeItem name="2886.TW-CName,InvestorConferenceDate,DateofMeetingofShareHolders,TradingDate" advise="1">
        <values cols="4">
          <value t="str">
            <val>兆豐金</val>
          </value>
          <value t="str">
            <val>2022/09/01</val>
          </value>
          <value t="str">
            <val>2022/06/17</val>
          </value>
          <value t="str">
            <val>2022/12/22</val>
          </value>
        </values>
      </ddeItem>
      <ddeItem name="2886.TW-ID,Name,MarketValue,Capital,NetIncomeGrowthRate,OperIncomeGrowthRate,FinancialStatementsTime,TFXRatio,MonthlyNetSalesYoY,RevenueMonth" advise="1">
        <values cols="10">
          <value t="str">
            <val>2886</val>
          </value>
          <value t="str">
            <val>兆豐金</val>
          </value>
          <value t="str">
            <val>4300.4</val>
          </value>
          <value t="str">
            <val>1393.98</val>
          </value>
          <value t="str">
            <val>-30.68</val>
          </value>
          <value t="str">
            <val>--</val>
          </value>
          <value t="str">
            <val>2022/09</val>
          </value>
          <value t="str">
            <val>71.03</val>
          </value>
          <value t="str">
            <val>1.32</val>
          </value>
          <value t="str">
            <val>2022/11</val>
          </value>
        </values>
      </ddeItem>
      <ddeItem name="2886.TW-OperatingProfitRatio,Price,PriceChangeRatio,InOutRatioNumber,Value,YearReturn,MonthReturn,WeekReturn,FinanceBalanceDif,ChipsField2" advise="1">
        <values cols="10">
          <value t="str">
            <val>--</val>
          </value>
          <value>
            <val>30.85</val>
          </value>
          <value>
            <val>1.1499999999999999</val>
          </value>
          <value t="str">
            <val>46.56%</val>
          </value>
          <value t="str">
            <val>1.99億</val>
          </value>
          <value t="str">
            <val>-8.09</val>
          </value>
          <value t="str">
            <val>+0.98</val>
          </value>
          <value t="str">
            <val>-1.12</val>
          </value>
          <value>
            <val>21</val>
          </value>
          <value>
            <val>1604</val>
          </value>
        </values>
      </ddeItem>
      <ddeItem name="2887.TW-ChipsField3,ChipsField1,ChipsField25,CashAndStockDividend,CashDividendYieldRate,ProfitFourSeason,ProfitSingle,CName,ExchangeIndustry,CompanyPos" advise="1">
        <values cols="10">
          <value>
            <val>-581</val>
          </value>
          <value>
            <val>532</val>
          </value>
          <value t="str">
            <val>2022/08/24</val>
          </value>
          <value t="str">
            <val>1.10</val>
          </value>
          <value>
            <val>7.24</val>
          </value>
          <value t="str">
            <val>0.93</val>
          </value>
          <value t="str">
            <val>0.28</val>
          </value>
          <value t="str">
            <val>台新金</val>
          </value>
          <value t="str">
            <val>上市金融保險</val>
          </value>
          <value t="str">
            <val>以消費金融業務為主體之台灣金控公司</val>
          </value>
        </values>
      </ddeItem>
      <ddeItem name="2887.TW-CName,InvestorConferenceDate,DateofMeetingofShareHolders,TradingDate" advise="1">
        <values cols="4">
          <value t="str">
            <val>台新金</val>
          </value>
          <value t="str">
            <val>2022/11/02</val>
          </value>
          <value t="str">
            <val>2022/06/17</val>
          </value>
          <value t="str">
            <val>2022/12/22</val>
          </value>
        </values>
      </ddeItem>
      <ddeItem name="2887.TW-ID,Name,MarketValue,Capital,NetIncomeGrowthRate,OperIncomeGrowthRate,FinancialStatementsTime,TFXRatio,MonthlyNetSalesYoY,RevenueMonth" advise="1">
        <values cols="10">
          <value t="str">
            <val>2887</val>
          </value>
          <value t="str">
            <val>台新金</val>
          </value>
          <value t="str">
            <val>1820.1</val>
          </value>
          <value t="str">
            <val>1197.41</val>
          </value>
          <value t="str">
            <val>-53.59</val>
          </value>
          <value t="str">
            <val>--</val>
          </value>
          <value t="str">
            <val>2022/09</val>
          </value>
          <value t="str">
            <val>-18.82</val>
          </value>
          <value t="str">
            <val>5.93</val>
          </value>
          <value t="str">
            <val>2022/11</val>
          </value>
        </values>
      </ddeItem>
      <ddeItem name="2887.TW-OperatingProfitRatio,Price,PriceChangeRatio,InOutRatioNumber,Value,YearReturn,MonthReturn,WeekReturn,FinanceBalanceDif,ChipsField2" advise="1">
        <values cols="10">
          <value t="str">
            <val>--</val>
          </value>
          <value>
            <val>15.2</val>
          </value>
          <value>
            <val>1</val>
          </value>
          <value t="str">
            <val>61.21%</val>
          </value>
          <value t="str">
            <val>1.55億</val>
          </value>
          <value t="str">
            <val>-11.14</val>
          </value>
          <value t="str">
            <val>+4.11</val>
          </value>
          <value t="str">
            <val>+0.66</val>
          </value>
          <value>
            <val>-10</val>
          </value>
          <value>
            <val>0</val>
          </value>
        </values>
      </ddeItem>
      <ddeItem name="2888.TW-ChipsField3,ChipsField1,ChipsField25,CashAndStockDividend,CashDividendYieldRate,ProfitFourSeason,ProfitSingle,CName,ExchangeIndustry,CompanyPos" advise="1">
        <values cols="10">
          <value>
            <val>-1351</val>
          </value>
          <value>
            <val>-590</val>
          </value>
          <value t="str">
            <val>2022/06/28</val>
          </value>
          <value t="str">
            <val>0.40</val>
          </value>
          <value>
            <val>4.55</val>
          </value>
          <value t="str">
            <val>0.78</val>
          </value>
          <value t="str">
            <val>0.48</val>
          </value>
          <value t="str">
            <val>新光金</val>
          </value>
          <value t="str">
            <val>上市金融保險</val>
          </value>
          <value t="str">
            <val>以壽險為主體的金控公司，旗下新光人壽為台灣前五大保險公司</val>
          </value>
        </values>
      </ddeItem>
      <ddeItem name="2888.TW-CName,InvestorConferenceDate,DateofMeetingofShareHolders,TradingDate" advise="1">
        <values cols="4">
          <value t="str">
            <val>新光金</val>
          </value>
          <value t="str">
            <val>2022/11/29</val>
          </value>
          <value t="str">
            <val>2022/05/27</val>
          </value>
          <value t="str">
            <val>2022/12/22</val>
          </value>
        </values>
      </ddeItem>
      <ddeItem name="2888.TW-ID,Name,MarketValue,Capital,NetIncomeGrowthRate,OperIncomeGrowthRate,FinancialStatementsTime,TFXRatio,MonthlyNetSalesYoY,RevenueMonth" advise="1">
        <values cols="10">
          <value t="str">
            <val>2888</val>
          </value>
          <value t="str">
            <val>新光金</val>
          </value>
          <value t="str">
            <val>1362.9</val>
          </value>
          <value t="str">
            <val>1548.76</val>
          </value>
          <value t="str">
            <val>-52.08</val>
          </value>
          <value t="str">
            <val>--</val>
          </value>
          <value t="str">
            <val>2022/09</val>
          </value>
          <value t="str">
            <val>-285.48</val>
          </value>
          <value t="str">
            <val>-129.43</val>
          </value>
          <value t="str">
            <val>2022/11</val>
          </value>
        </values>
      </ddeItem>
      <ddeItem name="2888.TW-OperatingProfitRatio,Price,PriceChangeRatio,InOutRatioNumber,Value,YearReturn,MonthReturn,WeekReturn,FinanceBalanceDif,ChipsField2" advise="1">
        <values cols="10">
          <value t="str">
            <val>--</val>
          </value>
          <value>
            <val>8.8000000000000007</val>
          </value>
          <value>
            <val>1.1499999999999999</val>
          </value>
          <value t="str">
            <val>61.79%</val>
          </value>
          <value t="str">
            <val>1.58億</val>
          </value>
          <value t="str">
            <val>-12.80</val>
          </value>
          <value t="str">
            <val>+2.68</val>
          </value>
          <value t="str">
            <val>+0.46</val>
          </value>
          <value>
            <val>103</val>
          </value>
          <value>
            <val>220</val>
          </value>
        </values>
      </ddeItem>
      <ddeItem name="2889.TW-ChipsField3,ChipsField1,ChipsField25,CashAndStockDividend,CashDividendYieldRate,ProfitFourSeason,ProfitSingle,CName,ExchangeIndustry,CompanyPos" advise="1">
        <values cols="10">
          <value>
            <val>-209</val>
          </value>
          <value>
            <val>-1073</val>
          </value>
          <value t="str">
            <val>2022/06/29</val>
          </value>
          <value t="str">
            <val>1.15</val>
          </value>
          <value>
            <val>10.130000000000001</val>
          </value>
          <value t="str">
            <val>0.66</val>
          </value>
          <value t="str">
            <val>0.13</val>
          </value>
          <value t="str">
            <val>國票金</val>
          </value>
          <value t="str">
            <val>上市金融保險</val>
          </value>
          <value t="str">
            <val>台灣唯一以票券業務為主體之金控公司</val>
          </value>
        </values>
      </ddeItem>
      <ddeItem name="2889.TW-CName,InvestorConferenceDate,DateofMeetingofShareHolders,TradingDate" advise="1">
        <values cols="4">
          <value t="str">
            <val>國票金</val>
          </value>
          <value t="str">
            <val>2022/06/21</val>
          </value>
          <value t="str">
            <val>2022/05/27</val>
          </value>
          <value t="str">
            <val>2022/12/22</val>
          </value>
        </values>
      </ddeItem>
      <ddeItem name="2889.TW-ID,Name,MarketValue,Capital,NetIncomeGrowthRate,OperIncomeGrowthRate,FinancialStatementsTime,TFXRatio,MonthlyNetSalesYoY,RevenueMonth" advise="1">
        <values cols="10">
          <value t="str">
            <val>2889</val>
          </value>
          <value t="str">
            <val>國票金</val>
          </value>
          <value t="str">
            <val>391.3</val>
          </value>
          <value t="str">
            <val>344.74</val>
          </value>
          <value t="str">
            <val>-57.67</val>
          </value>
          <value t="str">
            <val>--</val>
          </value>
          <value t="str">
            <val>2022/09</val>
          </value>
          <value t="str">
            <val>142.12</val>
          </value>
          <value t="str">
            <val>-38.56</val>
          </value>
          <value t="str">
            <val>2022/11</val>
          </value>
        </values>
      </ddeItem>
      <ddeItem name="2889.TW-OperatingProfitRatio,Price,PriceChangeRatio,InOutRatioNumber,Value,YearReturn,MonthReturn,WeekReturn,FinanceBalanceDif,ChipsField2" advise="1">
        <values cols="10">
          <value t="str">
            <val>--</val>
          </value>
          <value>
            <val>11.35</val>
          </value>
          <value>
            <val>0.89</val>
          </value>
          <value t="str">
            <val>54.03%</val>
          </value>
          <value t="str">
            <val>3119萬</val>
          </value>
          <value t="str">
            <val>-21.33</val>
          </value>
          <value t="str">
            <val>+2.25</val>
          </value>
          <value t="str">
            <val>-1.30</val>
          </value>
          <value>
            <val>-102</val>
          </value>
          <value>
            <val>15</val>
          </value>
        </values>
      </ddeItem>
      <ddeItem name="2890.TW-ChipsField3,ChipsField1,ChipsField25,CashAndStockDividend,CashDividendYieldRate,ProfitFourSeason,ProfitSingle,CName,ExchangeIndustry,CompanyPos" advise="1">
        <values cols="10">
          <value>
            <val>-266</val>
          </value>
          <value>
            <val>-37084</val>
          </value>
          <value t="str">
            <val>2022/08/10</val>
          </value>
          <value t="str">
            <val>0.90</val>
          </value>
          <value>
            <val>5.13</val>
          </value>
          <value t="str">
            <val>1.44</val>
          </value>
          <value t="str">
            <val>0.41</val>
          </value>
          <value t="str">
            <val>永豐金</val>
          </value>
          <value t="str">
            <val>上市金融保險</val>
          </value>
          <value t="str">
            <val>以銀行為主體的的大型金控，旗下另有證券、投信業務</val>
          </value>
        </values>
      </ddeItem>
      <ddeItem name="2890.TW-CName,InvestorConferenceDate,DateofMeetingofShareHolders,TradingDate" advise="1">
        <values cols="4">
          <value t="str">
            <val>永豐金</val>
          </value>
          <value t="str">
            <val>2022/12/08</val>
          </value>
          <value t="str">
            <val>2022/05/27</val>
          </value>
          <value t="str">
            <val>2022/12/22</val>
          </value>
        </values>
      </ddeItem>
      <ddeItem name="2890.TW-ID,Name,MarketValue,Capital,NetIncomeGrowthRate,OperIncomeGrowthRate,FinancialStatementsTime,TFXRatio,MonthlyNetSalesYoY,RevenueMonth" advise="1">
        <values cols="10">
          <value t="str">
            <val>2890</val>
          </value>
          <value t="str">
            <val>永豐金</val>
          </value>
          <value t="str">
            <val>1997.9</val>
          </value>
          <value t="str">
            <val>1138.38</val>
          </value>
          <value t="str">
            <val>1.11</val>
          </value>
          <value t="str">
            <val>--</val>
          </value>
          <value t="str">
            <val>2022/09</val>
          </value>
          <value t="str">
            <val>-6.28</val>
          </value>
          <value t="str">
            <val>-15.56</val>
          </value>
          <value t="str">
            <val>2022/11</val>
          </value>
        </values>
      </ddeItem>
      <ddeItem name="2890.TW-OperatingProfitRatio,Price,PriceChangeRatio,InOutRatioNumber,Value,YearReturn,MonthReturn,WeekReturn,FinanceBalanceDif,ChipsField2" advise="1">
        <values cols="10">
          <value t="str">
            <val>--</val>
          </value>
          <value>
            <val>17.55</val>
          </value>
          <value>
            <val>5.72</val>
          </value>
          <value t="str">
            <val>66.44%</val>
          </value>
          <value t="str">
            <val>11.9億</val>
          </value>
          <value t="str">
            <val>+16.76</val>
          </value>
          <value t="str">
            <val>+4.15</val>
          </value>
          <value t="str">
            <val>-0.28</val>
          </value>
          <value>
            <val>55</val>
          </value>
          <value>
            <val>30585</val>
          </value>
        </values>
      </ddeItem>
      <ddeItem name="2891.TW-ChipsField3,ChipsField1,ChipsField25,CashAndStockDividend,CashDividendYieldRate,ProfitFourSeason,ProfitSingle,CName,ExchangeIndustry,CompanyPos" advise="1">
        <values cols="10">
          <value>
            <val>-1231</val>
          </value>
          <value>
            <val>-39486</val>
          </value>
          <value t="str">
            <val>2022/07/14</val>
          </value>
          <value t="str">
            <val>1.25</val>
          </value>
          <value>
            <val>5.64</val>
          </value>
          <value t="str">
            <val>2.05</val>
          </value>
          <value t="str">
            <val>0.40</val>
          </value>
          <value t="str">
            <val>中信金</val>
          </value>
          <value t="str">
            <val>上市金融保險</val>
          </value>
          <value t="str">
            <val>台灣資產規模前四大金控公司，旗下中信銀為最大信用卡發卡銀行</val>
          </value>
        </values>
      </ddeItem>
      <ddeItem name="2891.TW-CName,InvestorConferenceDate,DateofMeetingofShareHolders,TradingDate" advise="1">
        <values cols="4">
          <value t="str">
            <val>中信金</val>
          </value>
          <value t="str">
            <val>2022/11/18</val>
          </value>
          <value t="str">
            <val>2022/06/17</val>
          </value>
          <value t="str">
            <val>2022/12/22</val>
          </value>
        </values>
      </ddeItem>
      <ddeItem name="2891.TW-ID,Name,MarketValue,Capital,NetIncomeGrowthRate,OperIncomeGrowthRate,FinancialStatementsTime,TFXRatio,MonthlyNetSalesYoY,RevenueMonth" advise="1">
        <values cols="10">
          <value t="str">
            <val>2891</val>
          </value>
          <value t="str">
            <val>中信金</val>
          </value>
          <value t="str">
            <val>4318.6</val>
          </value>
          <value t="str">
            <val>1958.41</val>
          </value>
          <value t="str">
            <val>-28.89</val>
          </value>
          <value t="str">
            <val>--</val>
          </value>
          <value t="str">
            <val>2022/09</val>
          </value>
          <value t="str">
            <val>-172.32</val>
          </value>
          <value t="str">
            <val>-114.77</val>
          </value>
          <value t="str">
            <val>2022/11</val>
          </value>
        </values>
      </ddeItem>
      <ddeItem name="2891.TW-OperatingProfitRatio,Price,PriceChangeRatio,InOutRatioNumber,Value,YearReturn,MonthReturn,WeekReturn,FinanceBalanceDif,ChipsField2" advise="1">
        <values cols="10">
          <value t="str">
            <val>--</val>
          </value>
          <value>
            <val>22.15</val>
          </value>
          <value>
            <val>2.0699999999999998</val>
          </value>
          <value t="str">
            <val>50.76%</val>
          </value>
          <value t="str">
            <val>11.7億</val>
          </value>
          <value t="str">
            <val>-8.78</val>
          </value>
          <value t="str">
            <val>+3.50</val>
          </value>
          <value t="str">
            <val>-3.28</val>
          </value>
          <value>
            <val>321</val>
          </value>
          <value>
            <val>32058</val>
          </value>
        </values>
      </ddeItem>
      <ddeItem name="2892.TW-ChipsField3,ChipsField1,ChipsField25,CashAndStockDividend,CashDividendYieldRate,ProfitFourSeason,ProfitSingle,CName,ExchangeIndustry,CompanyPos" advise="1">
        <values cols="10">
          <value>
            <val>-812</val>
          </value>
          <value>
            <val>-532</val>
          </value>
          <value t="str">
            <val>2022/08/04</val>
          </value>
          <value t="str">
            <val>1.20</val>
          </value>
          <value>
            <val>4.55</val>
          </value>
          <value t="str">
            <val>1.50</val>
          </value>
          <value t="str">
            <val>0.47</val>
          </value>
          <value t="str">
            <val>第一金</val>
          </value>
          <value t="str">
            <val>上市金融保險</val>
          </value>
          <value t="str">
            <val>台灣前三大官股金控公司，旗下銀行為業界歷史悠久的三商銀之一</val>
          </value>
        </values>
      </ddeItem>
      <ddeItem name="2892.TW-CName,InvestorConferenceDate,DateofMeetingofShareHolders,TradingDate" advise="1">
        <values cols="4">
          <value t="str">
            <val>第一金</val>
          </value>
          <value t="str">
            <val>2022/11/30</val>
          </value>
          <value t="str">
            <val>2022/06/17</val>
          </value>
          <value t="str">
            <val>2022/12/22</val>
          </value>
        </values>
      </ddeItem>
      <ddeItem name="2892.TW-ID,Name,MarketValue,Capital,NetIncomeGrowthRate,OperIncomeGrowthRate,FinancialStatementsTime,TFXRatio,MonthlyNetSalesYoY,RevenueMonth" advise="1">
        <values cols="10">
          <value t="str">
            <val>2892</val>
          </value>
          <value t="str">
            <val>第一金</val>
          </value>
          <value t="str">
            <val>3491.0</val>
          </value>
          <value t="str">
            <val>1322.34</val>
          </value>
          <value t="str">
            <val>-0.56</val>
          </value>
          <value t="str">
            <val>--</val>
          </value>
          <value t="str">
            <val>2022/09</val>
          </value>
          <value t="str">
            <val>1.98</val>
          </value>
          <value t="str">
            <val>-0.64</val>
          </value>
          <value t="str">
            <val>2022/11</val>
          </value>
        </values>
      </ddeItem>
      <ddeItem name="2892.TW-OperatingProfitRatio,Price,PriceChangeRatio,InOutRatioNumber,Value,YearReturn,MonthReturn,WeekReturn,FinanceBalanceDif,ChipsField2" advise="1">
        <values cols="10">
          <value t="str">
            <val>--</val>
          </value>
          <value>
            <val>26.4</val>
          </value>
          <value>
            <val>0.38</val>
          </value>
          <value t="str">
            <val>57.02%</val>
          </value>
          <value t="str">
            <val>1.78億</val>
          </value>
          <value t="str">
            <val>+16.04</val>
          </value>
          <value t="str">
            <val>+4.14</val>
          </value>
          <value t="str">
            <val>+0.19</val>
          </value>
          <value>
            <val>-32</val>
          </value>
          <value>
            <val>1880</val>
          </value>
        </values>
      </ddeItem>
      <ddeItem name="2897.TW-ChipsField3,ChipsField1,ChipsField25,CashAndStockDividend,CashDividendYieldRate,ProfitFourSeason,ProfitSingle,CName,ExchangeIndustry,CompanyPos" advise="1">
        <values cols="10">
          <value>
            <val>-199</val>
          </value>
          <value>
            <val>-226</val>
          </value>
          <value t="str">
            <val>2022/07/19</val>
          </value>
          <value t="str">
            <val>0.30</val>
          </value>
          <value>
            <val>3.59</val>
          </value>
          <value t="str">
            <val>0.77</val>
          </value>
          <value t="str">
            <val>0.26</val>
          </value>
          <value t="str">
            <val>王道銀行</val>
          </value>
          <value t="str">
            <val>上市金融保險</val>
          </value>
          <value t="str">
            <val>前身為台灣工業銀行已轉型為商業銀行</val>
          </value>
        </values>
      </ddeItem>
      <ddeItem name="2897.TW-CName,InvestorConferenceDate,DateofMeetingofShareHolders,TradingDate" advise="1">
        <values cols="4">
          <value t="str">
            <val>王道銀行</val>
          </value>
          <value t="str">
            <val>2022/12/07</val>
          </value>
          <value t="str">
            <val>2022/06/17</val>
          </value>
          <value t="str">
            <val>2022/12/22</val>
          </value>
        </values>
      </ddeItem>
      <ddeItem name="2897.TW-ID,Name,MarketValue,Capital,NetIncomeGrowthRate,OperIncomeGrowthRate,FinancialStatementsTime,TFXRatio,MonthlyNetSalesYoY,RevenueMonth" advise="1">
        <values cols="10">
          <value t="str">
            <val>2897</val>
          </value>
          <value t="str">
            <val>王道銀行</val>
          </value>
          <value t="str">
            <val>228.3</val>
          </value>
          <value t="str">
            <val>273.40</val>
          </value>
          <value t="str">
            <val>-4.99</val>
          </value>
          <value t="str">
            <val>--</val>
          </value>
          <value t="str">
            <val>2022/09</val>
          </value>
          <value t="str">
            <val>-22.29</val>
          </value>
          <value t="str">
            <val>-29.78</val>
          </value>
          <value t="str">
            <val>2022/11</val>
          </value>
        </values>
      </ddeItem>
      <ddeItem name="2897.TW-OperatingProfitRatio,Price,PriceChangeRatio,InOutRatioNumber,Value,YearReturn,MonthReturn,WeekReturn,FinanceBalanceDif,ChipsField2" advise="1">
        <values cols="10">
          <value t="str">
            <val>--</val>
          </value>
          <value>
            <val>8.35</val>
          </value>
          <value>
            <val>0.36</val>
          </value>
          <value t="str">
            <val>30.29%</val>
          </value>
          <value t="str">
            <val>795萬</val>
          </value>
          <value t="str">
            <val>+9.70</val>
          </value>
          <value t="str">
            <val>+0.24</val>
          </value>
          <value t="str">
            <val>-1.65</val>
          </value>
          <value>
            <val>108</val>
          </value>
          <value>
            <val>0</val>
          </value>
        </values>
      </ddeItem>
      <ddeItem name="290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-5</val>
          </value>
          <value t="str">
            <val>2022/08/23</val>
          </value>
          <value t="str">
            <val>0.07</val>
          </value>
          <value>
            <val>0.3</val>
          </value>
          <value t="str">
            <val>0.27</val>
          </value>
          <value t="str">
            <val>0.07</val>
          </value>
          <value t="str">
            <val>欣欣</val>
          </value>
          <value t="str">
            <val>上市貿易百貨</val>
          </value>
          <value t="str">
            <val>位於台北市中山區精華地段之百貨業者，退撫會為最大股東</val>
          </value>
        </values>
      </ddeItem>
      <ddeItem name="2901.TW-CName,InvestorConferenceDate,DateofMeetingofShareHolders,TradingDate" advise="1">
        <values cols="4">
          <value t="str">
            <val>欣欣</val>
          </value>
          <value t="str">
            <val>2022/11/16</val>
          </value>
          <value t="str">
            <val>2022/06/22</val>
          </value>
          <value t="str">
            <val>2022/12/22</val>
          </value>
        </values>
      </ddeItem>
      <ddeItem name="2901.TW-ID,Name,MarketValue,Capital,NetIncomeGrowthRate,OperIncomeGrowthRate,FinancialStatementsTime,TFXRatio,MonthlyNetSalesYoY,RevenueMonth" advise="1">
        <values cols="10">
          <value t="str">
            <val>2901</val>
          </value>
          <value t="str">
            <val>欣欣</val>
          </value>
          <value t="str">
            <val>17.2</val>
          </value>
          <value t="str">
            <val>7.30</val>
          </value>
          <value t="str">
            <val>1697.27</val>
          </value>
          <value t="str">
            <val>173.44</val>
          </value>
          <value t="str">
            <val>2022/09</val>
          </value>
          <value t="str">
            <val>-6.19</val>
          </value>
          <value t="str">
            <val>-2.47</val>
          </value>
          <value t="str">
            <val>2022/11</val>
          </value>
        </values>
      </ddeItem>
      <ddeItem name="2901.TW-OperatingProfitRatio,Price,PriceChangeRatio,InOutRatioNumber,Value,YearReturn,MonthReturn,WeekReturn,FinanceBalanceDif,ChipsField2" advise="1">
        <values cols="10">
          <value t="str">
            <val>7.97</val>
          </value>
          <value>
            <val>23.6</val>
          </value>
          <value>
            <val>1.51</val>
          </value>
          <value t="str">
            <val>100.00%</val>
          </value>
          <value t="str">
            <val>7.07萬</val>
          </value>
          <value t="str">
            <val>-4.96</val>
          </value>
          <value t="str">
            <val>+0.85</val>
          </value>
          <value t="str">
            <val>+0.21</val>
          </value>
          <value>
            <val>-39</val>
          </value>
          <value>
            <val>0</val>
          </value>
        </values>
      </ddeItem>
      <ddeItem name="2903.TW-ChipsField3,ChipsField1,ChipsField25,CashAndStockDividend,CashDividendYieldRate,ProfitFourSeason,ProfitSingle,CName,ExchangeIndustry,CompanyPos" advise="1">
        <values cols="10">
          <value>
            <val>-1437</val>
          </value>
          <value>
            <val>55</val>
          </value>
          <value t="str">
            <val>2022/07/14</val>
          </value>
          <value t="str">
            <val>0.90</val>
          </value>
          <value>
            <val>4.1900000000000004</val>
          </value>
          <value t="str">
            <val>1.15</val>
          </value>
          <value t="str">
            <val>0.56</val>
          </value>
          <value t="str">
            <val>遠百</val>
          </value>
          <value t="str">
            <val>上市貿易百貨</val>
          </value>
          <value t="str">
            <val>隸屬遠東集團，合併SOGO百貨成為台灣規模最大的百貨業者</val>
          </value>
        </values>
      </ddeItem>
      <ddeItem name="2903.TW-CName,InvestorConferenceDate,DateofMeetingofShareHolders,TradingDate" advise="1">
        <values cols="4">
          <value t="str">
            <val>遠百</val>
          </value>
          <value t="str">
            <val>2021/12/16</val>
          </value>
          <value t="str">
            <val>2022/06/24</val>
          </value>
          <value t="str">
            <val>2022/12/22</val>
          </value>
        </values>
      </ddeItem>
      <ddeItem name="2903.TW-ID,Name,MarketValue,Capital,NetIncomeGrowthRate,OperIncomeGrowthRate,FinancialStatementsTime,TFXRatio,MonthlyNetSalesYoY,RevenueMonth" advise="1">
        <values cols="10">
          <value t="str">
            <val>2903</val>
          </value>
          <value t="str">
            <val>遠百</val>
          </value>
          <value t="str">
            <val>304.6</val>
          </value>
          <value t="str">
            <val>141.69</val>
          </value>
          <value t="str">
            <val>43.15</val>
          </value>
          <value t="str">
            <val>49.56</val>
          </value>
          <value t="str">
            <val>2022/09</val>
          </value>
          <value t="str">
            <val>18.82</val>
          </value>
          <value t="str">
            <val>-3.50</val>
          </value>
          <value t="str">
            <val>2022/11</val>
          </value>
        </values>
      </ddeItem>
      <ddeItem name="2903.TW-OperatingProfitRatio,Price,PriceChangeRatio,InOutRatioNumber,Value,YearReturn,MonthReturn,WeekReturn,FinanceBalanceDif,ChipsField2" advise="1">
        <values cols="10">
          <value t="str">
            <val>10.39</val>
          </value>
          <value>
            <val>21.5</val>
          </value>
          <value>
            <val>0</val>
          </value>
          <value t="str">
            <val>71.97%</val>
          </value>
          <value t="str">
            <val>3322萬</val>
          </value>
          <value t="str">
            <val>+7.07</val>
          </value>
          <value t="str">
            <val>+9.41</val>
          </value>
          <value t="str">
            <val>+4.12</val>
          </value>
          <value>
            <val>9</val>
          </value>
          <value>
            <val>1018</val>
          </value>
        </values>
      </ddeItem>
      <ddeItem name="2904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0</val>
          </value>
          <value t="str">
            <val>2022/07/20</val>
          </value>
          <value t="str">
            <val>0.80</val>
          </value>
          <value>
            <val>4.0599999999999996</val>
          </value>
          <value t="str">
            <val>1.34</val>
          </value>
          <value t="str">
            <val>0.50</val>
          </value>
          <value t="str">
            <val>匯僑</val>
          </value>
          <value t="str">
            <val>上市其他</val>
          </value>
          <value t="str">
            <val>台灣專業的石化倉儲廠</val>
          </value>
        </values>
      </ddeItem>
      <ddeItem name="2904.TW-CName,InvestorConferenceDate,DateofMeetingofShareHolders,TradingDate" advise="1">
        <values cols="4">
          <value t="str">
            <val>匯僑</val>
          </value>
          <value t="str">
            <val>2022/11/22</val>
          </value>
          <value t="str">
            <val>2022/06/23</val>
          </value>
          <value t="str">
            <val>2022/12/22</val>
          </value>
        </values>
      </ddeItem>
      <ddeItem name="2904.TW-ID,Name,MarketValue,Capital,NetIncomeGrowthRate,OperIncomeGrowthRate,FinancialStatementsTime,TFXRatio,MonthlyNetSalesYoY,RevenueMonth" advise="1">
        <values cols="10">
          <value t="str">
            <val>2904</val>
          </value>
          <value t="str">
            <val>匯僑</val>
          </value>
          <value t="str">
            <val>15.3</val>
          </value>
          <value t="str">
            <val>7.78</val>
          </value>
          <value t="str">
            <val>32.91</val>
          </value>
          <value t="str">
            <val>-13.39</val>
          </value>
          <value t="str">
            <val>2022/09</val>
          </value>
          <value t="str">
            <val>-2.51</val>
          </value>
          <value t="str">
            <val>16.03</val>
          </value>
          <value t="str">
            <val>2022/11</val>
          </value>
        </values>
      </ddeItem>
      <ddeItem name="2904.TW-OperatingProfitRatio,Price,PriceChangeRatio,InOutRatioNumber,Value,YearReturn,MonthReturn,WeekReturn,FinanceBalanceDif,ChipsField2" advise="1">
        <values cols="10">
          <value t="str">
            <val>19.96</val>
          </value>
          <value>
            <val>19.7</val>
          </value>
          <value>
            <val>0.51</val>
          </value>
          <value t="str">
            <val>68.75%</val>
          </value>
          <value t="str">
            <val>31.5萬</val>
          </value>
          <value t="str">
            <val>-18.54</val>
          </value>
          <value t="str">
            <val>+2.60</val>
          </value>
          <value t="str">
            <val>-1.01</val>
          </value>
          <value>
            <val>0</val>
          </value>
          <value>
            <val>0</val>
          </value>
        </values>
      </ddeItem>
      <ddeItem name="2905.TW-ChipsField3,ChipsField1,ChipsField25,CashAndStockDividend,CashDividendYieldRate,ProfitFourSeason,ProfitSingle,CName,ExchangeIndustry,CompanyPos" advise="1">
        <values cols="10">
          <value>
            <val>-40</val>
          </value>
          <value>
            <val>-11</val>
          </value>
          <value t="str">
            <val>2022/09/08</val>
          </value>
          <value t="str">
            <val>1.10</val>
          </value>
          <value>
            <val>7.26</val>
          </value>
          <value t="str">
            <val>-1.32</val>
          </value>
          <value t="str">
            <val>0.79</val>
          </value>
          <value t="str">
            <val>三商</val>
          </value>
          <value t="str">
            <val>上市貿易百貨</val>
          </value>
          <value t="str">
            <val>轉投資子公司業務包含零售業、餐飲、壽險、製藥等</val>
          </value>
        </values>
      </ddeItem>
      <ddeItem name="2905.TW-CName,InvestorConferenceDate,DateofMeetingofShareHolders,TradingDate" advise="1">
        <values cols="4">
          <value t="str">
            <val>三商</val>
          </value>
          <value t="str">
            <val>2022/09/16</val>
          </value>
          <value t="str">
            <val>2022/06/24</val>
          </value>
          <value t="str">
            <val>2022/12/22</val>
          </value>
        </values>
      </ddeItem>
      <ddeItem name="2905.TW-ID,Name,MarketValue,Capital,NetIncomeGrowthRate,OperIncomeGrowthRate,FinancialStatementsTime,TFXRatio,MonthlyNetSalesYoY,RevenueMonth" advise="1">
        <values cols="10">
          <value t="str">
            <val>2905</val>
          </value>
          <value t="str">
            <val>三商</val>
          </value>
          <value t="str">
            <val>139.8</val>
          </value>
          <value t="str">
            <val>92.25</val>
          </value>
          <value t="str">
            <val>-275.91</val>
          </value>
          <value t="str">
            <val>-1024.13</val>
          </value>
          <value t="str">
            <val>2022/09</val>
          </value>
          <value t="str">
            <val>-166.91</val>
          </value>
          <value t="str">
            <val>-199.64</val>
          </value>
          <value t="str">
            <val>2022/11</val>
          </value>
        </values>
      </ddeItem>
      <ddeItem name="2905.TW-OperatingProfitRatio,Price,PriceChangeRatio,InOutRatioNumber,Value,YearReturn,MonthReturn,WeekReturn,FinanceBalanceDif,ChipsField2" advise="1">
        <values cols="10">
          <value t="str">
            <val>-77.39</val>
          </value>
          <value>
            <val>15.15</val>
          </value>
          <value>
            <val>1</val>
          </value>
          <value t="str">
            <val>34.57%</val>
          </value>
          <value t="str">
            <val>123萬</val>
          </value>
          <value t="str">
            <val>-27.63</val>
          </value>
          <value t="str">
            <val>+3.41</val>
          </value>
          <value t="str">
            <val>-1.62</val>
          </value>
          <value>
            <val>1</val>
          </value>
          <value>
            <val>0</val>
          </value>
        </values>
      </ddeItem>
      <ddeItem name="2906.TW-ChipsField3,ChipsField1,ChipsField25,CashAndStockDividend,CashDividendYieldRate,ProfitFourSeason,ProfitSingle,CName,ExchangeIndustry,CompanyPos" advise="1">
        <values cols="10">
          <value>
            <val>-11</val>
          </value>
          <value>
            <val>189</val>
          </value>
          <value t="str">
            <val>2022/07/20</val>
          </value>
          <value t="str">
            <val>0.40</val>
          </value>
          <value>
            <val>2.27</val>
          </value>
          <value t="str">
            <val>0.74</val>
          </value>
          <value t="str">
            <val>0.24</val>
          </value>
          <value t="str">
            <val>高林</val>
          </value>
          <value t="str">
            <val>上市貿易百貨</val>
          </value>
          <value t="str">
            <val>為國內知名貿易商，並代理G2000、Nike等多項品牌服飾</val>
          </value>
        </values>
      </ddeItem>
      <ddeItem name="2906.TW-CName,InvestorConferenceDate,DateofMeetingofShareHolders,TradingDate" advise="1">
        <values cols="4">
          <value t="str">
            <val>高林</val>
          </value>
          <value t="str">
            <val>2022/12/21</val>
          </value>
          <value t="str">
            <val>2022/06/15</val>
          </value>
          <value t="str">
            <val>2022/12/22</val>
          </value>
        </values>
      </ddeItem>
      <ddeItem name="2906.TW-ID,Name,MarketValue,Capital,NetIncomeGrowthRate,OperIncomeGrowthRate,FinancialStatementsTime,TFXRatio,MonthlyNetSalesYoY,RevenueMonth" advise="1">
        <values cols="10">
          <value t="str">
            <val>2906</val>
          </value>
          <value t="str">
            <val>高林</val>
          </value>
          <value t="str">
            <val>36.9</val>
          </value>
          <value t="str">
            <val>20.91</val>
          </value>
          <value t="str">
            <val>45.73</val>
          </value>
          <value t="str">
            <val>55.63</val>
          </value>
          <value t="str">
            <val>2022/09</val>
          </value>
          <value t="str">
            <val>-3.74</val>
          </value>
          <value t="str">
            <val>-6.52</val>
          </value>
          <value t="str">
            <val>2022/11</val>
          </value>
        </values>
      </ddeItem>
      <ddeItem name="2906.TW-OperatingProfitRatio,Price,PriceChangeRatio,InOutRatioNumber,Value,YearReturn,MonthReturn,WeekReturn,FinanceBalanceDif,ChipsField2" advise="1">
        <values cols="10">
          <value t="str">
            <val>4.75</val>
          </value>
          <value>
            <val>17.649999999999999</val>
          </value>
          <value>
            <val>2.92</val>
          </value>
          <value t="str">
            <val>56.73%</val>
          </value>
          <value t="str">
            <val>1.39億</val>
          </value>
          <value t="str">
            <val>+17.03</val>
          </value>
          <value t="str">
            <val>+0.57</val>
          </value>
          <value t="str">
            <val>+2.02</val>
          </value>
          <value>
            <val>4</val>
          </value>
          <value>
            <val>0</val>
          </value>
        </values>
      </ddeItem>
      <ddeItem name="2908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-35</val>
          </value>
          <value t="str">
            <val>2022/06/15</val>
          </value>
          <value t="str">
            <val>1.28</val>
          </value>
          <value>
            <val>6.46</val>
          </value>
          <value t="str">
            <val>1.26</val>
          </value>
          <value t="str">
            <val>0.29</val>
          </value>
          <value t="str">
            <val>特力</val>
          </value>
          <value t="str">
            <val>上市貿易百貨</val>
          </value>
          <value t="str">
            <val>海內外家居用品貿易商，擁有特力屋、HOLA零售品牌賣場</val>
          </value>
        </values>
      </ddeItem>
      <ddeItem name="2908.TW-CName,InvestorConferenceDate,DateofMeetingofShareHolders,TradingDate" advise="1">
        <values cols="4">
          <value t="str">
            <val>特力</val>
          </value>
          <value t="str">
            <val>2022/09/21</val>
          </value>
          <value t="str">
            <val>2022/06/15</val>
          </value>
          <value t="str">
            <val>2022/12/22</val>
          </value>
        </values>
      </ddeItem>
      <ddeItem name="2908.TW-ID,Name,MarketValue,Capital,NetIncomeGrowthRate,OperIncomeGrowthRate,FinancialStatementsTime,TFXRatio,MonthlyNetSalesYoY,RevenueMonth" advise="1">
        <values cols="10">
          <value t="str">
            <val>2908</val>
          </value>
          <value t="str">
            <val>特力</val>
          </value>
          <value t="str">
            <val>101.0</val>
          </value>
          <value t="str">
            <val>50.99</val>
          </value>
          <value t="str">
            <val>-24.55</val>
          </value>
          <value t="str">
            <val>-70.29</val>
          </value>
          <value t="str">
            <val>2022/09</val>
          </value>
          <value t="str">
            <val>9.45</val>
          </value>
          <value t="str">
            <val>-27.83</val>
          </value>
          <value t="str">
            <val>2022/11</val>
          </value>
        </values>
      </ddeItem>
      <ddeItem name="2908.TW-OperatingProfitRatio,Price,PriceChangeRatio,InOutRatioNumber,Value,YearReturn,MonthReturn,WeekReturn,FinanceBalanceDif,ChipsField2" advise="1">
        <values cols="10">
          <value t="str">
            <val>0.68</val>
          </value>
          <value>
            <val>19.8</val>
          </value>
          <value>
            <val>0.25</val>
          </value>
          <value t="str">
            <val>82.61%</val>
          </value>
          <value t="str">
            <val>47.5萬</val>
          </value>
          <value t="str">
            <val>-0.53</val>
          </value>
          <value t="str">
            <val>-0.75</val>
          </value>
          <value t="str">
            <val>-1.74</val>
          </value>
          <value>
            <val>38</val>
          </value>
          <value>
            <val>0</val>
          </value>
        </values>
      </ddeItem>
      <ddeItem name="291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2022/04/14</val>
          </value>
          <value t="str">
            <val>0.50</val>
          </value>
          <value>
            <val>1.65</val>
          </value>
          <value t="str">
            <val>0.67</val>
          </value>
          <value t="str">
            <val>0.20</val>
          </value>
          <value t="str">
            <val>統領</val>
          </value>
          <value t="str">
            <val>上市貿易百貨</val>
          </value>
          <value t="str">
            <val>由百貨公司跨足至營建與餐飲業者</val>
          </value>
        </values>
      </ddeItem>
      <ddeItem name="2910.TW-CName,InvestorConferenceDate,DateofMeetingofShareHolders,TradingDate" advise="1">
        <values cols="4">
          <value t="str">
            <val>統領</val>
          </value>
          <value t="str">
            <val>2022/11/21</val>
          </value>
          <value t="str">
            <val>2022/06/14</val>
          </value>
          <value t="str">
            <val>2022/12/22</val>
          </value>
        </values>
      </ddeItem>
      <ddeItem name="2910.TW-ID,Name,MarketValue,Capital,NetIncomeGrowthRate,OperIncomeGrowthRate,FinancialStatementsTime,TFXRatio,MonthlyNetSalesYoY,RevenueMonth" advise="1">
        <values cols="10">
          <value t="str">
            <val>2910</val>
          </value>
          <value t="str">
            <val>統領</val>
          </value>
          <value t="str">
            <val>63.2</val>
          </value>
          <value t="str">
            <val>20.87</val>
          </value>
          <value t="str">
            <val>-28.32</val>
          </value>
          <value t="str">
            <val>38.26</val>
          </value>
          <value t="str">
            <val>2022/09</val>
          </value>
          <value t="str">
            <val>0.13</val>
          </value>
          <value t="str">
            <val>-8.91</val>
          </value>
          <value t="str">
            <val>2022/11</val>
          </value>
        </values>
      </ddeItem>
      <ddeItem name="2910.TW-OperatingProfitRatio,Price,PriceChangeRatio,InOutRatioNumber,Value,YearReturn,MonthReturn,WeekReturn,FinanceBalanceDif,ChipsField2" advise="1">
        <values cols="10">
          <value t="str">
            <val>23.06</val>
          </value>
          <value>
            <val>30.3</val>
          </value>
          <value>
            <val>0.66</val>
          </value>
          <value t="str">
            <val>42.86%</val>
          </value>
          <value t="str">
            <val>21.2萬</val>
          </value>
          <value t="str">
            <val>-14.82</val>
          </value>
          <value t="str">
            <val>-5.61</val>
          </value>
          <value t="str">
            <val>-5.31</val>
          </value>
          <value>
            <val>2</val>
          </value>
          <value>
            <val>0</val>
          </value>
        </values>
      </ddeItem>
      <ddeItem name="291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27</val>
          </value>
          <value t="str">
            <val>--</val>
          </value>
          <value t="str">
            <val>0.00</val>
          </value>
          <value>
            <val>0</val>
          </value>
          <value t="str">
            <val>-1.94</val>
          </value>
          <value t="str">
            <val>-0.92</val>
          </value>
          <value t="str">
            <val>麗嬰房</val>
          </value>
          <value t="str">
            <val>上市貿易百貨</val>
          </value>
          <value t="str">
            <val>台灣嬰幼童服飾第一大品牌</val>
          </value>
        </values>
      </ddeItem>
      <ddeItem name="2911.TW-CName,InvestorConferenceDate,DateofMeetingofShareHolders,TradingDate" advise="1">
        <values cols="4">
          <value t="str">
            <val>麗嬰房</val>
          </value>
          <value t="str">
            <val>2021/12/16</val>
          </value>
          <value t="str">
            <val>2022/12/30</val>
          </value>
          <value t="str">
            <val>2022/12/22</val>
          </value>
        </values>
      </ddeItem>
      <ddeItem name="2911.TW-ID,Name,MarketValue,Capital,NetIncomeGrowthRate,OperIncomeGrowthRate,FinancialStatementsTime,TFXRatio,MonthlyNetSalesYoY,RevenueMonth" advise="1">
        <values cols="10">
          <value t="str">
            <val>2911</val>
          </value>
          <value t="str">
            <val>麗嬰房</val>
          </value>
          <value t="str">
            <val>13.1</val>
          </value>
          <value t="str">
            <val>18.47</val>
          </value>
          <value t="str">
            <val>-29.79</val>
          </value>
          <value t="str">
            <val>-13.81</val>
          </value>
          <value t="str">
            <val>2022/09</val>
          </value>
          <value t="str">
            <val>-28.07</val>
          </value>
          <value t="str">
            <val>-30.14</val>
          </value>
          <value t="str">
            <val>2022/11</val>
          </value>
        </values>
      </ddeItem>
      <ddeItem name="2911.TW-OperatingProfitRatio,Price,PriceChangeRatio,InOutRatioNumber,Value,YearReturn,MonthReturn,WeekReturn,FinanceBalanceDif,ChipsField2" advise="1">
        <values cols="10">
          <value t="str">
            <val>-20.45</val>
          </value>
          <value>
            <val>7.09</val>
          </value>
          <value>
            <val>0.56999999999999995</val>
          </value>
          <value t="str">
            <val>37.73%</val>
          </value>
          <value t="str">
            <val>281萬</val>
          </value>
          <value t="str">
            <val>-12.90</val>
          </value>
          <value t="str">
            <val>+12.18</val>
          </value>
          <value t="str">
            <val>-9.22</val>
          </value>
          <value>
            <val>-42</val>
          </value>
          <value>
            <val>0</val>
          </value>
        </values>
      </ddeItem>
      <ddeItem name="2912.TW-ChipsField3,ChipsField1,ChipsField25,CashAndStockDividend,CashDividendYieldRate,ProfitFourSeason,ProfitSingle,CName,ExchangeIndustry,CompanyPos" advise="1">
        <values cols="10">
          <value>
            <val>-44</val>
          </value>
          <value>
            <val>254</val>
          </value>
          <value t="str">
            <val>2022/08/03</val>
          </value>
          <value t="str">
            <val>9.00</val>
          </value>
          <value>
            <val>3.31</val>
          </value>
          <value t="str">
            <val>9.27</val>
          </value>
          <value t="str">
            <val>2.59</val>
          </value>
          <value t="str">
            <val>統一超</val>
          </value>
          <value t="str">
            <val>上市貿易百貨</val>
          </value>
          <value t="str">
            <val>經營7-11為台灣超商龍頭，隸屬統一集團</val>
          </value>
        </values>
      </ddeItem>
      <ddeItem name="2912.TW-CName,InvestorConferenceDate,DateofMeetingofShareHolders,TradingDate" advise="1">
        <values cols="4">
          <value t="str">
            <val>統一超</val>
          </value>
          <value t="str">
            <val>2021/03/30</val>
          </value>
          <value t="str">
            <val>2022/05/26</val>
          </value>
          <value t="str">
            <val>2022/12/22</val>
          </value>
        </values>
      </ddeItem>
      <ddeItem name="2912.TW-ID,Name,MarketValue,Capital,NetIncomeGrowthRate,OperIncomeGrowthRate,FinancialStatementsTime,TFXRatio,MonthlyNetSalesYoY,RevenueMonth" advise="1">
        <values cols="10">
          <value t="str">
            <val>2912</val>
          </value>
          <value t="str">
            <val>統一超</val>
          </value>
          <value t="str">
            <val>2827.8</val>
          </value>
          <value t="str">
            <val>103.96</val>
          </value>
          <value t="str">
            <val>18.46</val>
          </value>
          <value t="str">
            <val>22.31</val>
          </value>
          <value t="str">
            <val>2022/09</val>
          </value>
          <value t="str">
            <val>0.12</val>
          </value>
          <value t="str">
            <val>10.07</val>
          </value>
          <value t="str">
            <val>2022/11</val>
          </value>
        </values>
      </ddeItem>
      <ddeItem name="2912.TW-OperatingProfitRatio,Price,PriceChangeRatio,InOutRatioNumber,Value,YearReturn,MonthReturn,WeekReturn,FinanceBalanceDif,ChipsField2" advise="1">
        <values cols="10">
          <value t="str">
            <val>4.37</val>
          </value>
          <value>
            <val>272</val>
          </value>
          <value>
            <val>0.74</val>
          </value>
          <value t="str">
            <val>65.21%</val>
          </value>
          <value t="str">
            <val>1.69億</val>
          </value>
          <value t="str">
            <val>+1.95</val>
          </value>
          <value t="str">
            <val>+2.45</val>
          </value>
          <value t="str">
            <val>-0.55</val>
          </value>
          <value>
            <val>-13</val>
          </value>
          <value>
            <val>-233</val>
          </value>
        </values>
      </ddeItem>
      <ddeItem name="2913.TW-ChipsField3,ChipsField1,ChipsField25,CashAndStockDividend,CashDividendYieldRate,ProfitFourSeason,ProfitSingle,CName,ExchangeIndustry,CompanyPos" advise="1">
        <values cols="10">
          <value>
            <val>-221</val>
          </value>
          <value>
            <val>546</val>
          </value>
          <value t="str">
            <val>--</val>
          </value>
          <value t="str">
            <val>0.00</val>
          </value>
          <value>
            <val>0</val>
          </value>
          <value t="str">
            <val>-1.44</val>
          </value>
          <value t="str">
            <val>-0.05</val>
          </value>
          <value t="str">
            <val>農林</val>
          </value>
          <value t="str">
            <val>上市貿易百貨</val>
          </value>
          <value t="str">
            <val>擁有自有茶園及以外銷茶葉至日本、澳洲為主的企業</val>
          </value>
        </values>
      </ddeItem>
      <ddeItem name="2913.TW-CName,InvestorConferenceDate,DateofMeetingofShareHolders,TradingDate" advise="1">
        <values cols="4">
          <value t="str">
            <val>農林</val>
          </value>
          <value t="str">
            <val>--</val>
          </value>
          <value t="str">
            <val>2022/05/20</val>
          </value>
          <value t="str">
            <val>2022/12/22</val>
          </value>
        </values>
      </ddeItem>
      <ddeItem name="2913.TW-ID,Name,MarketValue,Capital,NetIncomeGrowthRate,OperIncomeGrowthRate,FinancialStatementsTime,TFXRatio,MonthlyNetSalesYoY,RevenueMonth" advise="1">
        <values cols="10">
          <value t="str">
            <val>2913</val>
          </value>
          <value t="str">
            <val>農林</val>
          </value>
          <value t="str">
            <val>153.4</val>
          </value>
          <value t="str">
            <val>79.00</val>
          </value>
          <value t="str">
            <val>-18.65</val>
          </value>
          <value t="str">
            <val>17.50</val>
          </value>
          <value t="str">
            <val>2022/09</val>
          </value>
          <value t="str">
            <val>8.87</val>
          </value>
          <value t="str">
            <val>-9.03</val>
          </value>
          <value t="str">
            <val>2022/11</val>
          </value>
        </values>
      </ddeItem>
      <ddeItem name="2913.TW-OperatingProfitRatio,Price,PriceChangeRatio,InOutRatioNumber,Value,YearReturn,MonthReturn,WeekReturn,FinanceBalanceDif,ChipsField2" advise="1">
        <values cols="10">
          <value t="str">
            <val>-37.46</val>
          </value>
          <value>
            <val>21.7</val>
          </value>
          <value>
            <val>-0.23</val>
          </value>
          <value t="str">
            <val>27.25%</val>
          </value>
          <value t="str">
            <val>1961萬</val>
          </value>
          <value t="str">
            <val>+9.32</val>
          </value>
          <value t="str">
            <val>-2.25</val>
          </value>
          <value t="str">
            <val>-5.24</val>
          </value>
          <value>
            <val>-35</val>
          </value>
          <value>
            <val>0</val>
          </value>
        </values>
      </ddeItem>
      <ddeItem name="2915.TW-ChipsField3,ChipsField1,ChipsField25,CashAndStockDividend,CashDividendYieldRate,ProfitFourSeason,ProfitSingle,CName,ExchangeIndustry,CompanyPos" advise="1">
        <values cols="10">
          <value>
            <val>-227</val>
          </value>
          <value>
            <val>-7536</val>
          </value>
          <value t="str">
            <val>2022/08/09</val>
          </value>
          <value t="str">
            <val>5.00</val>
          </value>
          <value>
            <val>7.51</val>
          </value>
          <value t="str">
            <val>25.25</val>
          </value>
          <value t="str">
            <val>10.53</val>
          </value>
          <value t="str">
            <val>潤泰全</val>
          </value>
          <value t="str">
            <val>上市貿易百貨</val>
          </value>
          <value t="str">
            <val>中概內需股之一，集團旗下擁有「大潤發」及「歐尚」雙量販品牌</val>
          </value>
        </values>
      </ddeItem>
      <ddeItem name="2915.TW-CName,InvestorConferenceDate,DateofMeetingofShareHolders,TradingDate" advise="1">
        <values cols="4">
          <value t="str">
            <val>潤泰全</val>
          </value>
          <value t="str">
            <val>2022/12/27</val>
          </value>
          <value t="str">
            <val>2022/06/23</val>
          </value>
          <value t="str">
            <val>2022/12/22</val>
          </value>
        </values>
      </ddeItem>
      <ddeItem name="2915.TW-ID,Name,MarketValue,Capital,NetIncomeGrowthRate,OperIncomeGrowthRate,FinancialStatementsTime,TFXRatio,MonthlyNetSalesYoY,RevenueMonth" advise="1">
        <values cols="10">
          <value t="str">
            <val>2915</val>
          </value>
          <value t="str">
            <val>潤泰全</val>
          </value>
          <value t="str">
            <val>735.5</val>
          </value>
          <value t="str">
            <val>110.43</val>
          </value>
          <value t="str">
            <val>12.65</val>
          </value>
          <value t="str">
            <val>-120.67</val>
          </value>
          <value t="str">
            <val>2022/09</val>
          </value>
          <value t="str">
            <val>-12.07</val>
          </value>
          <value t="str">
            <val>-2.18</val>
          </value>
          <value t="str">
            <val>2022/11</val>
          </value>
        </values>
      </ddeItem>
      <ddeItem name="2915.TW-OperatingProfitRatio,Price,PriceChangeRatio,InOutRatioNumber,Value,YearReturn,MonthReturn,WeekReturn,FinanceBalanceDif,ChipsField2" advise="1">
        <values cols="10">
          <value t="str">
            <val>-0.36</val>
          </value>
          <value>
            <val>66.599999999999994</val>
          </value>
          <value>
            <val>2.62</val>
          </value>
          <value t="str">
            <val>68.07%</val>
          </value>
          <value t="str">
            <val>9.41億</val>
          </value>
          <value t="str">
            <val>-25.03</val>
          </value>
          <value t="str">
            <val>+3.90</val>
          </value>
          <value t="str">
            <val>-3.90</val>
          </value>
          <value>
            <val>82</val>
          </value>
          <value>
            <val>8695</val>
          </value>
        </values>
      </ddeItem>
      <ddeItem name="2923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0</val>
          </value>
          <value t="str">
            <val>2022/09/12</val>
          </value>
          <value t="str">
            <val>1.20</val>
          </value>
          <value>
            <val>5.58</val>
          </value>
          <value t="str">
            <val>0.37</val>
          </value>
          <value t="str">
            <val>-0.24</val>
          </value>
          <value t="str">
            <val>鼎固-KY</val>
          </value>
          <value t="str">
            <val>上市建材營造</val>
          </value>
          <value t="str">
            <val>日月光轉投資的大陸房地產開發商</val>
          </value>
        </values>
      </ddeItem>
      <ddeItem name="2923.TW-CName,InvestorConferenceDate,DateofMeetingofShareHolders,TradingDate" advise="1">
        <values cols="4">
          <value t="str">
            <val>鼎固-KY</val>
          </value>
          <value t="str">
            <val>2022/11/07</val>
          </value>
          <value t="str">
            <val>2022/06/24</val>
          </value>
          <value t="str">
            <val>2022/12/22</val>
          </value>
        </values>
      </ddeItem>
      <ddeItem name="2923.TW-ID,Name,MarketValue,Capital,NetIncomeGrowthRate,OperIncomeGrowthRate,FinancialStatementsTime,TFXRatio,MonthlyNetSalesYoY,RevenueMonth" advise="1">
        <values cols="10">
          <value t="str">
            <val>2923</val>
          </value>
          <value t="str">
            <val>鼎固-KY</val>
          </value>
          <value t="str">
            <val>374.2</val>
          </value>
          <value t="str">
            <val>174.03</val>
          </value>
          <value t="str">
            <val>-44.09</val>
          </value>
          <value t="str">
            <val>115.77</val>
          </value>
          <value t="str">
            <val>2022/09</val>
          </value>
          <value t="str">
            <val>-2.61</val>
          </value>
          <value t="str">
            <val>-45.76</val>
          </value>
          <value t="str">
            <val>2022/11</val>
          </value>
        </values>
      </ddeItem>
      <ddeItem name="2923.TW-OperatingProfitRatio,Price,PriceChangeRatio,InOutRatioNumber,Value,YearReturn,MonthReturn,WeekReturn,FinanceBalanceDif,ChipsField2" advise="1">
        <values cols="10">
          <value t="str">
            <val>47.49</val>
          </value>
          <value>
            <val>21.5</val>
          </value>
          <value>
            <val>-1.38</val>
          </value>
          <value t="str">
            <val>0.00%</val>
          </value>
          <value t="str">
            <val>2.15萬</val>
          </value>
          <value t="str">
            <val>-14.30</val>
          </value>
          <value t="str">
            <val>-1.38</val>
          </value>
          <value t="str">
            <val>-10.04</val>
          </value>
          <value>
            <val>0</val>
          </value>
          <value>
            <val>0</val>
          </value>
        </values>
      </ddeItem>
      <ddeItem name="292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286</val>
          </value>
          <value t="str">
            <val>--</val>
          </value>
          <value t="str">
            <val>0.00</val>
          </value>
          <value>
            <val>0</val>
          </value>
          <value t="str">
            <val>0.65</val>
          </value>
          <value t="str">
            <val>2.11</val>
          </value>
          <value t="str">
            <val>淘帝-KY</val>
          </value>
          <value t="str">
            <val>上市貿易百貨</val>
          </value>
          <value t="str">
            <val>為中國大陸童裝前十大品牌廠</val>
          </value>
        </values>
      </ddeItem>
      <ddeItem name="2929.TW-CName,InvestorConferenceDate,DateofMeetingofShareHolders,TradingDate" advise="1">
        <values cols="4">
          <value t="str">
            <val>淘帝-KY</val>
          </value>
          <value t="str">
            <val>2022/05/17</val>
          </value>
          <value t="str">
            <val>2022/06/29</val>
          </value>
          <value t="str">
            <val>2022/12/22</val>
          </value>
        </values>
      </ddeItem>
      <ddeItem name="2929.TW-ID,Name,MarketValue,Capital,NetIncomeGrowthRate,OperIncomeGrowthRate,FinancialStatementsTime,TFXRatio,MonthlyNetSalesYoY,RevenueMonth" advise="1">
        <values cols="10">
          <value t="str">
            <val>2929</val>
          </value>
          <value t="str">
            <val>淘帝-KY</val>
          </value>
          <value t="str">
            <val>19.2</val>
          </value>
          <value t="str">
            <val>10.95</val>
          </value>
          <value t="str">
            <val>131.25</val>
          </value>
          <value t="str">
            <val>85.47</val>
          </value>
          <value t="str">
            <val>2022/09</val>
          </value>
          <value t="str">
            <val>-0.62</val>
          </value>
          <value t="str">
            <val>-17.83</val>
          </value>
          <value t="str">
            <val>2022/11</val>
          </value>
        </values>
      </ddeItem>
      <ddeItem name="2929.TW-OperatingProfitRatio,Price,PriceChangeRatio,InOutRatioNumber,Value,YearReturn,MonthReturn,WeekReturn,FinanceBalanceDif,ChipsField2" advise="1">
        <values cols="10">
          <value t="str">
            <val>-5.33</val>
          </value>
          <value>
            <val>17.55</val>
          </value>
          <value>
            <val>4.46</val>
          </value>
          <value t="str">
            <val>64.85%</val>
          </value>
          <value t="str">
            <val>1.51億</val>
          </value>
          <value t="str">
            <val>+48.73</val>
          </value>
          <value t="str">
            <val>+43.27</val>
          </value>
          <value t="str">
            <val>+5.72</val>
          </value>
          <value>
            <val>60</val>
          </value>
          <value>
            <val>0</val>
          </value>
        </values>
      </ddeItem>
      <ddeItem name="293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--</val>
          </value>
          <value t="str">
            <val>0.00</val>
          </value>
          <value>
            <val>0</val>
          </value>
          <value t="str">
            <val>0.47</val>
          </value>
          <value t="str">
            <val>0.11</val>
          </value>
          <value t="str">
            <val>凱羿-KY</val>
          </value>
          <value t="str">
            <val>上市貿易百貨</val>
          </value>
          <value t="str">
            <val>生活應用產品開發供應商</val>
          </value>
        </values>
      </ddeItem>
      <ddeItem name="2939.TW-CName,InvestorConferenceDate,DateofMeetingofShareHolders,TradingDate" advise="1">
        <values cols="4">
          <value t="str">
            <val>凱羿-KY</val>
          </value>
          <value t="str">
            <val>2022/12/19</val>
          </value>
          <value t="str">
            <val>2022/06/20</val>
          </value>
          <value t="str">
            <val>2022/12/22</val>
          </value>
        </values>
      </ddeItem>
      <ddeItem name="2939.TW-ID,Name,MarketValue,Capital,NetIncomeGrowthRate,OperIncomeGrowthRate,FinancialStatementsTime,TFXRatio,MonthlyNetSalesYoY,RevenueMonth" advise="1">
        <values cols="10">
          <value t="str">
            <val>2939</val>
          </value>
          <value t="str">
            <val>凱羿-KY</val>
          </value>
          <value t="str">
            <val>15.1</val>
          </value>
          <value t="str">
            <val>4.55</val>
          </value>
          <value t="str">
            <val>157.76</val>
          </value>
          <value t="str">
            <val>-240.94</val>
          </value>
          <value t="str">
            <val>2022/09</val>
          </value>
          <value t="str">
            <val>11.84</val>
          </value>
          <value t="str">
            <val>13.65</val>
          </value>
          <value t="str">
            <val>2022/11</val>
          </value>
        </values>
      </ddeItem>
      <ddeItem name="2939.TW-OperatingProfitRatio,Price,PriceChangeRatio,InOutRatioNumber,Value,YearReturn,MonthReturn,WeekReturn,FinanceBalanceDif,ChipsField2" advise="1">
        <values cols="10">
          <value t="str">
            <val>-15.22</val>
          </value>
          <value>
            <val>33.15</val>
          </value>
          <value>
            <val>3.59</val>
          </value>
          <value t="str">
            <val>47.92%</val>
          </value>
          <value t="str">
            <val>157萬</val>
          </value>
          <value t="str">
            <val>+2.16</val>
          </value>
          <value t="str">
            <val>-5.96</val>
          </value>
          <value t="str">
            <val>-9.55</val>
          </value>
          <value>
            <val>-14</val>
          </value>
          <value>
            <val>0</val>
          </value>
        </values>
      </ddeItem>
      <ddeItem name="294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2022/07/15</val>
          </value>
          <value t="str">
            <val>2.59</val>
          </value>
          <value>
            <val>6.13</val>
          </value>
          <value t="str">
            <val>1.16</val>
          </value>
          <value t="str">
            <val>0.23</val>
          </value>
          <value t="str">
            <val>三商家購</val>
          </value>
          <value t="str">
            <val>上市貿易百貨</val>
          </value>
          <value t="str">
            <val>三商旗下社區型連鎖超市業者</val>
          </value>
        </values>
      </ddeItem>
      <ddeItem name="2945.TW-CName,InvestorConferenceDate,DateofMeetingofShareHolders,TradingDate" advise="1">
        <values cols="4">
          <value t="str">
            <val>三商家購</val>
          </value>
          <value t="str">
            <val>2022/11/22</val>
          </value>
          <value t="str">
            <val>2022/05/25</val>
          </value>
          <value t="str">
            <val>2022/12/22</val>
          </value>
        </values>
      </ddeItem>
      <ddeItem name="2945.TW-ID,Name,MarketValue,Capital,NetIncomeGrowthRate,OperIncomeGrowthRate,FinancialStatementsTime,TFXRatio,MonthlyNetSalesYoY,RevenueMonth" advise="1">
        <values cols="10">
          <value t="str">
            <val>2945</val>
          </value>
          <value t="str">
            <val>三商家購</val>
          </value>
          <value t="str">
            <val>28.5</val>
          </value>
          <value t="str">
            <val>6.75</val>
          </value>
          <value t="str">
            <val>-89.29</val>
          </value>
          <value t="str">
            <val>-96.77</val>
          </value>
          <value t="str">
            <val>2022/09</val>
          </value>
          <value t="str">
            <val>-4.89</val>
          </value>
          <value t="str">
            <val>9.46</val>
          </value>
          <value t="str">
            <val>2022/11</val>
          </value>
        </values>
      </ddeItem>
      <ddeItem name="2945.TW-OperatingProfitRatio,Price,PriceChangeRatio,InOutRatioNumber,Value,YearReturn,MonthReturn,WeekReturn,FinanceBalanceDif,ChipsField2" advise="1">
        <values cols="10">
          <value t="str">
            <val>0.05</val>
          </value>
          <value>
            <val>42.25</val>
          </value>
          <value>
            <val>-0.59</val>
          </value>
          <value t="str">
            <val>25.00%</val>
          </value>
          <value t="str">
            <val>33.8萬</val>
          </value>
          <value t="str">
            <val>-38.37</val>
          </value>
          <value t="str">
            <val>+4.19</val>
          </value>
          <value t="str">
            <val>-5.59</val>
          </value>
          <value>
            <val>0</val>
          </value>
          <value>
            <val>0</val>
          </value>
        </values>
      </ddeItem>
      <ddeItem name="300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--</val>
          </value>
          <value t="str">
            <val>0.00</val>
          </value>
          <value>
            <val>0</val>
          </value>
          <value t="str">
            <val>-0.05</val>
          </value>
          <value t="str">
            <val>0.03</val>
          </value>
          <value t="str">
            <val>歐格</val>
          </value>
          <value t="str">
            <val>上市電腦及週邊設備</val>
          </value>
          <value t="str">
            <val>台灣電源管理與智慧家庭解決方案領導廠商</val>
          </value>
        </values>
      </ddeItem>
      <ddeItem name="3002.TW-CName,InvestorConferenceDate,DateofMeetingofShareHolders,TradingDate" advise="1">
        <values cols="4">
          <value t="str">
            <val>歐格</val>
          </value>
          <value t="str">
            <val>2022/12/01</val>
          </value>
          <value t="str">
            <val>2022/06/01</val>
          </value>
          <value t="str">
            <val>2022/12/22</val>
          </value>
        </values>
      </ddeItem>
      <ddeItem name="3002.TW-ID,Name,MarketValue,Capital,NetIncomeGrowthRate,OperIncomeGrowthRate,FinancialStatementsTime,TFXRatio,MonthlyNetSalesYoY,RevenueMonth" advise="1">
        <values cols="10">
          <value t="str">
            <val>3002</val>
          </value>
          <value t="str">
            <val>歐格</val>
          </value>
          <value t="str">
            <val>11.7</val>
          </value>
          <value t="str">
            <val>10.20</val>
          </value>
          <value t="str">
            <val>-197.90</val>
          </value>
          <value t="str">
            <val>151.70</val>
          </value>
          <value t="str">
            <val>2022/09</val>
          </value>
          <value t="str">
            <val>-2.02</val>
          </value>
          <value t="str">
            <val>-28.27</val>
          </value>
          <value t="str">
            <val>2022/11</val>
          </value>
        </values>
      </ddeItem>
      <ddeItem name="3002.TW-OperatingProfitRatio,Price,PriceChangeRatio,InOutRatioNumber,Value,YearReturn,MonthReturn,WeekReturn,FinanceBalanceDif,ChipsField2" advise="1">
        <values cols="10">
          <value t="str">
            <val>2.05</val>
          </value>
          <value>
            <val>11.45</val>
          </value>
          <value>
            <val>-0.43</val>
          </value>
          <value t="str">
            <val>50.98%</val>
          </value>
          <value t="str">
            <val>58.5萬</val>
          </value>
          <value t="str">
            <val>-7.29</val>
          </value>
          <value t="str">
            <val>0.00</val>
          </value>
          <value t="str">
            <val>-1.29</val>
          </value>
          <value>
            <val>6</val>
          </value>
          <value>
            <val>0</val>
          </value>
        </values>
      </ddeItem>
      <ddeItem name="3003.TW-ChipsField3,ChipsField1,ChipsField25,CashAndStockDividend,CashDividendYieldRate,ProfitFourSeason,ProfitSingle,CName,ExchangeIndustry,CompanyPos" advise="1">
        <values cols="10">
          <value>
            <val>-16</val>
          </value>
          <value>
            <val>42</val>
          </value>
          <value t="str">
            <val>2022/04/08</val>
          </value>
          <value t="str">
            <val>2.00</val>
          </value>
          <value>
            <val>2.85</val>
          </value>
          <value t="str">
            <val>6.50</val>
          </value>
          <value t="str">
            <val>1.72</val>
          </value>
          <value t="str">
            <val>健和興</val>
          </value>
          <value t="str">
            <val>上市電子零組件</val>
          </value>
          <value t="str">
            <val>台灣電工、3C產品端子製造商</val>
          </value>
        </values>
      </ddeItem>
      <ddeItem name="3003.TW-CName,InvestorConferenceDate,DateofMeetingofShareHolders,TradingDate" advise="1">
        <values cols="4">
          <value t="str">
            <val>健和興</val>
          </value>
          <value t="str">
            <val>2022/03/24</val>
          </value>
          <value t="str">
            <val>2022/06/10</val>
          </value>
          <value t="str">
            <val>2022/12/22</val>
          </value>
        </values>
      </ddeItem>
      <ddeItem name="3003.TW-ID,Name,MarketValue,Capital,NetIncomeGrowthRate,OperIncomeGrowthRate,FinancialStatementsTime,TFXRatio,MonthlyNetSalesYoY,RevenueMonth" advise="1">
        <values cols="10">
          <value t="str">
            <val>3003</val>
          </value>
          <value t="str">
            <val>健和興</val>
          </value>
          <value t="str">
            <val>109.3</val>
          </value>
          <value t="str">
            <val>15.57</val>
          </value>
          <value t="str">
            <val>42.13</val>
          </value>
          <value t="str">
            <val>-4.39</val>
          </value>
          <value t="str">
            <val>2022/09</val>
          </value>
          <value t="str">
            <val>6.49</val>
          </value>
          <value t="str">
            <val>-5.05</val>
          </value>
          <value t="str">
            <val>2022/11</val>
          </value>
        </values>
      </ddeItem>
      <ddeItem name="3003.TW-OperatingProfitRatio,Price,PriceChangeRatio,InOutRatioNumber,Value,YearReturn,MonthReturn,WeekReturn,FinanceBalanceDif,ChipsField2" advise="1">
        <values cols="10">
          <value t="str">
            <val>20.89</val>
          </value>
          <value>
            <val>70.2</val>
          </value>
          <value>
            <val>0.14000000000000001</val>
          </value>
          <value t="str">
            <val>20.45%</val>
          </value>
          <value t="str">
            <val>936萬</val>
          </value>
          <value t="str">
            <val>-21.43</val>
          </value>
          <value t="str">
            <val>-2.64</val>
          </value>
          <value t="str">
            <val>-3.17</val>
          </value>
          <value>
            <val>1</val>
          </value>
          <value>
            <val>0</val>
          </value>
        </values>
      </ddeItem>
      <ddeItem name="300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106</val>
          </value>
          <value t="str">
            <val>--</val>
          </value>
          <value t="str">
            <val>0.00</val>
          </value>
          <value>
            <val>0</val>
          </value>
          <value t="str">
            <val>1.64</val>
          </value>
          <value t="str">
            <val>1.04</val>
          </value>
          <value t="str">
            <val>豐達科</val>
          </value>
          <value t="str">
            <val>上市鋼鐵</val>
          </value>
          <value t="str">
            <val>亞洲唯一合格航太扣件供應商</val>
          </value>
        </values>
      </ddeItem>
      <ddeItem name="3004.TW-CName,InvestorConferenceDate,DateofMeetingofShareHolders,TradingDate" advise="1">
        <values cols="4">
          <value t="str">
            <val>豐達科</val>
          </value>
          <value t="str">
            <val>2022/11/18</val>
          </value>
          <value t="str">
            <val>2022/05/31</val>
          </value>
          <value t="str">
            <val>2022/12/22</val>
          </value>
        </values>
      </ddeItem>
      <ddeItem name="3004.TW-ID,Name,MarketValue,Capital,NetIncomeGrowthRate,OperIncomeGrowthRate,FinancialStatementsTime,TFXRatio,MonthlyNetSalesYoY,RevenueMonth" advise="1">
        <values cols="10">
          <value t="str">
            <val>3004</val>
          </value>
          <value t="str">
            <val>豐達科</val>
          </value>
          <value t="str">
            <val>39.5</val>
          </value>
          <value t="str">
            <val>5.26</val>
          </value>
          <value t="str">
            <val>179.75</val>
          </value>
          <value t="str">
            <val>163.20</val>
          </value>
          <value t="str">
            <val>2022/09</val>
          </value>
          <value t="str">
            <val>0.04</val>
          </value>
          <value t="str">
            <val>88.46</val>
          </value>
          <value t="str">
            <val>2022/11</val>
          </value>
        </values>
      </ddeItem>
      <ddeItem name="3004.TW-OperatingProfitRatio,Price,PriceChangeRatio,InOutRatioNumber,Value,YearReturn,MonthReturn,WeekReturn,FinanceBalanceDif,ChipsField2" advise="1">
        <values cols="10">
          <value t="str">
            <val>5.02</val>
          </value>
          <value>
            <val>75</val>
          </value>
          <value>
            <val>0.94</val>
          </value>
          <value t="str">
            <val>38.84%</val>
          </value>
          <value t="str">
            <val>948萬</val>
          </value>
          <value t="str">
            <val>+32.51</val>
          </value>
          <value t="str">
            <val>+15.03</val>
          </value>
          <value t="str">
            <val>+0.67</val>
          </value>
          <value>
            <val>9</val>
          </value>
          <value>
            <val>0</val>
          </value>
        </values>
      </ddeItem>
      <ddeItem name="3005.TW-ChipsField3,ChipsField1,ChipsField25,CashAndStockDividend,CashDividendYieldRate,ProfitFourSeason,ProfitSingle,CName,ExchangeIndustry,CompanyPos" advise="1">
        <values cols="10">
          <value>
            <val>-29</val>
          </value>
          <value>
            <val>46</val>
          </value>
          <value t="str">
            <val>2022/03/25</val>
          </value>
          <value t="str">
            <val>3.59</val>
          </value>
          <value>
            <val>8.27</val>
          </value>
          <value t="str">
            <val>3.72</val>
          </value>
          <value t="str">
            <val>1.21</val>
          </value>
          <value t="str">
            <val>神基</val>
          </value>
          <value t="str">
            <val>上市電腦及週邊設備</val>
          </value>
          <value t="str">
            <val>全球前三大軍工規電腦廠</val>
          </value>
        </values>
      </ddeItem>
      <ddeItem name="3005.TW-CName,InvestorConferenceDate,DateofMeetingofShareHolders,TradingDate" advise="1">
        <values cols="4">
          <value t="str">
            <val>神基</val>
          </value>
          <value t="str">
            <val>2022/08/17</val>
          </value>
          <value t="str">
            <val>2022/05/27</val>
          </value>
          <value t="str">
            <val>2022/12/22</val>
          </value>
        </values>
      </ddeItem>
      <ddeItem name="3005.TW-ID,Name,MarketValue,Capital,NetIncomeGrowthRate,OperIncomeGrowthRate,FinancialStatementsTime,TFXRatio,MonthlyNetSalesYoY,RevenueMonth" advise="1">
        <values cols="10">
          <value t="str">
            <val>3005</val>
          </value>
          <value t="str">
            <val>神基</val>
          </value>
          <value t="str">
            <val>260.9</val>
          </value>
          <value t="str">
            <val>60.26</val>
          </value>
          <value t="str">
            <val>-55.09</val>
          </value>
          <value t="str">
            <val>12.87</val>
          </value>
          <value t="str">
            <val>2022/09</val>
          </value>
          <value t="str">
            <val>9.06</val>
          </value>
          <value t="str">
            <val>11.95</val>
          </value>
          <value t="str">
            <val>2022/11</val>
          </value>
        </values>
      </ddeItem>
      <ddeItem name="3005.TW-OperatingProfitRatio,Price,PriceChangeRatio,InOutRatioNumber,Value,YearReturn,MonthReturn,WeekReturn,FinanceBalanceDif,ChipsField2" advise="1">
        <values cols="10">
          <value t="str">
            <val>8.40</val>
          </value>
          <value>
            <val>43.4</val>
          </value>
          <value>
            <val>0.23</val>
          </value>
          <value t="str">
            <val>25.87%</val>
          </value>
          <value t="str">
            <val>1512萬</val>
          </value>
          <value t="str">
            <val>-13.39</val>
          </value>
          <value t="str">
            <val>+5.72</val>
          </value>
          <value t="str">
            <val>-1.14</val>
          </value>
          <value>
            <val>4</val>
          </value>
          <value>
            <val>0</val>
          </value>
        </values>
      </ddeItem>
      <ddeItem name="3006.TW-ChipsField3,ChipsField1,ChipsField25,CashAndStockDividend,CashDividendYieldRate,ProfitFourSeason,ProfitSingle,CName,ExchangeIndustry,CompanyPos" advise="1">
        <values cols="10">
          <value>
            <val>-130</val>
          </value>
          <value>
            <val>112</val>
          </value>
          <value t="str">
            <val>2022/07/01</val>
          </value>
          <value t="str">
            <val>8.00</val>
          </value>
          <value>
            <val>12.08</val>
          </value>
          <value t="str">
            <val>11.10</val>
          </value>
          <value t="str">
            <val>0.30</val>
          </value>
          <value t="str">
            <val>晶豪科</val>
          </value>
          <value t="str">
            <val>上市半導體</val>
          </value>
          <value t="str">
            <val>台灣利基型記憶體IC設計廠商</val>
          </value>
        </values>
      </ddeItem>
      <ddeItem name="3006.TW-CName,InvestorConferenceDate,DateofMeetingofShareHolders,TradingDate" advise="1">
        <values cols="4">
          <value t="str">
            <val>晶豪科</val>
          </value>
          <value t="str">
            <val>2022/11/24</val>
          </value>
          <value t="str">
            <val>2022/06/15</val>
          </value>
          <value t="str">
            <val>2022/12/22</val>
          </value>
        </values>
      </ddeItem>
      <ddeItem name="3006.TW-ID,Name,MarketValue,Capital,NetIncomeGrowthRate,OperIncomeGrowthRate,FinancialStatementsTime,TFXRatio,MonthlyNetSalesYoY,RevenueMonth" advise="1">
        <values cols="10">
          <value t="str">
            <val>3006</val>
          </value>
          <value t="str">
            <val>晶豪科</val>
          </value>
          <value t="str">
            <val>189.4</val>
          </value>
          <value t="str">
            <val>28.62</val>
          </value>
          <value t="str">
            <val>-47.52</val>
          </value>
          <value t="str">
            <val>-64.95</val>
          </value>
          <value t="str">
            <val>2022/09</val>
          </value>
          <value t="str">
            <val>-4.23</val>
          </value>
          <value t="str">
            <val>-54.40</val>
          </value>
          <value t="str">
            <val>2022/11</val>
          </value>
        </values>
      </ddeItem>
      <ddeItem name="3006.TW-OperatingProfitRatio,Price,PriceChangeRatio,InOutRatioNumber,Value,YearReturn,MonthReturn,WeekReturn,FinanceBalanceDif,ChipsField2" advise="1">
        <values cols="10">
          <value t="str">
            <val>11.43</val>
          </value>
          <value>
            <val>66.2</val>
          </value>
          <value>
            <val>-0.15</val>
          </value>
          <value t="str">
            <val>44.36%</val>
          </value>
          <value t="str">
            <val>1.65億</val>
          </value>
          <value t="str">
            <val>-55.77</val>
          </value>
          <value t="str">
            <val>-12.32</val>
          </value>
          <value t="str">
            <val>-6.89</val>
          </value>
          <value>
            <val>-141</val>
          </value>
          <value>
            <val>0</val>
          </value>
        </values>
      </ddeItem>
      <ddeItem name="3008.TW-ChipsField3,ChipsField1,ChipsField25,CashAndStockDividend,CashDividendYieldRate,ProfitFourSeason,ProfitSingle,CName,ExchangeIndustry,CompanyPos" advise="1">
        <values cols="10">
          <value>
            <val>-7</val>
          </value>
          <value>
            <val>-75</val>
          </value>
          <value t="str">
            <val>2022/08/18</val>
          </value>
          <value t="str">
            <val>39.50</val>
          </value>
          <value>
            <val>3.28</val>
          </value>
          <value t="str">
            <val>177.65</val>
          </value>
          <value t="str">
            <val>61.01</val>
          </value>
          <value t="str">
            <val>大立光</val>
          </value>
          <value t="str">
            <val>上市光電</val>
          </value>
          <value t="str">
            <val>全球智慧型手機鏡頭龍頭廠</val>
          </value>
        </values>
      </ddeItem>
      <ddeItem name="3008.TW-CName,InvestorConferenceDate,DateofMeetingofShareHolders,TradingDate" advise="1">
        <values cols="4">
          <value t="str">
            <val>大立光</val>
          </value>
          <value t="str">
            <val>2022/10/13</val>
          </value>
          <value t="str">
            <val>2022/06/08</val>
          </value>
          <value t="str">
            <val>2022/12/22</val>
          </value>
        </values>
      </ddeItem>
      <ddeItem name="3008.TW-ID,Name,MarketValue,Capital,NetIncomeGrowthRate,OperIncomeGrowthRate,FinancialStatementsTime,TFXRatio,MonthlyNetSalesYoY,RevenueMonth" advise="1">
        <values cols="10">
          <value t="str">
            <val>3008</val>
          </value>
          <value t="str">
            <val>大立光</val>
          </value>
          <value t="str">
            <val>2856.2</val>
          </value>
          <value t="str">
            <val>13.35</val>
          </value>
          <value t="str">
            <val>37.42</val>
          </value>
          <value t="str">
            <val>-20.80</val>
          </value>
          <value t="str">
            <val>2022/09</val>
          </value>
          <value t="str">
            <val>0.35</val>
          </value>
          <value t="str">
            <val>20.22</val>
          </value>
          <value t="str">
            <val>2022/11</val>
          </value>
        </values>
      </ddeItem>
      <ddeItem name="3008.TW-OperatingProfitRatio,Price,PriceChangeRatio,InOutRatioNumber,Value,YearReturn,MonthReturn,WeekReturn,FinanceBalanceDif,ChipsField2" advise="1">
        <values cols="10">
          <value t="str">
            <val>40.86</val>
          </value>
          <value>
            <val>2140</val>
          </value>
          <value>
            <val>-2.06</val>
          </value>
          <value t="str">
            <val>43.15%</val>
          </value>
          <value t="str">
            <val>13.9億</val>
          </value>
          <value t="str">
            <val>-6.51</val>
          </value>
          <value t="str">
            <val>-5.73</val>
          </value>
          <value t="str">
            <val>-5.31</val>
          </value>
          <value>
            <val>-24</val>
          </value>
          <value>
            <val>31</val>
          </value>
        </values>
      </ddeItem>
      <ddeItem name="3010.TW-ChipsField3,ChipsField1,ChipsField25,CashAndStockDividend,CashDividendYieldRate,ProfitFourSeason,ProfitSingle,CName,ExchangeIndustry,CompanyPos" advise="1">
        <values cols="10">
          <value>
            <val>-16</val>
          </value>
          <value>
            <val>-37</val>
          </value>
          <value t="str">
            <val>2022/06/27</val>
          </value>
          <value t="str">
            <val>6.80</val>
          </value>
          <value>
            <val>8.08</val>
          </value>
          <value t="str">
            <val>12.40</val>
          </value>
          <value t="str">
            <val>3.12</val>
          </value>
          <value t="str">
            <val>華立</val>
          </value>
          <value t="str">
            <val>上市電子通路</val>
          </value>
          <value t="str">
            <val>大中華半導體前段製程材料與化學品最大供應商</val>
          </value>
        </values>
      </ddeItem>
      <ddeItem name="3010.TW-CName,InvestorConferenceDate,DateofMeetingofShareHolders,TradingDate" advise="1">
        <values cols="4">
          <value t="str">
            <val>華立</val>
          </value>
          <value t="str">
            <val>2022/11/15</val>
          </value>
          <value t="str">
            <val>2022/05/27</val>
          </value>
          <value t="str">
            <val>2022/12/22</val>
          </value>
        </values>
      </ddeItem>
      <ddeItem name="3010.TW-ID,Name,MarketValue,Capital,NetIncomeGrowthRate,OperIncomeGrowthRate,FinancialStatementsTime,TFXRatio,MonthlyNetSalesYoY,RevenueMonth" advise="1">
        <values cols="10">
          <value t="str">
            <val>3010</val>
          </value>
          <value t="str">
            <val>華立</val>
          </value>
          <value t="str">
            <val>198.7</val>
          </value>
          <value t="str">
            <val>23.60</val>
          </value>
          <value t="str">
            <val>2.54</val>
          </value>
          <value t="str">
            <val>-3.72</val>
          </value>
          <value t="str">
            <val>2022/09</val>
          </value>
          <value t="str">
            <val>-2.33</val>
          </value>
          <value t="str">
            <val>-12.01</val>
          </value>
          <value t="str">
            <val>2022/11</val>
          </value>
        </values>
      </ddeItem>
      <ddeItem name="3010.TW-OperatingProfitRatio,Price,PriceChangeRatio,InOutRatioNumber,Value,YearReturn,MonthReturn,WeekReturn,FinanceBalanceDif,ChipsField2" advise="1">
        <values cols="10">
          <value t="str">
            <val>3.87</val>
          </value>
          <value>
            <val>84.2</val>
          </value>
          <value>
            <val>0.36</val>
          </value>
          <value t="str">
            <val>65.33%</val>
          </value>
          <value t="str">
            <val>631萬</val>
          </value>
          <value t="str">
            <val>-5.10</val>
          </value>
          <value t="str">
            <val>-0.94</val>
          </value>
          <value t="str">
            <val>-2.88</val>
          </value>
          <value>
            <val>-5</val>
          </value>
          <value>
            <val>23</val>
          </value>
        </values>
      </ddeItem>
      <ddeItem name="301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-82</val>
          </value>
          <value t="str">
            <val>--</val>
          </value>
          <value t="str">
            <val>0.00</val>
          </value>
          <value>
            <val>0</val>
          </value>
          <value t="str">
            <val>0.95</val>
          </value>
          <value t="str">
            <val>0.03</val>
          </value>
          <value t="str">
            <val>今皓</val>
          </value>
          <value t="str">
            <val>上市電子零組件</val>
          </value>
          <value t="str">
            <val>3C產品之電源線供應大廠</val>
          </value>
        </values>
      </ddeItem>
      <ddeItem name="3011.TW-CName,InvestorConferenceDate,DateofMeetingofShareHolders,TradingDate" advise="1">
        <values cols="4">
          <value t="str">
            <val>今皓</val>
          </value>
          <value t="str">
            <val>2021/12/17</val>
          </value>
          <value t="str">
            <val>2022/06/20</val>
          </value>
          <value t="str">
            <val>2022/12/22</val>
          </value>
        </values>
      </ddeItem>
      <ddeItem name="3011.TW-ID,Name,MarketValue,Capital,NetIncomeGrowthRate,OperIncomeGrowthRate,FinancialStatementsTime,TFXRatio,MonthlyNetSalesYoY,RevenueMonth" advise="1">
        <values cols="10">
          <value t="str">
            <val>3011</val>
          </value>
          <value t="str">
            <val>今皓</val>
          </value>
          <value t="str">
            <val>19.6</val>
          </value>
          <value t="str">
            <val>11.27</val>
          </value>
          <value t="str">
            <val>70.40</val>
          </value>
          <value t="str">
            <val>58.60</val>
          </value>
          <value t="str">
            <val>2022/09</val>
          </value>
          <value t="str">
            <val>-2.73</val>
          </value>
          <value t="str">
            <val>-42.38</val>
          </value>
          <value t="str">
            <val>2022/11</val>
          </value>
        </values>
      </ddeItem>
      <ddeItem name="3011.TW-OperatingProfitRatio,Price,PriceChangeRatio,InOutRatioNumber,Value,YearReturn,MonthReturn,WeekReturn,FinanceBalanceDif,ChipsField2" advise="1">
        <values cols="10">
          <value t="str">
            <val>-2.49</val>
          </value>
          <value>
            <val>17.399999999999999</val>
          </value>
          <value>
            <val>1.75</val>
          </value>
          <value t="str">
            <val>48.32%</val>
          </value>
          <value t="str">
            <val>1002萬</val>
          </value>
          <value t="str">
            <val>+53.30</val>
          </value>
          <value t="str">
            <val>+9.09</val>
          </value>
          <value t="str">
            <val>+14.10</val>
          </value>
          <value>
            <val>0</val>
          </value>
          <value>
            <val>0</val>
          </value>
        </values>
      </ddeItem>
      <ddeItem name="3013.TW-ChipsField3,ChipsField1,ChipsField25,CashAndStockDividend,CashDividendYieldRate,ProfitFourSeason,ProfitSingle,CName,ExchangeIndustry,CompanyPos" advise="1">
        <values cols="10">
          <value>
            <val>3</val>
          </value>
          <value>
            <val>-901</val>
          </value>
          <value t="str">
            <val>--</val>
          </value>
          <value t="str">
            <val>0.00</val>
          </value>
          <value>
            <val>0</val>
          </value>
          <value t="str">
            <val>0.79</val>
          </value>
          <value t="str">
            <val>0.66</val>
          </value>
          <value t="str">
            <val>晟銘電</val>
          </value>
          <value t="str">
            <val>上市電腦及週邊設備</val>
          </value>
          <value t="str">
            <val>台灣電腦機殼OEM/ODM製造商</val>
          </value>
        </values>
      </ddeItem>
      <ddeItem name="3013.TW-CName,InvestorConferenceDate,DateofMeetingofShareHolders,TradingDate" advise="1">
        <values cols="4">
          <value t="str">
            <val>晟銘電</val>
          </value>
          <value t="str">
            <val>2022/11/11</val>
          </value>
          <value t="str">
            <val>2022/06/17</val>
          </value>
          <value t="str">
            <val>2022/12/22</val>
          </value>
        </values>
      </ddeItem>
      <ddeItem name="3013.TW-ID,Name,MarketValue,Capital,NetIncomeGrowthRate,OperIncomeGrowthRate,FinancialStatementsTime,TFXRatio,MonthlyNetSalesYoY,RevenueMonth" advise="1">
        <values cols="10">
          <value t="str">
            <val>3013</val>
          </value>
          <value t="str">
            <val>晟銘電</val>
          </value>
          <value t="str">
            <val>32.1</val>
          </value>
          <value t="str">
            <val>19.59</val>
          </value>
          <value t="str">
            <val>317.12</val>
          </value>
          <value t="str">
            <val>154.84</val>
          </value>
          <value t="str">
            <val>2022/09</val>
          </value>
          <value t="str">
            <val>49.00</val>
          </value>
          <value t="str">
            <val>48.62</val>
          </value>
          <value t="str">
            <val>2022/11</val>
          </value>
        </values>
      </ddeItem>
      <ddeItem name="3013.TW-OperatingProfitRatio,Price,PriceChangeRatio,InOutRatioNumber,Value,YearReturn,MonthReturn,WeekReturn,FinanceBalanceDif,ChipsField2" advise="1">
        <values cols="10">
          <value t="str">
            <val>1.44</val>
          </value>
          <value>
            <val>20.6</val>
          </value>
          <value>
            <val>3</val>
          </value>
          <value t="str">
            <val>53.74%</val>
          </value>
          <value t="str">
            <val>2.58億</val>
          </value>
          <value t="str">
            <val>+40.14</val>
          </value>
          <value t="str">
            <val>+32.90</val>
          </value>
          <value t="str">
            <val>-3.74</val>
          </value>
          <value>
            <val>132</val>
          </value>
          <value>
            <val>0</val>
          </value>
        </values>
      </ddeItem>
      <ddeItem name="3014.TW-ChipsField3,ChipsField1,ChipsField25,CashAndStockDividend,CashDividendYieldRate,ProfitFourSeason,ProfitSingle,CName,ExchangeIndustry,CompanyPos" advise="1">
        <values cols="10">
          <value>
            <val>-8</val>
          </value>
          <value>
            <val>72</val>
          </value>
          <value t="str">
            <val>2022/07/14</val>
          </value>
          <value t="str">
            <val>9.00</val>
          </value>
          <value>
            <val>12.48</val>
          </value>
          <value t="str">
            <val>8.82</val>
          </value>
          <value t="str">
            <val>1.93</val>
          </value>
          <value t="str">
            <val>聯陽</val>
          </value>
          <value t="str">
            <val>上市半導體</val>
          </value>
          <value t="str">
            <val>全球輸出入(I/O)控制IC領導廠商</val>
          </value>
        </values>
      </ddeItem>
      <ddeItem name="3014.TW-CName,InvestorConferenceDate,DateofMeetingofShareHolders,TradingDate" advise="1">
        <values cols="4">
          <value t="str">
            <val>聯陽</val>
          </value>
          <value t="str">
            <val>2022/10/07</val>
          </value>
          <value t="str">
            <val>2022/06/21</val>
          </value>
          <value t="str">
            <val>2022/12/22</val>
          </value>
        </values>
      </ddeItem>
      <ddeItem name="3014.TW-ID,Name,MarketValue,Capital,NetIncomeGrowthRate,OperIncomeGrowthRate,FinancialStatementsTime,TFXRatio,MonthlyNetSalesYoY,RevenueMonth" advise="1">
        <values cols="10">
          <value t="str">
            <val>3014</val>
          </value>
          <value t="str">
            <val>聯陽</val>
          </value>
          <value t="str">
            <val>116.1</val>
          </value>
          <value t="str">
            <val>16.11</val>
          </value>
          <value t="str">
            <val>-27.60</val>
          </value>
          <value t="str">
            <val>-33.27</val>
          </value>
          <value t="str">
            <val>2022/09</val>
          </value>
          <value t="str">
            <val>17.31</val>
          </value>
          <value t="str">
            <val>-27.99</val>
          </value>
          <value t="str">
            <val>2022/11</val>
          </value>
        </values>
      </ddeItem>
      <ddeItem name="3014.TW-OperatingProfitRatio,Price,PriceChangeRatio,InOutRatioNumber,Value,YearReturn,MonthReturn,WeekReturn,FinanceBalanceDif,ChipsField2" advise="1">
        <values cols="10">
          <value t="str">
            <val>26.70</val>
          </value>
          <value>
            <val>72.099999999999994</val>
          </value>
          <value>
            <val>1.26</val>
          </value>
          <value t="str">
            <val>49.40%</val>
          </value>
          <value t="str">
            <val>1226萬</val>
          </value>
          <value t="str">
            <val>-21.55</val>
          </value>
          <value t="str">
            <val>+3.00</val>
          </value>
          <value t="str">
            <val>-3.99</val>
          </value>
          <value>
            <val>-10</val>
          </value>
          <value>
            <val>0</val>
          </value>
        </values>
      </ddeItem>
      <ddeItem name="3015.TW-ChipsField3,ChipsField1,ChipsField25,CashAndStockDividend,CashDividendYieldRate,ProfitFourSeason,ProfitSingle,CName,ExchangeIndustry,CompanyPos" advise="1">
        <values cols="10">
          <value>
            <val>-9</val>
          </value>
          <value>
            <val>-2</val>
          </value>
          <value t="str">
            <val>2022/06/27</val>
          </value>
          <value t="str">
            <val>3.30</val>
          </value>
          <value>
            <val>8.65</val>
          </value>
          <value t="str">
            <val>4.26</val>
          </value>
          <value t="str">
            <val>1.71</val>
          </value>
          <value t="str">
            <val>全漢</val>
          </value>
          <value t="str">
            <val>上市電子零組件</val>
          </value>
          <value t="str">
            <val>全球第十大交換式電源供應器廠商</val>
          </value>
        </values>
      </ddeItem>
      <ddeItem name="3015.TW-CName,InvestorConferenceDate,DateofMeetingofShareHolders,TradingDate" advise="1">
        <values cols="4">
          <value t="str">
            <val>全漢</val>
          </value>
          <value t="str">
            <val>2022/12/05</val>
          </value>
          <value t="str">
            <val>2022/06/09</val>
          </value>
          <value t="str">
            <val>2022/12/22</val>
          </value>
        </values>
      </ddeItem>
      <ddeItem name="3015.TW-ID,Name,MarketValue,Capital,NetIncomeGrowthRate,OperIncomeGrowthRate,FinancialStatementsTime,TFXRatio,MonthlyNetSalesYoY,RevenueMonth" advise="1">
        <values cols="10">
          <value t="str">
            <val>3015</val>
          </value>
          <value t="str">
            <val>全漢</val>
          </value>
          <value t="str">
            <val>71.4</val>
          </value>
          <value t="str">
            <val>18.73</val>
          </value>
          <value t="str">
            <val>11.86</val>
          </value>
          <value t="str">
            <val>-30.71</val>
          </value>
          <value t="str">
            <val>2022/09</val>
          </value>
          <value t="str">
            <val>3.94</val>
          </value>
          <value t="str">
            <val>-13.65</val>
          </value>
          <value t="str">
            <val>2022/11</val>
          </value>
        </values>
      </ddeItem>
      <ddeItem name="3015.TW-OperatingProfitRatio,Price,PriceChangeRatio,InOutRatioNumber,Value,YearReturn,MonthReturn,WeekReturn,FinanceBalanceDif,ChipsField2" advise="1">
        <values cols="10">
          <value t="str">
            <val>3.41</val>
          </value>
          <value>
            <val>38.15</val>
          </value>
          <value>
            <val>0.66</val>
          </value>
          <value t="str">
            <val>31.58%</val>
          </value>
          <value t="str">
            <val>144萬</val>
          </value>
          <value t="str">
            <val>-6.99</val>
          </value>
          <value t="str">
            <val>+1.60</val>
          </value>
          <value t="str">
            <val>-1.04</val>
          </value>
          <value>
            <val>-1</val>
          </value>
          <value>
            <val>0</val>
          </value>
        </values>
      </ddeItem>
      <ddeItem name="3016.TW-ChipsField3,ChipsField1,ChipsField25,CashAndStockDividend,CashDividendYieldRate,ProfitFourSeason,ProfitSingle,CName,ExchangeIndustry,CompanyPos" advise="1">
        <values cols="10">
          <value>
            <val>-16</val>
          </value>
          <value>
            <val>-41</val>
          </value>
          <value t="str">
            <val>2022/07/15</val>
          </value>
          <value t="str">
            <val>1.18</val>
          </value>
          <value>
            <val>1.66</val>
          </value>
          <value t="str">
            <val>2.49</val>
          </value>
          <value t="str">
            <val>0.70</val>
          </value>
          <value t="str">
            <val>嘉晶</val>
          </value>
          <value t="str">
            <val>上市半導體</val>
          </value>
          <value t="str">
            <val>台灣專業磊晶矽晶圓業者</val>
          </value>
        </values>
      </ddeItem>
      <ddeItem name="3016.TW-CName,InvestorConferenceDate,DateofMeetingofShareHolders,TradingDate" advise="1">
        <values cols="4">
          <value t="str">
            <val>嘉晶</val>
          </value>
          <value t="str">
            <val>2022/09/22</val>
          </value>
          <value t="str">
            <val>2022/06/21</val>
          </value>
          <value t="str">
            <val>2022/12/22</val>
          </value>
        </values>
      </ddeItem>
      <ddeItem name="3016.TW-ID,Name,MarketValue,Capital,NetIncomeGrowthRate,OperIncomeGrowthRate,FinancialStatementsTime,TFXRatio,MonthlyNetSalesYoY,RevenueMonth" advise="1">
        <values cols="10">
          <value t="str">
            <val>3016</val>
          </value>
          <value t="str">
            <val>嘉晶</val>
          </value>
          <value t="str">
            <val>204.9</val>
          </value>
          <value t="str">
            <val>28.85</val>
          </value>
          <value t="str">
            <val>123.45</val>
          </value>
          <value t="str">
            <val>107.51</val>
          </value>
          <value t="str">
            <val>2022/09</val>
          </value>
          <value t="str">
            <val>-0.20</val>
          </value>
          <value t="str">
            <val>-2.15</val>
          </value>
          <value t="str">
            <val>2022/11</val>
          </value>
        </values>
      </ddeItem>
      <ddeItem name="3016.TW-OperatingProfitRatio,Price,PriceChangeRatio,InOutRatioNumber,Value,YearReturn,MonthReturn,WeekReturn,FinanceBalanceDif,ChipsField2" advise="1">
        <values cols="10">
          <value t="str">
            <val>14.70</val>
          </value>
          <value>
            <val>71</val>
          </value>
          <value>
            <val>1.1399999999999999</val>
          </value>
          <value t="str">
            <val>36.80%</val>
          </value>
          <value t="str">
            <val>4099萬</val>
          </value>
          <value t="str">
            <val>-45.61</val>
          </value>
          <value t="str">
            <val>-8.62</val>
          </value>
          <value t="str">
            <val>-6.70</val>
          </value>
          <value>
            <val>17</val>
          </value>
          <value>
            <val>0</val>
          </value>
        </values>
      </ddeItem>
      <ddeItem name="3017.TW-ChipsField3,ChipsField1,ChipsField25,CashAndStockDividend,CashDividendYieldRate,ProfitFourSeason,ProfitSingle,CName,ExchangeIndustry,CompanyPos" advise="1">
        <values cols="10">
          <value>
            <val>-257</val>
          </value>
          <value>
            <val>-4202</val>
          </value>
          <value t="str">
            <val>2022/08/25</val>
          </value>
          <value t="str">
            <val>4.30</val>
          </value>
          <value>
            <val>3.81</val>
          </value>
          <value t="str">
            <val>10.73</val>
          </value>
          <value t="str">
            <val>3.51</val>
          </value>
          <value t="str">
            <val>奇鋐</val>
          </value>
          <value t="str">
            <val>上市電腦及週邊設備</val>
          </value>
          <value t="str">
            <val>全球最大PC散熱模組廠</val>
          </value>
        </values>
      </ddeItem>
      <ddeItem name="3017.TW-CName,InvestorConferenceDate,DateofMeetingofShareHolders,TradingDate" advise="1">
        <values cols="4">
          <value t="str">
            <val>奇鋐</val>
          </value>
          <value t="str">
            <val>2022/08/09</val>
          </value>
          <value t="str">
            <val>2022/06/17</val>
          </value>
          <value t="str">
            <val>2022/12/22</val>
          </value>
        </values>
      </ddeItem>
      <ddeItem name="3017.TW-ID,Name,MarketValue,Capital,NetIncomeGrowthRate,OperIncomeGrowthRate,FinancialStatementsTime,TFXRatio,MonthlyNetSalesYoY,RevenueMonth" advise="1">
        <values cols="10">
          <value t="str">
            <val>3017</val>
          </value>
          <value t="str">
            <val>奇鋐</val>
          </value>
          <value t="str">
            <val>399.2</val>
          </value>
          <value t="str">
            <val>35.33</val>
          </value>
          <value t="str">
            <val>34.69</val>
          </value>
          <value t="str">
            <val>34.96</val>
          </value>
          <value t="str">
            <val>2022/09</val>
          </value>
          <value t="str">
            <val>1.41</val>
          </value>
          <value t="str">
            <val>24.49</val>
          </value>
          <value t="str">
            <val>2022/11</val>
          </value>
        </values>
      </ddeItem>
      <ddeItem name="3017.TW-OperatingProfitRatio,Price,PriceChangeRatio,InOutRatioNumber,Value,YearReturn,MonthReturn,WeekReturn,FinanceBalanceDif,ChipsField2" advise="1">
        <values cols="10">
          <value t="str">
            <val>11.20</val>
          </value>
          <value>
            <val>113</val>
          </value>
          <value>
            <val>3.67</val>
          </value>
          <value t="str">
            <val>71.58%</val>
          </value>
          <value t="str">
            <val>6.62億</val>
          </value>
          <value t="str">
            <val>+36.41</val>
          </value>
          <value t="str">
            <val>+8.65</val>
          </value>
          <value t="str">
            <val>-2.59</val>
          </value>
          <value>
            <val>217</val>
          </value>
          <value>
            <val>3128</val>
          </value>
        </values>
      </ddeItem>
      <ddeItem name="3019.TW-ChipsField3,ChipsField1,ChipsField25,CashAndStockDividend,CashDividendYieldRate,ProfitFourSeason,ProfitSingle,CName,ExchangeIndustry,CompanyPos" advise="1">
        <values cols="10">
          <value>
            <val>48</val>
          </value>
          <value>
            <val>-33</val>
          </value>
          <value t="str">
            <val>2022/07/07</val>
          </value>
          <value t="str">
            <val>3.70</val>
          </value>
          <value>
            <val>5.93</val>
          </value>
          <value t="str">
            <val>4.48</val>
          </value>
          <value t="str">
            <val>1.62</val>
          </value>
          <value t="str">
            <val>亞光</val>
          </value>
          <value t="str">
            <val>上市光電</val>
          </value>
          <value t="str">
            <val>台灣光學鏡頭大廠，專注於玻璃鏡片與非球面模造玻璃</val>
          </value>
        </values>
      </ddeItem>
      <ddeItem name="3019.TW-CName,InvestorConferenceDate,DateofMeetingofShareHolders,TradingDate" advise="1">
        <values cols="4">
          <value t="str">
            <val>亞光</val>
          </value>
          <value t="str">
            <val>2022/02/15</val>
          </value>
          <value t="str">
            <val>2022/06/14</val>
          </value>
          <value t="str">
            <val>2022/12/22</val>
          </value>
        </values>
      </ddeItem>
      <ddeItem name="3019.TW-ID,Name,MarketValue,Capital,NetIncomeGrowthRate,OperIncomeGrowthRate,FinancialStatementsTime,TFXRatio,MonthlyNetSalesYoY,RevenueMonth" advise="1">
        <values cols="10">
          <value t="str">
            <val>3019</val>
          </value>
          <value t="str">
            <val>亞光</val>
          </value>
          <value t="str">
            <val>175.4</val>
          </value>
          <value t="str">
            <val>28.11</val>
          </value>
          <value t="str">
            <val>-16.08</val>
          </value>
          <value t="str">
            <val>-34.73</val>
          </value>
          <value t="str">
            <val>2022/09</val>
          </value>
          <value t="str">
            <val>9.80</val>
          </value>
          <value t="str">
            <val>-20.33</val>
          </value>
          <value t="str">
            <val>2022/11</val>
          </value>
        </values>
      </ddeItem>
      <ddeItem name="3019.TW-OperatingProfitRatio,Price,PriceChangeRatio,InOutRatioNumber,Value,YearReturn,MonthReturn,WeekReturn,FinanceBalanceDif,ChipsField2" advise="1">
        <values cols="10">
          <value t="str">
            <val>6.73</val>
          </value>
          <value>
            <val>62.4</val>
          </value>
          <value>
            <val>0.65</val>
          </value>
          <value t="str">
            <val>56.68%</val>
          </value>
          <value t="str">
            <val>1983萬</val>
          </value>
          <value t="str">
            <val>-28.69</val>
          </value>
          <value t="str">
            <val>-2.80</val>
          </value>
          <value t="str">
            <val>-2.19</val>
          </value>
          <value>
            <val>8</val>
          </value>
          <value>
            <val>0</val>
          </value>
        </values>
      </ddeItem>
      <ddeItem name="302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11</val>
          </value>
          <value t="str">
            <val>2022/08/25</val>
          </value>
          <value t="str">
            <val>0.60</val>
          </value>
          <value>
            <val>2.93</val>
          </value>
          <value t="str">
            <val>1.70</val>
          </value>
          <value t="str">
            <val>0.59</val>
          </value>
          <value t="str">
            <val>鴻名</val>
          </value>
          <value t="str">
            <val>上市電子零組件</val>
          </value>
          <value t="str">
            <val>提供3C產品線材、連接器及電子元件廠商</val>
          </value>
        </values>
      </ddeItem>
      <ddeItem name="3021.TW-CName,InvestorConferenceDate,DateofMeetingofShareHolders,TradingDate" advise="1">
        <values cols="4">
          <value t="str">
            <val>鴻名</val>
          </value>
          <value t="str">
            <val>2022/04/15</val>
          </value>
          <value t="str">
            <val>2022/06/14</val>
          </value>
          <value t="str">
            <val>2022/12/22</val>
          </value>
        </values>
      </ddeItem>
      <ddeItem name="3021.TW-ID,Name,MarketValue,Capital,NetIncomeGrowthRate,OperIncomeGrowthRate,FinancialStatementsTime,TFXRatio,MonthlyNetSalesYoY,RevenueMonth" advise="1">
        <values cols="10">
          <value t="str">
            <val>3021</val>
          </value>
          <value t="str">
            <val>鴻名</val>
          </value>
          <value t="str">
            <val>19.6</val>
          </value>
          <value t="str">
            <val>9.59</val>
          </value>
          <value t="str">
            <val>23.22</val>
          </value>
          <value t="str">
            <val>13.25</val>
          </value>
          <value t="str">
            <val>2022/09</val>
          </value>
          <value t="str">
            <val>3.13</val>
          </value>
          <value t="str">
            <val>22.83</val>
          </value>
          <value t="str">
            <val>2022/11</val>
          </value>
        </values>
      </ddeItem>
      <ddeItem name="3021.TW-OperatingProfitRatio,Price,PriceChangeRatio,InOutRatioNumber,Value,YearReturn,MonthReturn,WeekReturn,FinanceBalanceDif,ChipsField2" advise="1">
        <values cols="10">
          <value t="str">
            <val>7.29</val>
          </value>
          <value>
            <val>20.45</val>
          </value>
          <value>
            <val>3.02</val>
          </value>
          <value t="str">
            <val>87.07%</val>
          </value>
          <value t="str">
            <val>239萬</val>
          </value>
          <value t="str">
            <val>-15.61</val>
          </value>
          <value t="str">
            <val>-2.39</val>
          </value>
          <value t="str">
            <val>-2.39</val>
          </value>
          <value>
            <val>-94</val>
          </value>
          <value>
            <val>0</val>
          </value>
        </values>
      </ddeItem>
      <ddeItem name="3022.TW-ChipsField3,ChipsField1,ChipsField25,CashAndStockDividend,CashDividendYieldRate,ProfitFourSeason,ProfitSingle,CName,ExchangeIndustry,CompanyPos" advise="1">
        <values cols="10">
          <value>
            <val>-30</val>
          </value>
          <value>
            <val>71</val>
          </value>
          <value t="str">
            <val>2022/07/14</val>
          </value>
          <value t="str">
            <val>3.00</val>
          </value>
          <value>
            <val>3.99</val>
          </value>
          <value t="str">
            <val>7.71</val>
          </value>
          <value t="str">
            <val>3.46</val>
          </value>
          <value t="str">
            <val>威強電</val>
          </value>
          <value t="str">
            <val>上市電腦及週邊設備</val>
          </value>
          <value t="str">
            <val>台灣知名工業電腦廠商</val>
          </value>
        </values>
      </ddeItem>
      <ddeItem name="3022.TW-CName,InvestorConferenceDate,DateofMeetingofShareHolders,TradingDate" advise="1">
        <values cols="4">
          <value t="str">
            <val>威強電</val>
          </value>
          <value t="str">
            <val>2022/12/14</val>
          </value>
          <value t="str">
            <val>2022/06/14</val>
          </value>
          <value t="str">
            <val>2022/12/22</val>
          </value>
        </values>
      </ddeItem>
      <ddeItem name="3022.TW-ID,Name,MarketValue,Capital,NetIncomeGrowthRate,OperIncomeGrowthRate,FinancialStatementsTime,TFXRatio,MonthlyNetSalesYoY,RevenueMonth" advise="1">
        <values cols="10">
          <value t="str">
            <val>3022</val>
          </value>
          <value t="str">
            <val>威強電</val>
          </value>
          <value t="str">
            <val>132.6</val>
          </value>
          <value t="str">
            <val>17.66</val>
          </value>
          <value t="str">
            <val>71.55</val>
          </value>
          <value t="str">
            <val>72.43</val>
          </value>
          <value t="str">
            <val>2022/09</val>
          </value>
          <value t="str">
            <val>19.05</val>
          </value>
          <value t="str">
            <val>62.81</val>
          </value>
          <value t="str">
            <val>2022/11</val>
          </value>
        </values>
      </ddeItem>
      <ddeItem name="3022.TW-OperatingProfitRatio,Price,PriceChangeRatio,InOutRatioNumber,Value,YearReturn,MonthReturn,WeekReturn,FinanceBalanceDif,ChipsField2" advise="1">
        <values cols="10">
          <value t="str">
            <val>17.50</val>
          </value>
          <value>
            <val>75.099999999999994</val>
          </value>
          <value>
            <val>-1.7</val>
          </value>
          <value t="str">
            <val>41.03%</val>
          </value>
          <value t="str">
            <val>2.11億</val>
          </value>
          <value t="str">
            <val>+79.82</val>
          </value>
          <value t="str">
            <val>+11.76</val>
          </value>
          <value t="str">
            <val>-6.01</val>
          </value>
          <value>
            <val>-167</val>
          </value>
          <value>
            <val>0</val>
          </value>
        </values>
      </ddeItem>
      <ddeItem name="3023.TW-ChipsField3,ChipsField1,ChipsField25,CashAndStockDividend,CashDividendYieldRate,ProfitFourSeason,ProfitSingle,CName,ExchangeIndustry,CompanyPos" advise="1">
        <values cols="10">
          <value>
            <val>-10</val>
          </value>
          <value>
            <val>-47</val>
          </value>
          <value t="str">
            <val>2022/08/19</val>
          </value>
          <value t="str">
            <val>6.96</val>
          </value>
          <value>
            <val>2.52</val>
          </value>
          <value t="str">
            <val>11.64</val>
          </value>
          <value t="str">
            <val>3.58</val>
          </value>
          <value t="str">
            <val>信邦</val>
          </value>
          <value t="str">
            <val>上市電子零組件</val>
          </value>
          <value t="str">
            <val>專注客製化連接線組及連接器</val>
          </value>
        </values>
      </ddeItem>
      <ddeItem name="3023.TW-CName,InvestorConferenceDate,DateofMeetingofShareHolders,TradingDate" advise="1">
        <values cols="4">
          <value t="str">
            <val>信邦</val>
          </value>
          <value t="str">
            <val>2022/12/08</val>
          </value>
          <value t="str">
            <val>2022/05/30</val>
          </value>
          <value t="str">
            <val>2022/12/22</val>
          </value>
        </values>
      </ddeItem>
      <ddeItem name="3023.TW-ID,Name,MarketValue,Capital,NetIncomeGrowthRate,OperIncomeGrowthRate,FinancialStatementsTime,TFXRatio,MonthlyNetSalesYoY,RevenueMonth" advise="1">
        <values cols="10">
          <value t="str">
            <val>3023</val>
          </value>
          <value t="str">
            <val>信邦</val>
          </value>
          <value t="str">
            <val>653.0</val>
          </value>
          <value t="str">
            <val>23.71</val>
          </value>
          <value t="str">
            <val>20.34</val>
          </value>
          <value t="str">
            <val>9.70</val>
          </value>
          <value t="str">
            <val>2022/09</val>
          </value>
          <value t="str">
            <val>0.33</val>
          </value>
          <value t="str">
            <val>24.46</val>
          </value>
          <value t="str">
            <val>2022/11</val>
          </value>
        </values>
      </ddeItem>
      <ddeItem name="3023.TW-OperatingProfitRatio,Price,PriceChangeRatio,InOutRatioNumber,Value,YearReturn,MonthReturn,WeekReturn,FinanceBalanceDif,ChipsField2" advise="1">
        <values cols="10">
          <value t="str">
            <val>11.24</val>
          </value>
          <value>
            <val>276</val>
          </value>
          <value>
            <val>0.73</val>
          </value>
          <value t="str">
            <val>40.30%</val>
          </value>
          <value t="str">
            <val>1.30億</val>
          </value>
          <value t="str">
            <val>+7.77</val>
          </value>
          <value t="str">
            <val>+0.18</val>
          </value>
          <value t="str">
            <val>-2.99</val>
          </value>
          <value>
            <val>-9</val>
          </value>
          <value>
            <val>0</val>
          </value>
        </values>
      </ddeItem>
      <ddeItem name="302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70</val>
          </value>
          <value t="str">
            <val>2022/07/14</val>
          </value>
          <value t="str">
            <val>0.30</val>
          </value>
          <value>
            <val>2.2599999999999998</val>
          </value>
          <value t="str">
            <val>0.28</val>
          </value>
          <value t="str">
            <val>0.10</val>
          </value>
          <value t="str">
            <val>憶聲</val>
          </value>
          <value t="str">
            <val>上市光電</val>
          </value>
          <value t="str">
            <val>經營歌林品牌家電</val>
          </value>
        </values>
      </ddeItem>
      <ddeItem name="3024.TW-CName,InvestorConferenceDate,DateofMeetingofShareHolders,TradingDate" advise="1">
        <values cols="4">
          <value t="str">
            <val>憶聲</val>
          </value>
          <value t="str">
            <val>2022/12/08</val>
          </value>
          <value t="str">
            <val>2022/06/24</val>
          </value>
          <value t="str">
            <val>2022/12/22</val>
          </value>
        </values>
      </ddeItem>
      <ddeItem name="3024.TW-ID,Name,MarketValue,Capital,NetIncomeGrowthRate,OperIncomeGrowthRate,FinancialStatementsTime,TFXRatio,MonthlyNetSalesYoY,RevenueMonth" advise="1">
        <values cols="10">
          <value t="str">
            <val>3024</val>
          </value>
          <value t="str">
            <val>憶聲</val>
          </value>
          <value t="str">
            <val>36.9</val>
          </value>
          <value t="str">
            <val>27.72</val>
          </value>
          <value t="str">
            <val>-63.02</val>
          </value>
          <value t="str">
            <val>909.70</val>
          </value>
          <value t="str">
            <val>2022/09</val>
          </value>
          <value t="str">
            <val>-30.63</val>
          </value>
          <value t="str">
            <val>-0.09</val>
          </value>
          <value t="str">
            <val>2022/11</val>
          </value>
        </values>
      </ddeItem>
      <ddeItem name="3024.TW-OperatingProfitRatio,Price,PriceChangeRatio,InOutRatioNumber,Value,YearReturn,MonthReturn,WeekReturn,FinanceBalanceDif,ChipsField2" advise="1">
        <values cols="10">
          <value t="str">
            <val>2.84</val>
          </value>
          <value>
            <val>13.3</val>
          </value>
          <value>
            <val>0</val>
          </value>
          <value t="str">
            <val>19.59%</val>
          </value>
          <value t="str">
            <val>368萬</val>
          </value>
          <value t="str">
            <val>-0.41</val>
          </value>
          <value t="str">
            <val>-0.37</val>
          </value>
          <value t="str">
            <val>-1.48</val>
          </value>
          <value>
            <val>1</val>
          </value>
          <value>
            <val>0</val>
          </value>
        </values>
      </ddeItem>
      <ddeItem name="302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-11</val>
          </value>
          <value t="str">
            <val>2022/09/06</val>
          </value>
          <value t="str">
            <val>0.40</val>
          </value>
          <value>
            <val>1.99</val>
          </value>
          <value t="str">
            <val>1.45</val>
          </value>
          <value t="str">
            <val>0.24</val>
          </value>
          <value t="str">
            <val>星通</val>
          </value>
          <value t="str">
            <val>上市通信網路</val>
          </value>
          <value t="str">
            <val>台灣電信局端設備製造商</val>
          </value>
        </values>
      </ddeItem>
      <ddeItem name="3025.TW-CName,InvestorConferenceDate,DateofMeetingofShareHolders,TradingDate" advise="1">
        <values cols="4">
          <value t="str">
            <val>星通</val>
          </value>
          <value t="str">
            <val>2022/11/17</val>
          </value>
          <value t="str">
            <val>2022/06/29</val>
          </value>
          <value t="str">
            <val>2022/12/22</val>
          </value>
        </values>
      </ddeItem>
      <ddeItem name="3025.TW-ID,Name,MarketValue,Capital,NetIncomeGrowthRate,OperIncomeGrowthRate,FinancialStatementsTime,TFXRatio,MonthlyNetSalesYoY,RevenueMonth" advise="1">
        <values cols="10">
          <value t="str">
            <val>3025</val>
          </value>
          <value t="str">
            <val>星通</val>
          </value>
          <value t="str">
            <val>14.3</val>
          </value>
          <value t="str">
            <val>7.09</val>
          </value>
          <value t="str">
            <val>929.60</val>
          </value>
          <value t="str">
            <val>251.01</val>
          </value>
          <value t="str">
            <val>2022/09</val>
          </value>
          <value t="str">
            <val>-61.89</val>
          </value>
          <value t="str">
            <val>-59.90</val>
          </value>
          <value t="str">
            <val>2022/11</val>
          </value>
        </values>
      </ddeItem>
      <ddeItem name="3025.TW-OperatingProfitRatio,Price,PriceChangeRatio,InOutRatioNumber,Value,YearReturn,MonthReturn,WeekReturn,FinanceBalanceDif,ChipsField2" advise="1">
        <values cols="10">
          <value t="str">
            <val>2.84</val>
          </value>
          <value>
            <val>20.100000000000001</val>
          </value>
          <value>
            <val>0.5</val>
          </value>
          <value t="str">
            <val>24.59%</val>
          </value>
          <value t="str">
            <val>753萬</val>
          </value>
          <value t="str">
            <val>-14.64</val>
          </value>
          <value t="str">
            <val>-16.08</val>
          </value>
          <value t="str">
            <val>-6.94</val>
          </value>
          <value>
            <val>-1</val>
          </value>
          <value>
            <val>0</val>
          </value>
        </values>
      </ddeItem>
      <ddeItem name="3026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-42</val>
          </value>
          <value t="str">
            <val>2022/07/18</val>
          </value>
          <value t="str">
            <val>9.00</val>
          </value>
          <value>
            <val>10.01</val>
          </value>
          <value t="str">
            <val>8.56</val>
          </value>
          <value t="str">
            <val>1.16</val>
          </value>
          <value t="str">
            <val>禾伸堂</val>
          </value>
          <value t="str">
            <val>上市電子零組件</val>
          </value>
          <value t="str">
            <val>主要自製MLCC及代理電子元件</val>
          </value>
        </values>
      </ddeItem>
      <ddeItem name="3026.TW-CName,InvestorConferenceDate,DateofMeetingofShareHolders,TradingDate" advise="1">
        <values cols="4">
          <value t="str">
            <val>禾伸堂</val>
          </value>
          <value t="str">
            <val>2022/12/15</val>
          </value>
          <value t="str">
            <val>2022/05/27</val>
          </value>
          <value t="str">
            <val>2022/12/22</val>
          </value>
        </values>
      </ddeItem>
      <ddeItem name="3026.TW-ID,Name,MarketValue,Capital,NetIncomeGrowthRate,OperIncomeGrowthRate,FinancialStatementsTime,TFXRatio,MonthlyNetSalesYoY,RevenueMonth" advise="1">
        <values cols="10">
          <value t="str">
            <val>3026</val>
          </value>
          <value t="str">
            <val>禾伸堂</val>
          </value>
          <value t="str">
            <val>142.0</val>
          </value>
          <value t="str">
            <val>15.80</val>
          </value>
          <value t="str">
            <val>-38.47</val>
          </value>
          <value t="str">
            <val>-32.51</val>
          </value>
          <value t="str">
            <val>2022/09</val>
          </value>
          <value t="str">
            <val>6.36</val>
          </value>
          <value t="str">
            <val>-9.97</val>
          </value>
          <value t="str">
            <val>2022/11</val>
          </value>
        </values>
      </ddeItem>
      <ddeItem name="3026.TW-OperatingProfitRatio,Price,PriceChangeRatio,InOutRatioNumber,Value,YearReturn,MonthReturn,WeekReturn,FinanceBalanceDif,ChipsField2" advise="1">
        <values cols="10">
          <value t="str">
            <val>10.01</val>
          </value>
          <value>
            <val>89.9</val>
          </value>
          <value>
            <val>0.56000000000000005</val>
          </value>
          <value t="str">
            <val>56.14%</val>
          </value>
          <value t="str">
            <val>511萬</val>
          </value>
          <value t="str">
            <val>-16.71</val>
          </value>
          <value t="str">
            <val>+0.11</val>
          </value>
          <value t="str">
            <val>+0.11</val>
          </value>
          <value>
            <val>1</val>
          </value>
          <value>
            <val>0</val>
          </value>
        </values>
      </ddeItem>
      <ddeItem name="3027.TW-ChipsField3,ChipsField1,ChipsField25,CashAndStockDividend,CashDividendYieldRate,ProfitFourSeason,ProfitSingle,CName,ExchangeIndustry,CompanyPos" advise="1">
        <values cols="10">
          <value>
            <val>-49</val>
          </value>
          <value>
            <val>-776</val>
          </value>
          <value t="str">
            <val>--</val>
          </value>
          <value t="str">
            <val>0.00</val>
          </value>
          <value>
            <val>0</val>
          </value>
          <value t="str">
            <val>0.42</val>
          </value>
          <value t="str">
            <val>0.17</val>
          </value>
          <value t="str">
            <val>盛達</val>
          </value>
          <value t="str">
            <val>上市通信網路</val>
          </value>
          <value t="str">
            <val>以通訊設備和電源管理產品為主的供應商</val>
          </value>
        </values>
      </ddeItem>
      <ddeItem name="3027.TW-CName,InvestorConferenceDate,DateofMeetingofShareHolders,TradingDate" advise="1">
        <values cols="4">
          <value t="str">
            <val>盛達</val>
          </value>
          <value t="str">
            <val>2022/11/14</val>
          </value>
          <value t="str">
            <val>2022/06/09</val>
          </value>
          <value t="str">
            <val>2022/12/22</val>
          </value>
        </values>
      </ddeItem>
      <ddeItem name="3027.TW-ID,Name,MarketValue,Capital,NetIncomeGrowthRate,OperIncomeGrowthRate,FinancialStatementsTime,TFXRatio,MonthlyNetSalesYoY,RevenueMonth" advise="1">
        <values cols="10">
          <value t="str">
            <val>3027</val>
          </value>
          <value t="str">
            <val>盛達</val>
          </value>
          <value t="str">
            <val>34.1</val>
          </value>
          <value t="str">
            <val>9.96</val>
          </value>
          <value t="str">
            <val>36.11</val>
          </value>
          <value t="str">
            <val>-86.12</val>
          </value>
          <value t="str">
            <val>2022/09</val>
          </value>
          <value t="str">
            <val>-34.07</val>
          </value>
          <value t="str">
            <val>8.30</val>
          </value>
          <value t="str">
            <val>2022/11</val>
          </value>
        </values>
      </ddeItem>
      <ddeItem name="3027.TW-OperatingProfitRatio,Price,PriceChangeRatio,InOutRatioNumber,Value,YearReturn,MonthReturn,WeekReturn,FinanceBalanceDif,ChipsField2" advise="1">
        <values cols="10">
          <value t="str">
            <val>0.38</val>
          </value>
          <value>
            <val>34.5</val>
          </value>
          <value>
            <val>2.0699999999999998</val>
          </value>
          <value t="str">
            <val>49.30%</val>
          </value>
          <value t="str">
            <val>2.82億</val>
          </value>
          <value t="str">
            <val>+54.36</val>
          </value>
          <value t="str">
            <val>+35.03</val>
          </value>
          <value t="str">
            <val>-8.61</val>
          </value>
          <value>
            <val>-241</val>
          </value>
          <value>
            <val>0</val>
          </value>
        </values>
      </ddeItem>
      <ddeItem name="3028.TW-ChipsField3,ChipsField1,ChipsField25,CashAndStockDividend,CashDividendYieldRate,ProfitFourSeason,ProfitSingle,CName,ExchangeIndustry,CompanyPos" advise="1">
        <values cols="10">
          <value>
            <val>-2</val>
          </value>
          <value>
            <val>10</val>
          </value>
          <value t="str">
            <val>2022/07/08</val>
          </value>
          <value t="str">
            <val>3.44</val>
          </value>
          <value>
            <val>12.16</val>
          </value>
          <value t="str">
            <val>3.58</val>
          </value>
          <value t="str">
            <val>0.65</val>
          </value>
          <value t="str">
            <val>增你強</val>
          </value>
          <value t="str">
            <val>上市電子通路</val>
          </value>
          <value t="str">
            <val>台灣半導體元件代理通路商</val>
          </value>
        </values>
      </ddeItem>
      <ddeItem name="3028.TW-CName,InvestorConferenceDate,DateofMeetingofShareHolders,TradingDate" advise="1">
        <values cols="4">
          <value t="str">
            <val>增你強</val>
          </value>
          <value t="str">
            <val>2022/11/16</val>
          </value>
          <value t="str">
            <val>2022/06/08</val>
          </value>
          <value t="str">
            <val>2022/12/22</val>
          </value>
        </values>
      </ddeItem>
      <ddeItem name="3028.TW-ID,Name,MarketValue,Capital,NetIncomeGrowthRate,OperIncomeGrowthRate,FinancialStatementsTime,TFXRatio,MonthlyNetSalesYoY,RevenueMonth" advise="1">
        <values cols="10">
          <value t="str">
            <val>3028</val>
          </value>
          <value t="str">
            <val>增你強</val>
          </value>
          <value t="str">
            <val>61.6</val>
          </value>
          <value t="str">
            <val>21.84</val>
          </value>
          <value t="str">
            <val>-15.25</val>
          </value>
          <value t="str">
            <val>15.39</val>
          </value>
          <value t="str">
            <val>2022/09</val>
          </value>
          <value t="str">
            <val>-5.77</val>
          </value>
          <value t="str">
            <val>-19.48</val>
          </value>
          <value t="str">
            <val>2022/11</val>
          </value>
        </values>
      </ddeItem>
      <ddeItem name="3028.TW-OperatingProfitRatio,Price,PriceChangeRatio,InOutRatioNumber,Value,YearReturn,MonthReturn,WeekReturn,FinanceBalanceDif,ChipsField2" advise="1">
        <values cols="10">
          <value t="str">
            <val>3.02</val>
          </value>
          <value>
            <val>28.3</val>
          </value>
          <value>
            <val>1.07</val>
          </value>
          <value t="str">
            <val>38.69%</val>
          </value>
          <value t="str">
            <val>390萬</val>
          </value>
          <value t="str">
            <val>-6.05</val>
          </value>
          <value t="str">
            <val>+2.17</val>
          </value>
          <value t="str">
            <val>-0.35</val>
          </value>
          <value>
            <val>-6</val>
          </value>
          <value>
            <val>0</val>
          </value>
        </values>
      </ddeItem>
      <ddeItem name="3029.TW-ChipsField3,ChipsField1,ChipsField25,CashAndStockDividend,CashDividendYieldRate,ProfitFourSeason,ProfitSingle,CName,ExchangeIndustry,CompanyPos" advise="1">
        <values cols="10">
          <value>
            <val>-7</val>
          </value>
          <value>
            <val>6</val>
          </value>
          <value t="str">
            <val>2022/03/16</val>
          </value>
          <value t="str">
            <val>3.60</val>
          </value>
          <value>
            <val>8.94</val>
          </value>
          <value t="str">
            <val>4.13</val>
          </value>
          <value t="str">
            <val>1.25</val>
          </value>
          <value t="str">
            <val>零壹</val>
          </value>
          <value t="str">
            <val>上市資訊服務</val>
          </value>
          <value t="str">
            <val>台灣最大的加值型網路代理商</val>
          </value>
        </values>
      </ddeItem>
      <ddeItem name="3029.TW-CName,InvestorConferenceDate,DateofMeetingofShareHolders,TradingDate" advise="1">
        <values cols="4">
          <value t="str">
            <val>零壹</val>
          </value>
          <value t="str">
            <val>2022/08/23</val>
          </value>
          <value t="str">
            <val>2022/05/26</val>
          </value>
          <value t="str">
            <val>2022/12/22</val>
          </value>
        </values>
      </ddeItem>
      <ddeItem name="3029.TW-ID,Name,MarketValue,Capital,NetIncomeGrowthRate,OperIncomeGrowthRate,FinancialStatementsTime,TFXRatio,MonthlyNetSalesYoY,RevenueMonth" advise="1">
        <values cols="10">
          <value t="str">
            <val>3029</val>
          </value>
          <value t="str">
            <val>零壹</val>
          </value>
          <value t="str">
            <val>61.5</val>
          </value>
          <value t="str">
            <val>15.30</val>
          </value>
          <value t="str">
            <val>16.19</val>
          </value>
          <value t="str">
            <val>16.65</val>
          </value>
          <value t="str">
            <val>2022/09</val>
          </value>
          <value t="str">
            <val>3.58</val>
          </value>
          <value t="str">
            <val>6.16</val>
          </value>
          <value t="str">
            <val>2022/11</val>
          </value>
        </values>
      </ddeItem>
      <ddeItem name="3029.TW-OperatingProfitRatio,Price,PriceChangeRatio,InOutRatioNumber,Value,YearReturn,MonthReturn,WeekReturn,FinanceBalanceDif,ChipsField2" advise="1">
        <values cols="10">
          <value t="str">
            <val>5.58</val>
          </value>
          <value>
            <val>40.25</val>
          </value>
          <value>
            <val>-0.25</val>
          </value>
          <value t="str">
            <val>31.78%</val>
          </value>
          <value t="str">
            <val>432萬</val>
          </value>
          <value t="str">
            <val>+1.42</val>
          </value>
          <value t="str">
            <val>+2.55</val>
          </value>
          <value t="str">
            <val>-1.71</val>
          </value>
          <value>
            <val>1</val>
          </value>
          <value>
            <val>0</val>
          </value>
        </values>
      </ddeItem>
      <ddeItem name="3030.TW-ChipsField3,ChipsField1,ChipsField25,CashAndStockDividend,CashDividendYieldRate,ProfitFourSeason,ProfitSingle,CName,ExchangeIndustry,CompanyPos" advise="1">
        <values cols="10">
          <value>
            <val>-9</val>
          </value>
          <value>
            <val>22</val>
          </value>
          <value t="str">
            <val>2022/06/10</val>
          </value>
          <value t="str">
            <val>3.30</val>
          </value>
          <value>
            <val>5.16</val>
          </value>
          <value t="str">
            <val>7.85</val>
          </value>
          <value t="str">
            <val>2.06</val>
          </value>
          <value t="str">
            <val>德律</val>
          </value>
          <value t="str">
            <val>上市其他電子</val>
          </value>
          <value t="str">
            <val>電路板組裝檢測設備大廠</val>
          </value>
        </values>
      </ddeItem>
      <ddeItem name="3030.TW-CName,InvestorConferenceDate,DateofMeetingofShareHolders,TradingDate" advise="1">
        <values cols="4">
          <value t="str">
            <val>德律</val>
          </value>
          <value t="str">
            <val>2022/11/18</val>
          </value>
          <value t="str">
            <val>2022/05/25</val>
          </value>
          <value t="str">
            <val>2022/12/22</val>
          </value>
        </values>
      </ddeItem>
      <ddeItem name="3030.TW-ID,Name,MarketValue,Capital,NetIncomeGrowthRate,OperIncomeGrowthRate,FinancialStatementsTime,TFXRatio,MonthlyNetSalesYoY,RevenueMonth" advise="1">
        <values cols="10">
          <value t="str">
            <val>3030</val>
          </value>
          <value t="str">
            <val>德律</val>
          </value>
          <value t="str">
            <val>151.2</val>
          </value>
          <value t="str">
            <val>23.62</val>
          </value>
          <value t="str">
            <val>71.93</val>
          </value>
          <value t="str">
            <val>37.08</val>
          </value>
          <value t="str">
            <val>2022/09</val>
          </value>
          <value t="str">
            <val>-19.54</val>
          </value>
          <value t="str">
            <val>12.52</val>
          </value>
          <value t="str">
            <val>2022/11</val>
          </value>
        </values>
      </ddeItem>
      <ddeItem name="3030.TW-OperatingProfitRatio,Price,PriceChangeRatio,InOutRatioNumber,Value,YearReturn,MonthReturn,WeekReturn,FinanceBalanceDif,ChipsField2" advise="1">
        <values cols="10">
          <value t="str">
            <val>32.09</val>
          </value>
          <value>
            <val>64</val>
          </value>
          <value>
            <val>0.63</val>
          </value>
          <value t="str">
            <val>27.39%</val>
          </value>
          <value t="str">
            <val>1013萬</val>
          </value>
          <value t="str">
            <val>+18.12</val>
          </value>
          <value t="str">
            <val>-1.84</val>
          </value>
          <value t="str">
            <val>-2.59</val>
          </value>
          <value>
            <val>10</val>
          </value>
          <value>
            <val>0</val>
          </value>
        </values>
      </ddeItem>
      <ddeItem name="3031.TW-ChipsField3,ChipsField1,ChipsField25,CashAndStockDividend,CashDividendYieldRate,ProfitFourSeason,ProfitSingle,CName,ExchangeIndustry,CompanyPos" advise="1">
        <values cols="10">
          <value>
            <val>-9</val>
          </value>
          <value>
            <val>-2</val>
          </value>
          <value t="str">
            <val>2022/06/24</val>
          </value>
          <value t="str">
            <val>1.00</val>
          </value>
          <value>
            <val>6.54</val>
          </value>
          <value t="str">
            <val>1.06</val>
          </value>
          <value t="str">
            <val>0.20</val>
          </value>
          <value t="str">
            <val>佰鴻</val>
          </value>
          <value t="str">
            <val>上市光電</val>
          </value>
          <value t="str">
            <val>台灣LED封裝暨紅外線傳輸模組廠商</val>
          </value>
        </values>
      </ddeItem>
      <ddeItem name="3031.TW-CName,InvestorConferenceDate,DateofMeetingofShareHolders,TradingDate" advise="1">
        <values cols="4">
          <value t="str">
            <val>佰鴻</val>
          </value>
          <value t="str">
            <val>2022/10/28</val>
          </value>
          <value t="str">
            <val>2022/06/06</val>
          </value>
          <value t="str">
            <val>2022/12/22</val>
          </value>
        </values>
      </ddeItem>
      <ddeItem name="3031.TW-ID,Name,MarketValue,Capital,NetIncomeGrowthRate,OperIncomeGrowthRate,FinancialStatementsTime,TFXRatio,MonthlyNetSalesYoY,RevenueMonth" advise="1">
        <values cols="10">
          <value t="str">
            <val>3031</val>
          </value>
          <value t="str">
            <val>佰鴻</val>
          </value>
          <value t="str">
            <val>26.5</val>
          </value>
          <value t="str">
            <val>17.32</val>
          </value>
          <value t="str">
            <val>-34.69</val>
          </value>
          <value t="str">
            <val>-26.80</val>
          </value>
          <value t="str">
            <val>2022/09</val>
          </value>
          <value t="str">
            <val>9.35</val>
          </value>
          <value t="str">
            <val>-10.20</val>
          </value>
          <value t="str">
            <val>2022/11</val>
          </value>
        </values>
      </ddeItem>
      <ddeItem name="3031.TW-OperatingProfitRatio,Price,PriceChangeRatio,InOutRatioNumber,Value,YearReturn,MonthReturn,WeekReturn,FinanceBalanceDif,ChipsField2" advise="1">
        <values cols="10">
          <value t="str">
            <val>8.11</val>
          </value>
          <value>
            <val>15.3</val>
          </value>
          <value>
            <val>0.99</val>
          </value>
          <value t="str">
            <val>35.29%</val>
          </value>
          <value t="str">
            <val>132萬</val>
          </value>
          <value t="str">
            <val>-34.46</val>
          </value>
          <value t="str">
            <val>+2.00</val>
          </value>
          <value t="str">
            <val>-4.97</val>
          </value>
          <value>
            <val>-41</val>
          </value>
          <value>
            <val>0</val>
          </value>
        </values>
      </ddeItem>
      <ddeItem name="303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</val>
          </value>
          <value t="str">
            <val>2022/07/14</val>
          </value>
          <value t="str">
            <val>2.00</val>
          </value>
          <value>
            <val>6.71</val>
          </value>
          <value t="str">
            <val>2.94</val>
          </value>
          <value t="str">
            <val>0.89</val>
          </value>
          <value t="str">
            <val>偉訓</val>
          </value>
          <value t="str">
            <val>上市電子零組件</val>
          </value>
          <value t="str">
            <val>台灣PC電源供應器及機殼製造廠，並跨入電競領域</val>
          </value>
        </values>
      </ddeItem>
      <ddeItem name="3032.TW-CName,InvestorConferenceDate,DateofMeetingofShareHolders,TradingDate" advise="1">
        <values cols="4">
          <value t="str">
            <val>偉訓</val>
          </value>
          <value t="str">
            <val>2022/11/23</val>
          </value>
          <value t="str">
            <val>2022/06/23</val>
          </value>
          <value t="str">
            <val>2022/12/22</val>
          </value>
        </values>
      </ddeItem>
      <ddeItem name="3032.TW-ID,Name,MarketValue,Capital,NetIncomeGrowthRate,OperIncomeGrowthRate,FinancialStatementsTime,TFXRatio,MonthlyNetSalesYoY,RevenueMonth" advise="1">
        <values cols="10">
          <value t="str">
            <val>3032</val>
          </value>
          <value t="str">
            <val>偉訓</val>
          </value>
          <value t="str">
            <val>30.8</val>
          </value>
          <value t="str">
            <val>11.33</val>
          </value>
          <value t="str">
            <val>26.01</val>
          </value>
          <value t="str">
            <val>-2.01</val>
          </value>
          <value t="str">
            <val>2022/09</val>
          </value>
          <value t="str">
            <val>8.44</val>
          </value>
          <value t="str">
            <val>4.26</val>
          </value>
          <value t="str">
            <val>2022/11</val>
          </value>
        </values>
      </ddeItem>
      <ddeItem name="3032.TW-OperatingProfitRatio,Price,PriceChangeRatio,InOutRatioNumber,Value,YearReturn,MonthReturn,WeekReturn,FinanceBalanceDif,ChipsField2" advise="1">
        <values cols="10">
          <value t="str">
            <val>6.39</val>
          </value>
          <value>
            <val>29.8</val>
          </value>
          <value>
            <val>0</val>
          </value>
          <value t="str">
            <val>15.56%</val>
          </value>
          <value t="str">
            <val>134萬</val>
          </value>
          <value t="str">
            <val>+1.63</val>
          </value>
          <value t="str">
            <val>+5.86</val>
          </value>
          <value t="str">
            <val>-2.13</val>
          </value>
          <value>
            <val>-1</val>
          </value>
          <value>
            <val>0</val>
          </value>
        </values>
      </ddeItem>
      <ddeItem name="3033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-103</val>
          </value>
          <value t="str">
            <val>2022/07/25</val>
          </value>
          <value t="str">
            <val>3.01</val>
          </value>
          <value>
            <val>11.36</val>
          </value>
          <value t="str">
            <val>4.59</val>
          </value>
          <value t="str">
            <val>0.88</val>
          </value>
          <value t="str">
            <val>威健</val>
          </value>
          <value t="str">
            <val>上市電子通路</val>
          </value>
          <value t="str">
            <val>從事電子零組件與周邊設備之代理經銷商</val>
          </value>
        </values>
      </ddeItem>
      <ddeItem name="3033.TW-CName,InvestorConferenceDate,DateofMeetingofShareHolders,TradingDate" advise="1">
        <values cols="4">
          <value t="str">
            <val>威健</val>
          </value>
          <value t="str">
            <val>2022/11/25</val>
          </value>
          <value t="str">
            <val>2022/06/16</val>
          </value>
          <value t="str">
            <val>2022/12/22</val>
          </value>
        </values>
      </ddeItem>
      <ddeItem name="3033.TW-ID,Name,MarketValue,Capital,NetIncomeGrowthRate,OperIncomeGrowthRate,FinancialStatementsTime,TFXRatio,MonthlyNetSalesYoY,RevenueMonth" advise="1">
        <values cols="10">
          <value t="str">
            <val>3033</val>
          </value>
          <value t="str">
            <val>威健</val>
          </value>
          <value t="str">
            <val>112.2</val>
          </value>
          <value t="str">
            <val>42.35</val>
          </value>
          <value t="str">
            <val>12.70</val>
          </value>
          <value t="str">
            <val>14.85</val>
          </value>
          <value t="str">
            <val>2022/09</val>
          </value>
          <value t="str">
            <val>-2.99</val>
          </value>
          <value t="str">
            <val>-4.16</val>
          </value>
          <value t="str">
            <val>2022/11</val>
          </value>
        </values>
      </ddeItem>
      <ddeItem name="3033.TW-OperatingProfitRatio,Price,PriceChangeRatio,InOutRatioNumber,Value,YearReturn,MonthReturn,WeekReturn,FinanceBalanceDif,ChipsField2" advise="1">
        <values cols="10">
          <value t="str">
            <val>4.15</val>
          </value>
          <value>
            <val>26.5</val>
          </value>
          <value>
            <val>0.38</val>
          </value>
          <value t="str">
            <val>40.33%</val>
          </value>
          <value t="str">
            <val>653萬</val>
          </value>
          <value t="str">
            <val>-5.93</val>
          </value>
          <value t="str">
            <val>-0.75</val>
          </value>
          <value t="str">
            <val>-1.49</val>
          </value>
          <value>
            <val>27</val>
          </value>
          <value>
            <val>0</val>
          </value>
        </values>
      </ddeItem>
      <ddeItem name="3034.TW-ChipsField3,ChipsField1,ChipsField25,CashAndStockDividend,CashDividendYieldRate,ProfitFourSeason,ProfitSingle,CName,ExchangeIndustry,CompanyPos" advise="1">
        <values cols="10">
          <value>
            <val>-5</val>
          </value>
          <value>
            <val>1756</val>
          </value>
          <value t="str">
            <val>2022/07/12</val>
          </value>
          <value t="str">
            <val>51.50</val>
          </value>
          <value>
            <val>17.05</val>
          </value>
          <value t="str">
            <val>57.29</val>
          </value>
          <value t="str">
            <val>7.07</val>
          </value>
          <value t="str">
            <val>聯詠</val>
          </value>
          <value t="str">
            <val>上市半導體</val>
          </value>
          <value t="str">
            <val>全球面板驅動IC設計龍頭廠</val>
          </value>
        </values>
      </ddeItem>
      <ddeItem name="3034.TW-CName,InvestorConferenceDate,DateofMeetingofShareHolders,TradingDate" advise="1">
        <values cols="4">
          <value t="str">
            <val>聯詠</val>
          </value>
          <value t="str">
            <val>2022/08/05</val>
          </value>
          <value t="str">
            <val>2022/06/08</val>
          </value>
          <value t="str">
            <val>2022/12/22</val>
          </value>
        </values>
      </ddeItem>
      <ddeItem name="3034.TW-ID,Name,MarketValue,Capital,NetIncomeGrowthRate,OperIncomeGrowthRate,FinancialStatementsTime,TFXRatio,MonthlyNetSalesYoY,RevenueMonth" advise="1">
        <values cols="10">
          <value t="str">
            <val>3034</val>
          </value>
          <value t="str">
            <val>聯詠</val>
          </value>
          <value t="str">
            <val>1837.7</val>
          </value>
          <value t="str">
            <val>60.85</val>
          </value>
          <value t="str">
            <val>-14.34</val>
          </value>
          <value t="str">
            <val>-19.82</val>
          </value>
          <value t="str">
            <val>2022/09</val>
          </value>
          <value t="str">
            <val>13.19</val>
          </value>
          <value t="str">
            <val>-35.54</val>
          </value>
          <value t="str">
            <val>2022/11</val>
          </value>
        </values>
      </ddeItem>
      <ddeItem name="3034.TW-OperatingProfitRatio,Price,PriceChangeRatio,InOutRatioNumber,Value,YearReturn,MonthReturn,WeekReturn,FinanceBalanceDif,ChipsField2" advise="1">
        <values cols="10">
          <value t="str">
            <val>31.44</val>
          </value>
          <value>
            <val>302</val>
          </value>
          <value>
            <val>1.34</val>
          </value>
          <value t="str">
            <val>38.72%</val>
          </value>
          <value t="str">
            <val>26.7億</val>
          </value>
          <value t="str">
            <val>-31.88</val>
          </value>
          <value t="str">
            <val>+1.34</val>
          </value>
          <value t="str">
            <val>-1.63</val>
          </value>
          <value>
            <val>121</val>
          </value>
          <value>
            <val>-2451</val>
          </value>
        </values>
      </ddeItem>
      <ddeItem name="3035.TW-ChipsField3,ChipsField1,ChipsField25,CashAndStockDividend,CashDividendYieldRate,ProfitFourSeason,ProfitSingle,CName,ExchangeIndustry,CompanyPos" advise="1">
        <values cols="10">
          <value>
            <val>38</val>
          </value>
          <value>
            <val>-176</val>
          </value>
          <value t="str">
            <val>2022/07/14</val>
          </value>
          <value t="str">
            <val>3.30</val>
          </value>
          <value>
            <val>2.09</val>
          </value>
          <value t="str">
            <val>9.69</val>
          </value>
          <value t="str">
            <val>2.41</val>
          </value>
          <value t="str">
            <val>智原</val>
          </value>
          <value t="str">
            <val>上市半導體</val>
          </value>
          <value t="str">
            <val>聯電體系的ASIC及設計IP廠</val>
          </value>
        </values>
      </ddeItem>
      <ddeItem name="3035.TW-CName,InvestorConferenceDate,DateofMeetingofShareHolders,TradingDate" advise="1">
        <values cols="4">
          <value t="str">
            <val>智原</val>
          </value>
          <value t="str">
            <val>2022/10/25</val>
          </value>
          <value t="str">
            <val>2022/05/24</val>
          </value>
          <value t="str">
            <val>2022/12/22</val>
          </value>
        </values>
      </ddeItem>
      <ddeItem name="3035.TW-ID,Name,MarketValue,Capital,NetIncomeGrowthRate,OperIncomeGrowthRate,FinancialStatementsTime,TFXRatio,MonthlyNetSalesYoY,RevenueMonth" advise="1">
        <values cols="10">
          <value t="str">
            <val>3035</val>
          </value>
          <value t="str">
            <val>智原</val>
          </value>
          <value t="str">
            <val>392.7</val>
          </value>
          <value t="str">
            <val>24.86</val>
          </value>
          <value t="str">
            <val>164.64</val>
          </value>
          <value t="str">
            <val>180.62</val>
          </value>
          <value t="str">
            <val>2022/09</val>
          </value>
          <value t="str">
            <val>-3.35</val>
          </value>
          <value t="str">
            <val>20.10</val>
          </value>
          <value t="str">
            <val>2022/11</val>
          </value>
        </values>
      </ddeItem>
      <ddeItem name="3035.TW-OperatingProfitRatio,Price,PriceChangeRatio,InOutRatioNumber,Value,YearReturn,MonthReturn,WeekReturn,FinanceBalanceDif,ChipsField2" advise="1">
        <values cols="10">
          <value t="str">
            <val>23.13</val>
          </value>
          <value>
            <val>158</val>
          </value>
          <value>
            <val>0.32</val>
          </value>
          <value t="str">
            <val>38.71%</val>
          </value>
          <value t="str">
            <val>11.2億</val>
          </value>
          <value t="str">
            <val>-32.23</val>
          </value>
          <value t="str">
            <val>-3.66</val>
          </value>
          <value t="str">
            <val>-8.67</val>
          </value>
          <value>
            <val>65</val>
          </value>
          <value>
            <val>-32</val>
          </value>
        </values>
      </ddeItem>
      <ddeItem name="3036.TW-ChipsField3,ChipsField1,ChipsField25,CashAndStockDividend,CashDividendYieldRate,ProfitFourSeason,ProfitSingle,CName,ExchangeIndustry,CompanyPos" advise="1">
        <values cols="10">
          <value>
            <val>10</val>
          </value>
          <value>
            <val>1669</val>
          </value>
          <value t="str">
            <val>2022/06/20</val>
          </value>
          <value t="str">
            <val>5.01</val>
          </value>
          <value>
            <val>7.91</val>
          </value>
          <value t="str">
            <val>10.32</val>
          </value>
          <value t="str">
            <val>2.34</val>
          </value>
          <value t="str">
            <val>文曄</val>
          </value>
          <value t="str">
            <val>上市電子通路</val>
          </value>
          <value t="str">
            <val>台灣前三大半導體IC通路商</val>
          </value>
        </values>
      </ddeItem>
      <ddeItem name="3036.TW-CName,InvestorConferenceDate,DateofMeetingofShareHolders,TradingDate" advise="1">
        <values cols="4">
          <value t="str">
            <val>文曄</val>
          </value>
          <value t="str">
            <val>2022/11/16</val>
          </value>
          <value t="str">
            <val>2022/05/20</val>
          </value>
          <value t="str">
            <val>2022/12/22</val>
          </value>
        </values>
      </ddeItem>
      <ddeItem name="3036.TW-ID,Name,MarketValue,Capital,NetIncomeGrowthRate,OperIncomeGrowthRate,FinancialStatementsTime,TFXRatio,MonthlyNetSalesYoY,RevenueMonth" advise="1">
        <values cols="10">
          <value t="str">
            <val>3036</val>
          </value>
          <value t="str">
            <val>文曄</val>
          </value>
          <value t="str">
            <val>559.3</val>
          </value>
          <value t="str">
            <val>88.35</val>
          </value>
          <value t="str">
            <val>11.65</val>
          </value>
          <value t="str">
            <val>20.19</val>
          </value>
          <value t="str">
            <val>2022/09</val>
          </value>
          <value t="str">
            <val>-24.96</val>
          </value>
          <value t="str">
            <val>-8.16</val>
          </value>
          <value t="str">
            <val>2022/11</val>
          </value>
        </values>
      </ddeItem>
      <ddeItem name="3036.TW-OperatingProfitRatio,Price,PriceChangeRatio,InOutRatioNumber,Value,YearReturn,MonthReturn,WeekReturn,FinanceBalanceDif,ChipsField2" advise="1">
        <values cols="10">
          <value t="str">
            <val>2.21</val>
          </value>
          <value>
            <val>63.3</val>
          </value>
          <value>
            <val>2.59</val>
          </value>
          <value t="str">
            <val>75.58%</val>
          </value>
          <value t="str">
            <val>2.85億</val>
          </value>
          <value t="str">
            <val>+4.62</val>
          </value>
          <value t="str">
            <val>+5.15</val>
          </value>
          <value t="str">
            <val>+1.28</val>
          </value>
          <value>
            <val>124</val>
          </value>
          <value>
            <val>-2658</val>
          </value>
        </values>
      </ddeItem>
      <ddeItem name="3037.TW-ChipsField3,ChipsField1,ChipsField25,CashAndStockDividend,CashDividendYieldRate,ProfitFourSeason,ProfitSingle,CName,ExchangeIndustry,CompanyPos" advise="1">
        <values cols="10">
          <value>
            <val>572</val>
          </value>
          <value>
            <val>-8931</val>
          </value>
          <value t="str">
            <val>2022/07/15</val>
          </value>
          <value t="str">
            <val>3.40</val>
          </value>
          <value>
            <val>2.79</val>
          </value>
          <value t="str">
            <val>18.49</val>
          </value>
          <value t="str">
            <val>5.80</val>
          </value>
          <value t="str">
            <val>欣興</val>
          </value>
          <value t="str">
            <val>上市電子零組件</val>
          </value>
          <value t="str">
            <val>全球印刷電路板龍頭廠之一</val>
          </value>
        </values>
      </ddeItem>
      <ddeItem name="3037.TW-CName,InvestorConferenceDate,DateofMeetingofShareHolders,TradingDate" advise="1">
        <values cols="4">
          <value t="str">
            <val>欣興</val>
          </value>
          <value t="str">
            <val>2022/11/14</val>
          </value>
          <value t="str">
            <val>2022/06/15</val>
          </value>
          <value t="str">
            <val>2022/12/22</val>
          </value>
        </values>
      </ddeItem>
      <ddeItem name="3037.TW-ID,Name,MarketValue,Capital,NetIncomeGrowthRate,OperIncomeGrowthRate,FinancialStatementsTime,TFXRatio,MonthlyNetSalesYoY,RevenueMonth" advise="1">
        <values cols="10">
          <value t="str">
            <val>3037</val>
          </value>
          <value t="str">
            <val>欣興</val>
          </value>
          <value t="str">
            <val>1803.6</val>
          </value>
          <value t="str">
            <val>147.84</val>
          </value>
          <value t="str">
            <val>178.95</val>
          </value>
          <value t="str">
            <val>283.39</val>
          </value>
          <value t="str">
            <val>2022/09</val>
          </value>
          <value t="str">
            <val>-5.32</val>
          </value>
          <value t="str">
            <val>23.24</val>
          </value>
          <value t="str">
            <val>2022/11</val>
          </value>
        </values>
      </ddeItem>
      <ddeItem name="3037.TW-OperatingProfitRatio,Price,PriceChangeRatio,InOutRatioNumber,Value,YearReturn,MonthReturn,WeekReturn,FinanceBalanceDif,ChipsField2" advise="1">
        <values cols="10">
          <value t="str">
            <val>27.53</val>
          </value>
          <value>
            <val>122</val>
          </value>
          <value>
            <val>1.24</val>
          </value>
          <value t="str">
            <val>51.08%</val>
          </value>
          <value t="str">
            <val>43.0億</val>
          </value>
          <value t="str">
            <val>-43.93</val>
          </value>
          <value t="str">
            <val>-22.29</val>
          </value>
          <value t="str">
            <val>-17.29</val>
          </value>
          <value>
            <val>1289</val>
          </value>
          <value>
            <val>-5204</val>
          </value>
        </values>
      </ddeItem>
      <ddeItem name="3038.TW-ChipsField3,ChipsField1,ChipsField25,CashAndStockDividend,CashDividendYieldRate,ProfitFourSeason,ProfitSingle,CName,ExchangeIndustry,CompanyPos" advise="1">
        <values cols="10">
          <value>
            <val>-10</val>
          </value>
          <value>
            <val>-106</val>
          </value>
          <value t="str">
            <val>2022/07/13</val>
          </value>
          <value t="str">
            <val>1.20</val>
          </value>
          <value>
            <val>5.83</val>
          </value>
          <value t="str">
            <val>2.70</val>
          </value>
          <value t="str">
            <val>1.02</val>
          </value>
          <value t="str">
            <val>全台</val>
          </value>
          <value t="str">
            <val>上市光電</val>
          </value>
          <value t="str">
            <val>台灣中小尺寸面板模組廠</val>
          </value>
        </values>
      </ddeItem>
      <ddeItem name="3038.TW-CName,InvestorConferenceDate,DateofMeetingofShareHolders,TradingDate" advise="1">
        <values cols="4">
          <value t="str">
            <val>全台</val>
          </value>
          <value t="str">
            <val>2022/12/16</val>
          </value>
          <value t="str">
            <val>2022/06/17</val>
          </value>
          <value t="str">
            <val>2022/12/22</val>
          </value>
        </values>
      </ddeItem>
      <ddeItem name="3038.TW-ID,Name,MarketValue,Capital,NetIncomeGrowthRate,OperIncomeGrowthRate,FinancialStatementsTime,TFXRatio,MonthlyNetSalesYoY,RevenueMonth" advise="1">
        <values cols="10">
          <value t="str">
            <val>3038</val>
          </value>
          <value t="str">
            <val>全台</val>
          </value>
          <value t="str">
            <val>32.4</val>
          </value>
          <value t="str">
            <val>15.74</val>
          </value>
          <value t="str">
            <val>90.64</val>
          </value>
          <value t="str">
            <val>33.62</val>
          </value>
          <value t="str">
            <val>2022/09</val>
          </value>
          <value t="str">
            <val>-0.56</val>
          </value>
          <value t="str">
            <val>8.60</val>
          </value>
          <value t="str">
            <val>2022/11</val>
          </value>
        </values>
      </ddeItem>
      <ddeItem name="3038.TW-OperatingProfitRatio,Price,PriceChangeRatio,InOutRatioNumber,Value,YearReturn,MonthReturn,WeekReturn,FinanceBalanceDif,ChipsField2" advise="1">
        <values cols="10">
          <value t="str">
            <val>7.53</val>
          </value>
          <value>
            <val>20.6</val>
          </value>
          <value>
            <val>0</val>
          </value>
          <value t="str">
            <val>35.24%</val>
          </value>
          <value t="str">
            <val>1232萬</val>
          </value>
          <value t="str">
            <val>+15.13</val>
          </value>
          <value t="str">
            <val>-0.96</val>
          </value>
          <value t="str">
            <val>-3.96</val>
          </value>
          <value>
            <val>55</val>
          </value>
          <value>
            <val>0</val>
          </value>
        </values>
      </ddeItem>
      <ddeItem name="304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2022/07/06</val>
          </value>
          <value t="str">
            <val>2.00</val>
          </value>
          <value>
            <val>6.78</val>
          </value>
          <value t="str">
            <val>1.63</val>
          </value>
          <value t="str">
            <val>0.77</val>
          </value>
          <value t="str">
            <val>遠見</val>
          </value>
          <value t="str">
            <val>上市其他</val>
          </value>
          <value t="str">
            <val>轉型為品牌授權、租賃及加值型服務為主</val>
          </value>
        </values>
      </ddeItem>
      <ddeItem name="3040.TW-CName,InvestorConferenceDate,DateofMeetingofShareHolders,TradingDate" advise="1">
        <values cols="4">
          <value t="str">
            <val>遠見</val>
          </value>
          <value t="str">
            <val>2022/08/18</val>
          </value>
          <value t="str">
            <val>2022/06/17</val>
          </value>
          <value t="str">
            <val>2022/12/22</val>
          </value>
        </values>
      </ddeItem>
      <ddeItem name="3040.TW-ID,Name,MarketValue,Capital,NetIncomeGrowthRate,OperIncomeGrowthRate,FinancialStatementsTime,TFXRatio,MonthlyNetSalesYoY,RevenueMonth" advise="1">
        <values cols="10">
          <value t="str">
            <val>3040</val>
          </value>
          <value t="str">
            <val>遠見</val>
          </value>
          <value t="str">
            <val>18.6</val>
          </value>
          <value t="str">
            <val>6.30</val>
          </value>
          <value t="str">
            <val>-18.81</val>
          </value>
          <value t="str">
            <val>10.51</val>
          </value>
          <value t="str">
            <val>2022/09</val>
          </value>
          <value t="str">
            <val>-1.46</val>
          </value>
          <value t="str">
            <val>-13.45</val>
          </value>
          <value t="str">
            <val>2022/11</val>
          </value>
        </values>
      </ddeItem>
      <ddeItem name="3040.TW-OperatingProfitRatio,Price,PriceChangeRatio,InOutRatioNumber,Value,YearReturn,MonthReturn,WeekReturn,FinanceBalanceDif,ChipsField2" advise="1">
        <values cols="10">
          <value t="str">
            <val>46.16</val>
          </value>
          <value>
            <val>29.5</val>
          </value>
          <value>
            <val>0.17</val>
          </value>
          <value t="str">
            <val>25.00%</val>
          </value>
          <value t="str">
            <val>11.8萬</val>
          </value>
          <value t="str">
            <val>-16.23</val>
          </value>
          <value t="str">
            <val>-1.67</val>
          </value>
          <value t="str">
            <val>-1.67</val>
          </value>
          <value>
            <val>0</val>
          </value>
          <value>
            <val>0</val>
          </value>
        </values>
      </ddeItem>
      <ddeItem name="3041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-25</val>
          </value>
          <value t="str">
            <val>--</val>
          </value>
          <value t="str">
            <val>0.00</val>
          </value>
          <value>
            <val>0</val>
          </value>
          <value t="str">
            <val>0.28</val>
          </value>
          <value t="str">
            <val>0.00</val>
          </value>
          <value t="str">
            <val>揚智</val>
          </value>
          <value t="str">
            <val>上市半導體</val>
          </value>
          <value t="str">
            <val>專注於數位機上盒系統單晶片開發的領導廠商</val>
          </value>
        </values>
      </ddeItem>
      <ddeItem name="3041.TW-CName,InvestorConferenceDate,DateofMeetingofShareHolders,TradingDate" advise="1">
        <values cols="4">
          <value t="str">
            <val>揚智</val>
          </value>
          <value t="str">
            <val>2022/03/28</val>
          </value>
          <value t="str">
            <val>2022/06/14</val>
          </value>
          <value t="str">
            <val>2022/12/22</val>
          </value>
        </values>
      </ddeItem>
      <ddeItem name="3041.TW-ID,Name,MarketValue,Capital,NetIncomeGrowthRate,OperIncomeGrowthRate,FinancialStatementsTime,TFXRatio,MonthlyNetSalesYoY,RevenueMonth" advise="1">
        <values cols="10">
          <value t="str">
            <val>3041</val>
          </value>
          <value t="str">
            <val>揚智</val>
          </value>
          <value t="str">
            <val>40.9</val>
          </value>
          <value t="str">
            <val>19.42</val>
          </value>
          <value t="str">
            <val>148.84</val>
          </value>
          <value t="str">
            <val>215.77</val>
          </value>
          <value t="str">
            <val>2022/09</val>
          </value>
          <value t="str">
            <val>67.68</val>
          </value>
          <value t="str">
            <val>-10.44</val>
          </value>
          <value t="str">
            <val>2022/11</val>
          </value>
        </values>
      </ddeItem>
      <ddeItem name="3041.TW-OperatingProfitRatio,Price,PriceChangeRatio,InOutRatioNumber,Value,YearReturn,MonthReturn,WeekReturn,FinanceBalanceDif,ChipsField2" advise="1">
        <values cols="10">
          <value t="str">
            <val>6.17</val>
          </value>
          <value>
            <val>21.05</val>
          </value>
          <value>
            <val>3.44</val>
          </value>
          <value t="str">
            <val>59.68%</val>
          </value>
          <value t="str">
            <val>2632萬</val>
          </value>
          <value t="str">
            <val>-45.25</val>
          </value>
          <value t="str">
            <val>+2.18</val>
          </value>
          <value t="str">
            <val>-5.82</val>
          </value>
          <value>
            <val>-23</val>
          </value>
          <value>
            <val>0</val>
          </value>
        </values>
      </ddeItem>
      <ddeItem name="3042.TW-ChipsField3,ChipsField1,ChipsField25,CashAndStockDividend,CashDividendYieldRate,ProfitFourSeason,ProfitSingle,CName,ExchangeIndustry,CompanyPos" advise="1">
        <values cols="10">
          <value>
            <val>103</val>
          </value>
          <value>
            <val>-483</val>
          </value>
          <value t="str">
            <val>2022/07/15</val>
          </value>
          <value t="str">
            <val>7.50</val>
          </value>
          <value>
            <val>9.1</val>
          </value>
          <value t="str">
            <val>9.84</val>
          </value>
          <value t="str">
            <val>2.75</val>
          </value>
          <value t="str">
            <val>晶技</val>
          </value>
          <value t="str">
            <val>上市電子零組件</val>
          </value>
          <value t="str">
            <val>台灣最大石英元件、頻率控制元件廠商</val>
          </value>
        </values>
      </ddeItem>
      <ddeItem name="3042.TW-CName,InvestorConferenceDate,DateofMeetingofShareHolders,TradingDate" advise="1">
        <values cols="4">
          <value t="str">
            <val>晶技</val>
          </value>
          <value t="str">
            <val>2022/12/13</val>
          </value>
          <value t="str">
            <val>2022/05/31</val>
          </value>
          <value t="str">
            <val>2022/12/22</val>
          </value>
        </values>
      </ddeItem>
      <ddeItem name="3042.TW-ID,Name,MarketValue,Capital,NetIncomeGrowthRate,OperIncomeGrowthRate,FinancialStatementsTime,TFXRatio,MonthlyNetSalesYoY,RevenueMonth" advise="1">
        <values cols="10">
          <value t="str">
            <val>3042</val>
          </value>
          <value t="str">
            <val>晶技</val>
          </value>
          <value t="str">
            <val>255.2</val>
          </value>
          <value t="str">
            <val>30.98</val>
          </value>
          <value t="str">
            <val>-2.79</val>
          </value>
          <value t="str">
            <val>-20.65</val>
          </value>
          <value t="str">
            <val>2022/09</val>
          </value>
          <value t="str">
            <val>-12.34</val>
          </value>
          <value t="str">
            <val>-12.14</val>
          </value>
          <value t="str">
            <val>2022/11</val>
          </value>
        </values>
      </ddeItem>
      <ddeItem name="3042.TW-OperatingProfitRatio,Price,PriceChangeRatio,InOutRatioNumber,Value,YearReturn,MonthReturn,WeekReturn,FinanceBalanceDif,ChipsField2" advise="1">
        <values cols="10">
          <value t="str">
            <val>21.53</val>
          </value>
          <value>
            <val>82.4</val>
          </value>
          <value>
            <val>0.73</val>
          </value>
          <value t="str">
            <val>57.64%</val>
          </value>
          <value t="str">
            <val>4664萬</val>
          </value>
          <value t="str">
            <val>-16.46</val>
          </value>
          <value t="str">
            <val>+0.98</val>
          </value>
          <value t="str">
            <val>-3.51</val>
          </value>
          <value>
            <val>0</val>
          </value>
          <value>
            <val>24</val>
          </value>
        </values>
      </ddeItem>
      <ddeItem name="304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0.55</val>
          </value>
          <value t="str">
            <val>0.16</val>
          </value>
          <value t="str">
            <val>科風</val>
          </value>
          <value t="str">
            <val>上市其他電子</val>
          </value>
          <value t="str">
            <val>不斷電系統和電力保護產品品牌廠商</val>
          </value>
        </values>
      </ddeItem>
      <ddeItem name="3043.TW-CName,InvestorConferenceDate,DateofMeetingofShareHolders,TradingDate" advise="1">
        <values cols="4">
          <value t="str">
            <val>科風</val>
          </value>
          <value t="str">
            <val>2022/12/20</val>
          </value>
          <value t="str">
            <val>2022/06/27</val>
          </value>
          <value t="str">
            <val>2022/12/22</val>
          </value>
        </values>
      </ddeItem>
      <ddeItem name="3043.TW-ID,Name,MarketValue,Capital,NetIncomeGrowthRate,OperIncomeGrowthRate,FinancialStatementsTime,TFXRatio,MonthlyNetSalesYoY,RevenueMonth" advise="1">
        <values cols="10">
          <value t="str">
            <val>3043</val>
          </value>
          <value t="str">
            <val>科風</val>
          </value>
          <value t="str">
            <val>10.2</val>
          </value>
          <value t="str">
            <val>3.90</val>
          </value>
          <value t="str">
            <val>573.07</val>
          </value>
          <value t="str">
            <val>105.43</val>
          </value>
          <value t="str">
            <val>2022/09</val>
          </value>
          <value t="str">
            <val>20.84</val>
          </value>
          <value t="str">
            <val>111.08</val>
          </value>
          <value t="str">
            <val>2022/11</val>
          </value>
        </values>
      </ddeItem>
      <ddeItem name="3043.TW-OperatingProfitRatio,Price,PriceChangeRatio,InOutRatioNumber,Value,YearReturn,MonthReturn,WeekReturn,FinanceBalanceDif,ChipsField2" advise="1">
        <values cols="10">
          <value t="str">
            <val>0.26</val>
          </value>
          <value>
            <val>26.1</val>
          </value>
          <value>
            <val>-8.1</val>
          </value>
          <value t="str">
            <val>35.68%</val>
          </value>
          <value t="str">
            <val>662萬</val>
          </value>
          <value t="str">
            <val>+37.37</val>
          </value>
          <value t="str">
            <val>-18.44</val>
          </value>
          <value t="str">
            <val>-21.39</val>
          </value>
          <value>
            <val>0</val>
          </value>
          <value>
            <val>0</val>
          </value>
        </values>
      </ddeItem>
      <ddeItem name="3044.TW-ChipsField3,ChipsField1,ChipsField25,CashAndStockDividend,CashDividendYieldRate,ProfitFourSeason,ProfitSingle,CName,ExchangeIndustry,CompanyPos" advise="1">
        <values cols="10">
          <value>
            <val>21</val>
          </value>
          <value>
            <val>925</val>
          </value>
          <value t="str">
            <val>2022/07/14</val>
          </value>
          <value t="str">
            <val>7.00</val>
          </value>
          <value>
            <val>7.41</val>
          </value>
          <value t="str">
            <val>11.53</val>
          </value>
          <value t="str">
            <val>3.09</val>
          </value>
          <value t="str">
            <val>健鼎</val>
          </value>
          <value t="str">
            <val>上市電子零組件</val>
          </value>
          <value t="str">
            <val>全球前十大印刷電路板廠之一</val>
          </value>
        </values>
      </ddeItem>
      <ddeItem name="3044.TW-CName,InvestorConferenceDate,DateofMeetingofShareHolders,TradingDate" advise="1">
        <values cols="4">
          <value t="str">
            <val>健鼎</val>
          </value>
          <value t="str">
            <val>2021/03/18</val>
          </value>
          <value t="str">
            <val>2022/06/21</val>
          </value>
          <value t="str">
            <val>2022/12/22</val>
          </value>
        </values>
      </ddeItem>
      <ddeItem name="3044.TW-ID,Name,MarketValue,Capital,NetIncomeGrowthRate,OperIncomeGrowthRate,FinancialStatementsTime,TFXRatio,MonthlyNetSalesYoY,RevenueMonth" advise="1">
        <values cols="10">
          <value t="str">
            <val>3044</val>
          </value>
          <value t="str">
            <val>健鼎</val>
          </value>
          <value t="str">
            <val>496.7</val>
          </value>
          <value t="str">
            <val>52.56</val>
          </value>
          <value t="str">
            <val>4.70</val>
          </value>
          <value t="str">
            <val>4.12</val>
          </value>
          <value t="str">
            <val>2022/09</val>
          </value>
          <value t="str">
            <val>7.21</val>
          </value>
          <value t="str">
            <val>-9.27</val>
          </value>
          <value t="str">
            <val>2022/11</val>
          </value>
        </values>
      </ddeItem>
      <ddeItem name="3044.TW-OperatingProfitRatio,Price,PriceChangeRatio,InOutRatioNumber,Value,YearReturn,MonthReturn,WeekReturn,FinanceBalanceDif,ChipsField2" advise="1">
        <values cols="10">
          <value t="str">
            <val>9.88</val>
          </value>
          <value>
            <val>94.5</val>
          </value>
          <value>
            <val>2.94</val>
          </value>
          <value t="str">
            <val>34.03%</val>
          </value>
          <value t="str">
            <val>3.12億</val>
          </value>
          <value t="str">
            <val>-16.43</val>
          </value>
          <value t="str">
            <val>-1.15</val>
          </value>
          <value t="str">
            <val>-3.96</val>
          </value>
          <value>
            <val>13</val>
          </value>
          <value>
            <val>-1558</val>
          </value>
        </values>
      </ddeItem>
      <ddeItem name="3045.TW-ChipsField3,ChipsField1,ChipsField25,CashAndStockDividend,CashDividendYieldRate,ProfitFourSeason,ProfitSingle,CName,ExchangeIndustry,CompanyPos" advise="1">
        <values cols="10">
          <value>
            <val>-102</val>
          </value>
          <value>
            <val>-368</val>
          </value>
          <value t="str">
            <val>2022/07/08</val>
          </value>
          <value t="str">
            <val>4.30</val>
          </value>
          <value>
            <val>4.54</val>
          </value>
          <value t="str">
            <val>3.91</val>
          </value>
          <value t="str">
            <val>1.01</val>
          </value>
          <value t="str">
            <val>台灣大</val>
          </value>
          <value t="str">
            <val>上市通信網路</val>
          </value>
          <value t="str">
            <val>台灣前三大電信業者之一</val>
          </value>
        </values>
      </ddeItem>
      <ddeItem name="3045.TW-CName,InvestorConferenceDate,DateofMeetingofShareHolders,TradingDate" advise="1">
        <values cols="4">
          <value t="str">
            <val>台灣大</val>
          </value>
          <value t="str">
            <val>2022/11/10</val>
          </value>
          <value t="str">
            <val>2022/06/23</val>
          </value>
          <value t="str">
            <val>2022/12/22</val>
          </value>
        </values>
      </ddeItem>
      <ddeItem name="3045.TW-ID,Name,MarketValue,Capital,NetIncomeGrowthRate,OperIncomeGrowthRate,FinancialStatementsTime,TFXRatio,MonthlyNetSalesYoY,RevenueMonth" advise="1">
        <values cols="10">
          <value t="str">
            <val>3045</val>
          </value>
          <value t="str">
            <val>台灣大</val>
          </value>
          <value t="str">
            <val>3336.2</val>
          </value>
          <value t="str">
            <val>351.92</val>
          </value>
          <value t="str">
            <val>0.93</val>
          </value>
          <value t="str">
            <val>3.76</val>
          </value>
          <value t="str">
            <val>2022/09</val>
          </value>
          <value t="str">
            <val>44.06</val>
          </value>
          <value t="str">
            <val>12.89</val>
          </value>
          <value t="str">
            <val>2022/11</val>
          </value>
        </values>
      </ddeItem>
      <ddeItem name="3045.TW-OperatingProfitRatio,Price,PriceChangeRatio,InOutRatioNumber,Value,YearReturn,MonthReturn,WeekReturn,FinanceBalanceDif,ChipsField2" advise="1">
        <values cols="10">
          <value t="str">
            <val>10.34</val>
          </value>
          <value>
            <val>94.8</val>
          </value>
          <value>
            <val>0.53</val>
          </value>
          <value t="str">
            <val>66.48%</val>
          </value>
          <value t="str">
            <val>8284萬</val>
          </value>
          <value t="str">
            <val>-0.07</val>
          </value>
          <value t="str">
            <val>+3.16</val>
          </value>
          <value t="str">
            <val>-0.63</val>
          </value>
          <value>
            <val>0</val>
          </value>
          <value>
            <val>629</val>
          </value>
        </values>
      </ddeItem>
      <ddeItem name="304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87</val>
          </value>
          <value t="str">
            <val>--</val>
          </value>
          <value t="str">
            <val>0.00</val>
          </value>
          <value>
            <val>0</val>
          </value>
          <value t="str">
            <val>2.49</val>
          </value>
          <value t="str">
            <val>0.66</val>
          </value>
          <value t="str">
            <val>建碁</val>
          </value>
          <value t="str">
            <val>上市電腦及週邊設備</val>
          </value>
          <value t="str">
            <val>宏碁轉投資工業電腦與數位看板公司</val>
          </value>
        </values>
      </ddeItem>
      <ddeItem name="3046.TW-CName,InvestorConferenceDate,DateofMeetingofShareHolders,TradingDate" advise="1">
        <values cols="4">
          <value t="str">
            <val>建碁</val>
          </value>
          <value t="str">
            <val>2022/04/15</val>
          </value>
          <value t="str">
            <val>2022/06/17</val>
          </value>
          <value t="str">
            <val>2022/12/22</val>
          </value>
        </values>
      </ddeItem>
      <ddeItem name="3046.TW-ID,Name,MarketValue,Capital,NetIncomeGrowthRate,OperIncomeGrowthRate,FinancialStatementsTime,TFXRatio,MonthlyNetSalesYoY,RevenueMonth" advise="1">
        <values cols="10">
          <value t="str">
            <val>3046</val>
          </value>
          <value t="str">
            <val>建碁</val>
          </value>
          <value t="str">
            <val>16.6</val>
          </value>
          <value t="str">
            <val>7.14</val>
          </value>
          <value t="str">
            <val>40.56</val>
          </value>
          <value t="str">
            <val>7.25</val>
          </value>
          <value t="str">
            <val>2022/09</val>
          </value>
          <value t="str">
            <val>11.39</val>
          </value>
          <value t="str">
            <val>3.63</val>
          </value>
          <value t="str">
            <val>2022/11</val>
          </value>
        </values>
      </ddeItem>
      <ddeItem name="3046.TW-OperatingProfitRatio,Price,PriceChangeRatio,InOutRatioNumber,Value,YearReturn,MonthReturn,WeekReturn,FinanceBalanceDif,ChipsField2" advise="1">
        <values cols="10">
          <value t="str">
            <val>2.18</val>
          </value>
          <value>
            <val>47.4</val>
          </value>
          <value>
            <val>0.32</val>
          </value>
          <value t="str">
            <val>42.65%</val>
          </value>
          <value t="str">
            <val>5608萬</val>
          </value>
          <value t="str">
            <val>+9.72</val>
          </value>
          <value t="str">
            <val>-16.40</val>
          </value>
          <value t="str">
            <val>-8.49</val>
          </value>
          <value>
            <val>-82</val>
          </value>
          <value>
            <val>0</val>
          </value>
        </values>
      </ddeItem>
      <ddeItem name="3047.TW-ChipsField3,ChipsField1,ChipsField25,CashAndStockDividend,CashDividendYieldRate,ProfitFourSeason,ProfitSingle,CName,ExchangeIndustry,CompanyPos" advise="1">
        <values cols="10">
          <value>
            <val>-5</val>
          </value>
          <value>
            <val>-253</val>
          </value>
          <value t="str">
            <val>--</val>
          </value>
          <value t="str">
            <val>0.00</val>
          </value>
          <value>
            <val>0</val>
          </value>
          <value t="str">
            <val>1.22</val>
          </value>
          <value t="str">
            <val>0.60</val>
          </value>
          <value t="str">
            <val>訊舟</val>
          </value>
          <value t="str">
            <val>上市通信網路</val>
          </value>
          <value t="str">
            <val>兼營品牌(EDIMAX)與代工的網通設備廠</val>
          </value>
        </values>
      </ddeItem>
      <ddeItem name="3047.TW-CName,InvestorConferenceDate,DateofMeetingofShareHolders,TradingDate" advise="1">
        <values cols="4">
          <value t="str">
            <val>訊舟</val>
          </value>
          <value t="str">
            <val>2022/09/16</val>
          </value>
          <value t="str">
            <val>2022/06/01</val>
          </value>
          <value t="str">
            <val>2022/12/22</val>
          </value>
        </values>
      </ddeItem>
      <ddeItem name="3047.TW-ID,Name,MarketValue,Capital,NetIncomeGrowthRate,OperIncomeGrowthRate,FinancialStatementsTime,TFXRatio,MonthlyNetSalesYoY,RevenueMonth" advise="1">
        <values cols="10">
          <value t="str">
            <val>3047</val>
          </value>
          <value t="str">
            <val>訊舟</val>
          </value>
          <value t="str">
            <val>30.1</val>
          </value>
          <value t="str">
            <val>20.67</val>
          </value>
          <value t="str">
            <val>553.98</val>
          </value>
          <value t="str">
            <val>616.00</val>
          </value>
          <value t="str">
            <val>2022/09</val>
          </value>
          <value t="str">
            <val>1.78</val>
          </value>
          <value t="str">
            <val>-0.43</val>
          </value>
          <value t="str">
            <val>2022/11</val>
          </value>
        </values>
      </ddeItem>
      <ddeItem name="3047.TW-OperatingProfitRatio,Price,PriceChangeRatio,InOutRatioNumber,Value,YearReturn,MonthReturn,WeekReturn,FinanceBalanceDif,ChipsField2" advise="1">
        <values cols="10">
          <value t="str">
            <val>2.20</val>
          </value>
          <value>
            <val>15.8</val>
          </value>
          <value>
            <val>0.96</val>
          </value>
          <value t="str">
            <val>47.34%</val>
          </value>
          <value t="str">
            <val>3352萬</val>
          </value>
          <value t="str">
            <val>+21.07</val>
          </value>
          <value t="str">
            <val>-5.11</val>
          </value>
          <value t="str">
            <val>-7.33</val>
          </value>
          <value>
            <val>146</val>
          </value>
          <value>
            <val>0</val>
          </value>
        </values>
      </ddeItem>
      <ddeItem name="3048.TW-ChipsField3,ChipsField1,ChipsField25,CashAndStockDividend,CashDividendYieldRate,ProfitFourSeason,ProfitSingle,CName,ExchangeIndustry,CompanyPos" advise="1">
        <values cols="10">
          <value>
            <val>1</val>
          </value>
          <value>
            <val>-57</val>
          </value>
          <value t="str">
            <val>2022/07/13</val>
          </value>
          <value t="str">
            <val>3.40</val>
          </value>
          <value>
            <val>12.5</val>
          </value>
          <value t="str">
            <val>4.22</val>
          </value>
          <value t="str">
            <val>0.65</val>
          </value>
          <value t="str">
            <val>益登</val>
          </value>
          <value t="str">
            <val>上市電子通路</val>
          </value>
          <value t="str">
            <val>全球第十大半導體代理商之一</val>
          </value>
        </values>
      </ddeItem>
      <ddeItem name="3048.TW-CName,InvestorConferenceDate,DateofMeetingofShareHolders,TradingDate" advise="1">
        <values cols="4">
          <value t="str">
            <val>益登</val>
          </value>
          <value t="str">
            <val>2022/11/16</val>
          </value>
          <value t="str">
            <val>2022/05/26</val>
          </value>
          <value t="str">
            <val>2022/12/22</val>
          </value>
        </values>
      </ddeItem>
      <ddeItem name="3048.TW-ID,Name,MarketValue,Capital,NetIncomeGrowthRate,OperIncomeGrowthRate,FinancialStatementsTime,TFXRatio,MonthlyNetSalesYoY,RevenueMonth" advise="1">
        <values cols="10">
          <value t="str">
            <val>3048</val>
          </value>
          <value t="str">
            <val>益登</val>
          </value>
          <value t="str">
            <val>66.6</val>
          </value>
          <value t="str">
            <val>26.98</val>
          </value>
          <value t="str">
            <val>-5.36</val>
          </value>
          <value t="str">
            <val>12.43</val>
          </value>
          <value t="str">
            <val>2022/09</val>
          </value>
          <value t="str">
            <val>-6.98</val>
          </value>
          <value t="str">
            <val>-8.41</val>
          </value>
          <value t="str">
            <val>2022/11</val>
          </value>
        </values>
      </ddeItem>
      <ddeItem name="3048.TW-OperatingProfitRatio,Price,PriceChangeRatio,InOutRatioNumber,Value,YearReturn,MonthReturn,WeekReturn,FinanceBalanceDif,ChipsField2" advise="1">
        <values cols="10">
          <value t="str">
            <val>1.48</val>
          </value>
          <value>
            <val>27.2</val>
          </value>
          <value>
            <val>0.37</val>
          </value>
          <value t="str">
            <val>25.74%</val>
          </value>
          <value t="str">
            <val>370萬</val>
          </value>
          <value t="str">
            <val>-5.43</val>
          </value>
          <value t="str">
            <val>-2.68</val>
          </value>
          <value t="str">
            <val>-1.81</val>
          </value>
          <value>
            <val>6</val>
          </value>
          <value>
            <val>0</val>
          </value>
        </values>
      </ddeItem>
      <ddeItem name="3049.TW-ChipsField3,ChipsField1,ChipsField25,CashAndStockDividend,CashDividendYieldRate,ProfitFourSeason,ProfitSingle,CName,ExchangeIndustry,CompanyPos" advise="1">
        <values cols="10">
          <value>
            <val>-22</val>
          </value>
          <value>
            <val>-392</val>
          </value>
          <value t="str">
            <val>2022/07/07</val>
          </value>
          <value t="str">
            <val>0.35</val>
          </value>
          <value>
            <val>3.79</val>
          </value>
          <value t="str">
            <val>0.37</val>
          </value>
          <value t="str">
            <val>-0.10</val>
          </value>
          <value t="str">
            <val>和鑫</val>
          </value>
          <value t="str">
            <val>上市光電</val>
          </value>
          <value t="str">
            <val>彩晶轉投資，為觸控感測器製造商</val>
          </value>
        </values>
      </ddeItem>
      <ddeItem name="3049.TW-CName,InvestorConferenceDate,DateofMeetingofShareHolders,TradingDate" advise="1">
        <values cols="4">
          <value t="str">
            <val>和鑫</val>
          </value>
          <value t="str">
            <val>2021/11/16</val>
          </value>
          <value t="str">
            <val>2022/05/24</val>
          </value>
          <value t="str">
            <val>2022/12/22</val>
          </value>
        </values>
      </ddeItem>
      <ddeItem name="3049.TW-ID,Name,MarketValue,Capital,NetIncomeGrowthRate,OperIncomeGrowthRate,FinancialStatementsTime,TFXRatio,MonthlyNetSalesYoY,RevenueMonth" advise="1">
        <values cols="10">
          <value t="str">
            <val>3049</val>
          </value>
          <value t="str">
            <val>和鑫</val>
          </value>
          <value t="str">
            <val>74.5</val>
          </value>
          <value t="str">
            <val>80.69</val>
          </value>
          <value t="str">
            <val>-87.96</val>
          </value>
          <value t="str">
            <val>-101.36</val>
          </value>
          <value t="str">
            <val>2022/09</val>
          </value>
          <value t="str">
            <val>25.73</val>
          </value>
          <value t="str">
            <val>-37.17</val>
          </value>
          <value t="str">
            <val>2022/11</val>
          </value>
        </values>
      </ddeItem>
      <ddeItem name="3049.TW-OperatingProfitRatio,Price,PriceChangeRatio,InOutRatioNumber,Value,YearReturn,MonthReturn,WeekReturn,FinanceBalanceDif,ChipsField2" advise="1">
        <values cols="10">
          <value t="str">
            <val>-0.56</val>
          </value>
          <value>
            <val>9.23</val>
          </value>
          <value>
            <val>1.1000000000000001</val>
          </value>
          <value t="str">
            <val>56.76%</val>
          </value>
          <value t="str">
            <val>979萬</val>
          </value>
          <value t="str">
            <val>-36.97</val>
          </value>
          <value t="str">
            <val>-0.75</val>
          </value>
          <value t="str">
            <val>-2.43</val>
          </value>
          <value>
            <val>12</val>
          </value>
          <value>
            <val>0</val>
          </value>
        </values>
      </ddeItem>
      <ddeItem name="3050.TW-ChipsField3,ChipsField1,ChipsField25,CashAndStockDividend,CashDividendYieldRate,ProfitFourSeason,ProfitSingle,CName,ExchangeIndustry,CompanyPos" advise="1">
        <values cols="10">
          <value>
            <val>-7</val>
          </value>
          <value>
            <val>97</val>
          </value>
          <value t="str">
            <val>2022/07/11</val>
          </value>
          <value t="str">
            <val>0.60</val>
          </value>
          <value>
            <val>3.49</val>
          </value>
          <value t="str">
            <val>0.46</val>
          </value>
          <value t="str">
            <val>0.32</val>
          </value>
          <value t="str">
            <val>鈺德</val>
          </value>
          <value t="str">
            <val>上市光電</val>
          </value>
          <value t="str">
            <val>錸德集團旗下台灣第一大預錄碟片大廠</val>
          </value>
        </values>
      </ddeItem>
      <ddeItem name="3050.TW-CName,InvestorConferenceDate,DateofMeetingofShareHolders,TradingDate" advise="1">
        <values cols="4">
          <value t="str">
            <val>鈺德</val>
          </value>
          <value t="str">
            <val>2022/12/06</val>
          </value>
          <value t="str">
            <val>2022/06/15</val>
          </value>
          <value t="str">
            <val>2022/12/22</val>
          </value>
        </values>
      </ddeItem>
      <ddeItem name="3050.TW-ID,Name,MarketValue,Capital,NetIncomeGrowthRate,OperIncomeGrowthRate,FinancialStatementsTime,TFXRatio,MonthlyNetSalesYoY,RevenueMonth" advise="1">
        <values cols="10">
          <value t="str">
            <val>3050</val>
          </value>
          <value t="str">
            <val>鈺德</val>
          </value>
          <value t="str">
            <val>25.1</val>
          </value>
          <value t="str">
            <val>14.60</val>
          </value>
          <value t="str">
            <val>-53.26</val>
          </value>
          <value t="str">
            <val>-21.90</val>
          </value>
          <value t="str">
            <val>2022/09</val>
          </value>
          <value t="str">
            <val>-4.81</val>
          </value>
          <value t="str">
            <val>13.32</val>
          </value>
          <value t="str">
            <val>2022/11</val>
          </value>
        </values>
      </ddeItem>
      <ddeItem name="3050.TW-OperatingProfitRatio,Price,PriceChangeRatio,InOutRatioNumber,Value,YearReturn,MonthReturn,WeekReturn,FinanceBalanceDif,ChipsField2" advise="1">
        <values cols="10">
          <value t="str">
            <val>9.75</val>
          </value>
          <value>
            <val>17.2</val>
          </value>
          <value>
            <val>0.28999999999999998</val>
          </value>
          <value t="str">
            <val>36.75%</val>
          </value>
          <value t="str">
            <val>2440萬</val>
          </value>
          <value t="str">
            <val>-1.22</val>
          </value>
          <value t="str">
            <val>+6.83</val>
          </value>
          <value t="str">
            <val>-0.29</val>
          </value>
          <value>
            <val>5</val>
          </value>
          <value>
            <val>0</val>
          </value>
        </values>
      </ddeItem>
      <ddeItem name="3051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-2</val>
          </value>
          <value t="str">
            <val>--</val>
          </value>
          <value t="str">
            <val>0.00</val>
          </value>
          <value>
            <val>0</val>
          </value>
          <value t="str">
            <val>2.74</val>
          </value>
          <value t="str">
            <val>0.90</val>
          </value>
          <value t="str">
            <val>力特</val>
          </value>
          <value t="str">
            <val>上市光電</val>
          </value>
          <value t="str">
            <val>全球前十大偏光板供應商之一</val>
          </value>
        </values>
      </ddeItem>
      <ddeItem name="3051.TW-CName,InvestorConferenceDate,DateofMeetingofShareHolders,TradingDate" advise="1">
        <values cols="4">
          <value t="str">
            <val>力特</val>
          </value>
          <value t="str">
            <val>2022/12/22</val>
          </value>
          <value t="str">
            <val>2022/06/23</val>
          </value>
          <value t="str">
            <val>2022/12/22</val>
          </value>
        </values>
      </ddeItem>
      <ddeItem name="3051.TW-ID,Name,MarketValue,Capital,NetIncomeGrowthRate,OperIncomeGrowthRate,FinancialStatementsTime,TFXRatio,MonthlyNetSalesYoY,RevenueMonth" advise="1">
        <values cols="10">
          <value t="str">
            <val>3051</val>
          </value>
          <value t="str">
            <val>力特</val>
          </value>
          <value t="str">
            <val>30.3</val>
          </value>
          <value t="str">
            <val>17.00</val>
          </value>
          <value t="str">
            <val>-43.62</val>
          </value>
          <value t="str">
            <val>9.91</val>
          </value>
          <value t="str">
            <val>2022/09</val>
          </value>
          <value t="str">
            <val>-13.29</val>
          </value>
          <value t="str">
            <val>-18.77</val>
          </value>
          <value t="str">
            <val>2022/11</val>
          </value>
        </values>
      </ddeItem>
      <ddeItem name="3051.TW-OperatingProfitRatio,Price,PriceChangeRatio,InOutRatioNumber,Value,YearReturn,MonthReturn,WeekReturn,FinanceBalanceDif,ChipsField2" advise="1">
        <values cols="10">
          <value t="str">
            <val>13.05</val>
          </value>
          <value>
            <val>17.8</val>
          </value>
          <value>
            <val>2.2999999999999998</val>
          </value>
          <value t="str">
            <val>42.20%</val>
          </value>
          <value t="str">
            <val>1251萬</val>
          </value>
          <value t="str">
            <val>-48.57</val>
          </value>
          <value t="str">
            <val>-9.87</val>
          </value>
          <value t="str">
            <val>-6.32</val>
          </value>
          <value>
            <val>19</val>
          </value>
          <value>
            <val>0</val>
          </value>
        </values>
      </ddeItem>
      <ddeItem name="305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2022/09/29</val>
          </value>
          <value t="str">
            <val>0.25</val>
          </value>
          <value>
            <val>2.4</val>
          </value>
          <value t="str">
            <val>0.88</val>
          </value>
          <value t="str">
            <val>0.27</val>
          </value>
          <value t="str">
            <val>夆典</val>
          </value>
          <value t="str">
            <val>上市建材營造</val>
          </value>
          <value t="str">
            <val>提供工程整合服務之廠商</val>
          </value>
        </values>
      </ddeItem>
      <ddeItem name="3052.TW-CName,InvestorConferenceDate,DateofMeetingofShareHolders,TradingDate" advise="1">
        <values cols="4">
          <value t="str">
            <val>夆典</val>
          </value>
          <value t="str">
            <val>2022/11/08</val>
          </value>
          <value t="str">
            <val>2022/06/17</val>
          </value>
          <value t="str">
            <val>2022/12/22</val>
          </value>
        </values>
      </ddeItem>
      <ddeItem name="3052.TW-ID,Name,MarketValue,Capital,NetIncomeGrowthRate,OperIncomeGrowthRate,FinancialStatementsTime,TFXRatio,MonthlyNetSalesYoY,RevenueMonth" advise="1">
        <values cols="10">
          <value t="str">
            <val>3052</val>
          </value>
          <value t="str">
            <val>夆典</val>
          </value>
          <value t="str">
            <val>23.8</val>
          </value>
          <value t="str">
            <val>22.87</val>
          </value>
          <value t="str">
            <val>89.87</val>
          </value>
          <value t="str">
            <val>83.52</val>
          </value>
          <value t="str">
            <val>2022/09</val>
          </value>
          <value t="str">
            <val>-21.60</val>
          </value>
          <value t="str">
            <val>8.93</val>
          </value>
          <value t="str">
            <val>2022/11</val>
          </value>
        </values>
      </ddeItem>
      <ddeItem name="3052.TW-OperatingProfitRatio,Price,PriceChangeRatio,InOutRatioNumber,Value,YearReturn,MonthReturn,WeekReturn,FinanceBalanceDif,ChipsField2" advise="1">
        <values cols="10">
          <value t="str">
            <val>7.87</val>
          </value>
          <value>
            <val>10.4</val>
          </value>
          <value>
            <val>0</val>
          </value>
          <value t="str">
            <val>8.41%</val>
          </value>
          <value t="str">
            <val>221萬</val>
          </value>
          <value t="str">
            <val>+1.59</val>
          </value>
          <value t="str">
            <val>+2.97</val>
          </value>
          <value t="str">
            <val>-0.95</val>
          </value>
          <value>
            <val>-2</val>
          </value>
          <value>
            <val>0</val>
          </value>
        </values>
      </ddeItem>
      <ddeItem name="305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-5</val>
          </value>
          <value t="str">
            <val>--</val>
          </value>
          <value t="str">
            <val>0.00</val>
          </value>
          <value>
            <val>0</val>
          </value>
          <value t="str">
            <val>-1.21</val>
          </value>
          <value t="str">
            <val>-0.15</val>
          </value>
          <value t="str">
            <val>立萬利</val>
          </value>
          <value t="str">
            <val>上市半導體</val>
          </value>
          <value t="str">
            <val>轉型以生技保健相關產品之銷售廠商</val>
          </value>
        </values>
      </ddeItem>
      <ddeItem name="3054.TW-CName,InvestorConferenceDate,DateofMeetingofShareHolders,TradingDate" advise="1">
        <values cols="4">
          <value t="str">
            <val>立萬利</val>
          </value>
          <value t="str">
            <val>2022/10/18</val>
          </value>
          <value t="str">
            <val>2022/06/15</val>
          </value>
          <value t="str">
            <val>2022/12/22</val>
          </value>
        </values>
      </ddeItem>
      <ddeItem name="3054.TW-ID,Name,MarketValue,Capital,NetIncomeGrowthRate,OperIncomeGrowthRate,FinancialStatementsTime,TFXRatio,MonthlyNetSalesYoY,RevenueMonth" advise="1">
        <values cols="10">
          <value t="str">
            <val>3054</val>
          </value>
          <value t="str">
            <val>立萬利</val>
          </value>
          <value t="str">
            <val>16.7</val>
          </value>
          <value t="str">
            <val>8.34</val>
          </value>
          <value t="str">
            <val>-409.00</val>
          </value>
          <value t="str">
            <val>24.22</val>
          </value>
          <value t="str">
            <val>2022/09</val>
          </value>
          <value t="str">
            <val>3.57</val>
          </value>
          <value t="str">
            <val>-27.24</val>
          </value>
          <value t="str">
            <val>2022/11</val>
          </value>
        </values>
      </ddeItem>
      <ddeItem name="3054.TW-OperatingProfitRatio,Price,PriceChangeRatio,InOutRatioNumber,Value,YearReturn,MonthReturn,WeekReturn,FinanceBalanceDif,ChipsField2" advise="1">
        <values cols="10">
          <value t="str">
            <val>-124.46</val>
          </value>
          <value>
            <val>20</val>
          </value>
          <value>
            <val>1.52</val>
          </value>
          <value t="str">
            <val>100.00%</val>
          </value>
          <value t="str">
            <val>28.1萬</val>
          </value>
          <value t="str">
            <val>-16.32</val>
          </value>
          <value t="str">
            <val>+2.56</val>
          </value>
          <value t="str">
            <val>+2.30</val>
          </value>
          <value>
            <val>0</val>
          </value>
          <value>
            <val>0</val>
          </value>
        </values>
      </ddeItem>
      <ddeItem name="305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</val>
          </value>
          <value t="str">
            <val>2022/07/21</val>
          </value>
          <value t="str">
            <val>0.20</val>
          </value>
          <value>
            <val>0.81</val>
          </value>
          <value t="str">
            <val>-0.90</val>
          </value>
          <value t="str">
            <val>1.02</val>
          </value>
          <value t="str">
            <val>蔚華科</val>
          </value>
          <value t="str">
            <val>上市電子通路</val>
          </value>
          <value t="str">
            <val>專業之半導體設備經銷代理商</val>
          </value>
        </values>
      </ddeItem>
      <ddeItem name="3055.TW-CName,InvestorConferenceDate,DateofMeetingofShareHolders,TradingDate" advise="1">
        <values cols="4">
          <value t="str">
            <val>蔚華科</val>
          </value>
          <value t="str">
            <val>2022/12/22</val>
          </value>
          <value t="str">
            <val>2022/06/22</val>
          </value>
          <value t="str">
            <val>2022/12/22</val>
          </value>
        </values>
      </ddeItem>
      <ddeItem name="3055.TW-ID,Name,MarketValue,Capital,NetIncomeGrowthRate,OperIncomeGrowthRate,FinancialStatementsTime,TFXRatio,MonthlyNetSalesYoY,RevenueMonth" advise="1">
        <values cols="10">
          <value t="str">
            <val>3055</val>
          </value>
          <value t="str">
            <val>蔚華科</val>
          </value>
          <value t="str">
            <val>25.3</val>
          </value>
          <value t="str">
            <val>11.87</val>
          </value>
          <value t="str">
            <val>75.56</val>
          </value>
          <value t="str">
            <val>21.65</val>
          </value>
          <value t="str">
            <val>2022/09</val>
          </value>
          <value t="str">
            <val>-27.60</val>
          </value>
          <value t="str">
            <val>-74.67</val>
          </value>
          <value t="str">
            <val>2022/11</val>
          </value>
        </values>
      </ddeItem>
      <ddeItem name="3055.TW-OperatingProfitRatio,Price,PriceChangeRatio,InOutRatioNumber,Value,YearReturn,MonthReturn,WeekReturn,FinanceBalanceDif,ChipsField2" advise="1">
        <values cols="10">
          <value t="str">
            <val>-17.06</val>
          </value>
          <value>
            <val>24.7</val>
          </value>
          <value>
            <val>-0.2</val>
          </value>
          <value t="str">
            <val>2.17%</val>
          </value>
          <value t="str">
            <val>114萬</val>
          </value>
          <value t="str">
            <val>-12.81</val>
          </value>
          <value t="str">
            <val>-5.36</val>
          </value>
          <value t="str">
            <val>-1.20</val>
          </value>
          <value>
            <val>0</val>
          </value>
          <value>
            <val>0</val>
          </value>
        </values>
      </ddeItem>
      <ddeItem name="3056.TW-ChipsField3,ChipsField1,ChipsField25,CashAndStockDividend,CashDividendYieldRate,ProfitFourSeason,ProfitSingle,CName,ExchangeIndustry,CompanyPos" advise="1">
        <values cols="10">
          <value>
            <val>-18</val>
          </value>
          <value>
            <val>186</val>
          </value>
          <value t="str">
            <val>2022/06/23</val>
          </value>
          <value t="str">
            <val>1.50</val>
          </value>
          <value>
            <val>4.9400000000000004</val>
          </value>
          <value t="str">
            <val>6.29</val>
          </value>
          <value t="str">
            <val>4.82</val>
          </value>
          <value t="str">
            <val>總太</val>
          </value>
          <value t="str">
            <val>上市建材營造</val>
          </value>
          <value t="str">
            <val>推案集中於中部地區之建商</val>
          </value>
        </values>
      </ddeItem>
      <ddeItem name="3056.TW-CName,InvestorConferenceDate,DateofMeetingofShareHolders,TradingDate" advise="1">
        <values cols="4">
          <value t="str">
            <val>總太</val>
          </value>
          <value t="str">
            <val>2022/11/23</val>
          </value>
          <value t="str">
            <val>2022/06/08</val>
          </value>
          <value t="str">
            <val>2022/12/22</val>
          </value>
        </values>
      </ddeItem>
      <ddeItem name="3056.TW-ID,Name,MarketValue,Capital,NetIncomeGrowthRate,OperIncomeGrowthRate,FinancialStatementsTime,TFXRatio,MonthlyNetSalesYoY,RevenueMonth" advise="1">
        <values cols="10">
          <value t="str">
            <val>3056</val>
          </value>
          <value t="str">
            <val>總太</val>
          </value>
          <value t="str">
            <val>73.7</val>
          </value>
          <value t="str">
            <val>24.27</val>
          </value>
          <value t="str">
            <val>106.76</val>
          </value>
          <value t="str">
            <val>96.78</val>
          </value>
          <value t="str">
            <val>2022/09</val>
          </value>
          <value t="str">
            <val>-94.31</val>
          </value>
          <value t="str">
            <val>1201.83</val>
          </value>
          <value t="str">
            <val>2022/11</val>
          </value>
        </values>
      </ddeItem>
      <ddeItem name="3056.TW-OperatingProfitRatio,Price,PriceChangeRatio,InOutRatioNumber,Value,YearReturn,MonthReturn,WeekReturn,FinanceBalanceDif,ChipsField2" advise="1">
        <values cols="10">
          <value t="str">
            <val>28.52</val>
          </value>
          <value>
            <val>30.35</val>
          </value>
          <value>
            <val>1.17</val>
          </value>
          <value t="str">
            <val>63.90%</val>
          </value>
          <value t="str">
            <val>956萬</val>
          </value>
          <value t="str">
            <val>-20.77</val>
          </value>
          <value t="str">
            <val>-8.03</val>
          </value>
          <value t="str">
            <val>-1.78</val>
          </value>
          <value>
            <val>4</val>
          </value>
          <value>
            <val>0</val>
          </value>
        </values>
      </ddeItem>
      <ddeItem name="305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--</val>
          </value>
          <value t="str">
            <val>0.00</val>
          </value>
          <value>
            <val>0</val>
          </value>
          <value t="str">
            <val>0.34</val>
          </value>
          <value t="str">
            <val>0.01</val>
          </value>
          <value t="str">
            <val>喬鼎</val>
          </value>
          <value t="str">
            <val>上市電腦及週邊設備</val>
          </value>
          <value t="str">
            <val>全球知名RAID控制器及儲存解決方案供應商</val>
          </value>
        </values>
      </ddeItem>
      <ddeItem name="3057.TW-CName,InvestorConferenceDate,DateofMeetingofShareHolders,TradingDate" advise="1">
        <values cols="4">
          <value t="str">
            <val>喬鼎</val>
          </value>
          <value t="str">
            <val>2021/12/22</val>
          </value>
          <value t="str">
            <val>2022/06/23</val>
          </value>
          <value t="str">
            <val>2022/12/22</val>
          </value>
        </values>
      </ddeItem>
      <ddeItem name="3057.TW-ID,Name,MarketValue,Capital,NetIncomeGrowthRate,OperIncomeGrowthRate,FinancialStatementsTime,TFXRatio,MonthlyNetSalesYoY,RevenueMonth" advise="1">
        <values cols="10">
          <value t="str">
            <val>3057</val>
          </value>
          <value t="str">
            <val>喬鼎</val>
          </value>
          <value t="str">
            <val>8.5</val>
          </value>
          <value t="str">
            <val>9.27</val>
          </value>
          <value t="str">
            <val>385.10</val>
          </value>
          <value t="str">
            <val>1216.31</val>
          </value>
          <value t="str">
            <val>2022/09</val>
          </value>
          <value t="str">
            <val>4.77</val>
          </value>
          <value t="str">
            <val>-41.23</val>
          </value>
          <value t="str">
            <val>2022/11</val>
          </value>
        </values>
      </ddeItem>
      <ddeItem name="3057.TW-OperatingProfitRatio,Price,PriceChangeRatio,InOutRatioNumber,Value,YearReturn,MonthReturn,WeekReturn,FinanceBalanceDif,ChipsField2" advise="1">
        <values cols="10">
          <value t="str">
            <val>0.66</val>
          </value>
          <value>
            <val>10.1</val>
          </value>
          <value>
            <val>1.1000000000000001</val>
          </value>
          <value t="str">
            <val>66.67%</val>
          </value>
          <value t="str">
            <val>34.2萬</val>
          </value>
          <value t="str">
            <val>-31.29</val>
          </value>
          <value t="str">
            <val>0.00</val>
          </value>
          <value t="str">
            <val>0.00</val>
          </value>
          <value>
            <val>0</val>
          </value>
          <value>
            <val>0</val>
          </value>
        </values>
      </ddeItem>
      <ddeItem name="305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-9</val>
          </value>
          <value t="str">
            <val>--</val>
          </value>
          <value t="str">
            <val>0.00</val>
          </value>
          <value>
            <val>0</val>
          </value>
          <value t="str">
            <val>-1.62</val>
          </value>
          <value t="str">
            <val>-0.07</val>
          </value>
          <value t="str">
            <val>立德</val>
          </value>
          <value t="str">
            <val>上市電子零組件</val>
          </value>
          <value t="str">
            <val>以消費性網通應用為主的電源供應器廠</val>
          </value>
        </values>
      </ddeItem>
      <ddeItem name="3058.TW-CName,InvestorConferenceDate,DateofMeetingofShareHolders,TradingDate" advise="1">
        <values cols="4">
          <value t="str">
            <val>立德</val>
          </value>
          <value t="str">
            <val>2022/12/09</val>
          </value>
          <value t="str">
            <val>2022/06/24</val>
          </value>
          <value t="str">
            <val>2022/12/22</val>
          </value>
        </values>
      </ddeItem>
      <ddeItem name="3058.TW-ID,Name,MarketValue,Capital,NetIncomeGrowthRate,OperIncomeGrowthRate,FinancialStatementsTime,TFXRatio,MonthlyNetSalesYoY,RevenueMonth" advise="1">
        <values cols="10">
          <value t="str">
            <val>3058</val>
          </value>
          <value t="str">
            <val>立德</val>
          </value>
          <value t="str">
            <val>15.9</val>
          </value>
          <value t="str">
            <val>15.86</val>
          </value>
          <value t="str">
            <val>28.92</val>
          </value>
          <value t="str">
            <val>52.57</val>
          </value>
          <value t="str">
            <val>2022/09</val>
          </value>
          <value t="str">
            <val>10.48</val>
          </value>
          <value t="str">
            <val>-10.24</val>
          </value>
          <value t="str">
            <val>2022/11</val>
          </value>
        </values>
      </ddeItem>
      <ddeItem name="3058.TW-OperatingProfitRatio,Price,PriceChangeRatio,InOutRatioNumber,Value,YearReturn,MonthReturn,WeekReturn,FinanceBalanceDif,ChipsField2" advise="1">
        <values cols="10">
          <value t="str">
            <val>-3.15</val>
          </value>
          <value>
            <val>10</val>
          </value>
          <value>
            <val>0.5</val>
          </value>
          <value t="str">
            <val>42.48%</val>
          </value>
          <value t="str">
            <val>113萬</val>
          </value>
          <value t="str">
            <val>-37.69</val>
          </value>
          <value t="str">
            <val>+4.28</val>
          </value>
          <value t="str">
            <val>-0.50</val>
          </value>
          <value>
            <val>0</val>
          </value>
          <value>
            <val>0</val>
          </value>
        </values>
      </ddeItem>
      <ddeItem name="3059.TW-ChipsField3,ChipsField1,ChipsField25,CashAndStockDividend,CashDividendYieldRate,ProfitFourSeason,ProfitSingle,CName,ExchangeIndustry,CompanyPos" advise="1">
        <values cols="10">
          <value>
            <val>-121</val>
          </value>
          <value>
            <val>44</val>
          </value>
          <value t="str">
            <val>2022/09/21</val>
          </value>
          <value t="str">
            <val>0.69</val>
          </value>
          <value>
            <val>2.06</val>
          </value>
          <value t="str">
            <val>1.41</val>
          </value>
          <value t="str">
            <val>0.46</val>
          </value>
          <value t="str">
            <val>華晶科</val>
          </value>
          <value t="str">
            <val>上市光電</val>
          </value>
          <value t="str">
            <val>轉型以車用鏡頭、影像晶片與醫療產品為主軸</val>
          </value>
        </values>
      </ddeItem>
      <ddeItem name="3059.TW-CName,InvestorConferenceDate,DateofMeetingofShareHolders,TradingDate" advise="1">
        <values cols="4">
          <value t="str">
            <val>華晶科</val>
          </value>
          <value t="str">
            <val>--</val>
          </value>
          <value t="str">
            <val>2022/06/17</val>
          </value>
          <value t="str">
            <val>2022/12/22</val>
          </value>
        </values>
      </ddeItem>
      <ddeItem name="3059.TW-ID,Name,MarketValue,Capital,NetIncomeGrowthRate,OperIncomeGrowthRate,FinancialStatementsTime,TFXRatio,MonthlyNetSalesYoY,RevenueMonth" advise="1">
        <values cols="10">
          <value t="str">
            <val>3059</val>
          </value>
          <value t="str">
            <val>華晶科</val>
          </value>
          <value t="str">
            <val>93.6</val>
          </value>
          <value t="str">
            <val>27.88</val>
          </value>
          <value t="str">
            <val>34.99</val>
          </value>
          <value t="str">
            <val>31.31</val>
          </value>
          <value t="str">
            <val>2022/09</val>
          </value>
          <value t="str">
            <val>-9.59</val>
          </value>
          <value t="str">
            <val>60.09</val>
          </value>
          <value t="str">
            <val>2022/11</val>
          </value>
        </values>
      </ddeItem>
      <ddeItem name="3059.TW-OperatingProfitRatio,Price,PriceChangeRatio,InOutRatioNumber,Value,YearReturn,MonthReturn,WeekReturn,FinanceBalanceDif,ChipsField2" advise="1">
        <values cols="10">
          <value t="str">
            <val>2.74</val>
          </value>
          <value>
            <val>33.549999999999997</val>
          </value>
          <value>
            <val>1.05</val>
          </value>
          <value t="str">
            <val>45.51%</val>
          </value>
          <value t="str">
            <val>3264萬</val>
          </value>
          <value t="str">
            <val>-27.17</val>
          </value>
          <value t="str">
            <val>-8.21</val>
          </value>
          <value t="str">
            <val>-7.45</val>
          </value>
          <value>
            <val>-33</val>
          </value>
          <value>
            <val>0</val>
          </value>
        </values>
      </ddeItem>
      <ddeItem name="3060.TW-ChipsField3,ChipsField1,ChipsField25,CashAndStockDividend,CashDividendYieldRate,ProfitFourSeason,ProfitSingle,CName,ExchangeIndustry,CompanyPos" advise="1">
        <values cols="10">
          <value>
            <val>-6</val>
          </value>
          <value>
            <val>46</val>
          </value>
          <value t="str">
            <val>2022/07/08</val>
          </value>
          <value t="str">
            <val>1.00</val>
          </value>
          <value>
            <val>6.06</val>
          </value>
          <value t="str">
            <val>1.29</val>
          </value>
          <value t="str">
            <val>0.09</val>
          </value>
          <value t="str">
            <val>銘異</val>
          </value>
          <value t="str">
            <val>上市電腦及週邊設備</val>
          </value>
          <value t="str">
            <val>台灣最大硬碟零組件製造商，主要產品為音圈馬達</val>
          </value>
        </values>
      </ddeItem>
      <ddeItem name="3060.TW-CName,InvestorConferenceDate,DateofMeetingofShareHolders,TradingDate" advise="1">
        <values cols="4">
          <value t="str">
            <val>銘異</val>
          </value>
          <value t="str">
            <val>2022/12/15</val>
          </value>
          <value t="str">
            <val>2022/06/14</val>
          </value>
          <value t="str">
            <val>2022/12/22</val>
          </value>
        </values>
      </ddeItem>
      <ddeItem name="3060.TW-ID,Name,MarketValue,Capital,NetIncomeGrowthRate,OperIncomeGrowthRate,FinancialStatementsTime,TFXRatio,MonthlyNetSalesYoY,RevenueMonth" advise="1">
        <values cols="10">
          <value t="str">
            <val>3060</val>
          </value>
          <value t="str">
            <val>銘異</val>
          </value>
          <value t="str">
            <val>22.7</val>
          </value>
          <value t="str">
            <val>13.76</val>
          </value>
          <value t="str">
            <val>-14.09</val>
          </value>
          <value t="str">
            <val>-114.90</val>
          </value>
          <value t="str">
            <val>2022/09</val>
          </value>
          <value t="str">
            <val>-27.68</val>
          </value>
          <value t="str">
            <val>-56.58</val>
          </value>
          <value t="str">
            <val>2022/11</val>
          </value>
        </values>
      </ddeItem>
      <ddeItem name="3060.TW-OperatingProfitRatio,Price,PriceChangeRatio,InOutRatioNumber,Value,YearReturn,MonthReturn,WeekReturn,FinanceBalanceDif,ChipsField2" advise="1">
        <values cols="10">
          <value t="str">
            <val>-0.46</val>
          </value>
          <value>
            <val>16.5</val>
          </value>
          <value>
            <val>0.61</val>
          </value>
          <value t="str">
            <val>36.56%</val>
          </value>
          <value t="str">
            <val>158萬</val>
          </value>
          <value t="str">
            <val>-35.06</val>
          </value>
          <value t="str">
            <val>-2.37</val>
          </value>
          <value t="str">
            <val>-3.79</val>
          </value>
          <value>
            <val>-7</val>
          </value>
          <value>
            <val>0</val>
          </value>
        </values>
      </ddeItem>
      <ddeItem name="3062.TW-ChipsField3,ChipsField1,ChipsField25,CashAndStockDividend,CashDividendYieldRate,ProfitFourSeason,ProfitSingle,CName,ExchangeIndustry,CompanyPos" advise="1">
        <values cols="10">
          <value>
            <val>-26</val>
          </value>
          <value>
            <val>42</val>
          </value>
          <value t="str">
            <val>2022/08/02</val>
          </value>
          <value t="str">
            <val>0.05</val>
          </value>
          <value>
            <val>0.21</val>
          </value>
          <value t="str">
            <val>-0.51</val>
          </value>
          <value t="str">
            <val>0.16</val>
          </value>
          <value t="str">
            <val>建漢</val>
          </value>
          <value t="str">
            <val>上市通信網路</val>
          </value>
          <value t="str">
            <val>鴻海投資的無線與寬頻網路設備製造商</val>
          </value>
        </values>
      </ddeItem>
      <ddeItem name="3062.TW-CName,InvestorConferenceDate,DateofMeetingofShareHolders,TradingDate" advise="1">
        <values cols="4">
          <value t="str">
            <val>建漢</val>
          </value>
          <value t="str">
            <val>2021/12/24</val>
          </value>
          <value t="str">
            <val>2022/06/24</val>
          </value>
          <value t="str">
            <val>2022/12/22</val>
          </value>
        </values>
      </ddeItem>
      <ddeItem name="3062.TW-ID,Name,MarketValue,Capital,NetIncomeGrowthRate,OperIncomeGrowthRate,FinancialStatementsTime,TFXRatio,MonthlyNetSalesYoY,RevenueMonth" advise="1">
        <values cols="10">
          <value t="str">
            <val>3062</val>
          </value>
          <value t="str">
            <val>建漢</val>
          </value>
          <value t="str">
            <val>77.6</val>
          </value>
          <value t="str">
            <val>33.02</val>
          </value>
          <value t="str">
            <val>-390.63</val>
          </value>
          <value t="str">
            <val>-23.66</val>
          </value>
          <value t="str">
            <val>2022/09</val>
          </value>
          <value t="str">
            <val>10.42</val>
          </value>
          <value t="str">
            <val>102.72</val>
          </value>
          <value t="str">
            <val>2022/11</val>
          </value>
        </values>
      </ddeItem>
      <ddeItem name="3062.TW-OperatingProfitRatio,Price,PriceChangeRatio,InOutRatioNumber,Value,YearReturn,MonthReturn,WeekReturn,FinanceBalanceDif,ChipsField2" advise="1">
        <values cols="10">
          <value t="str">
            <val>-5.15</val>
          </value>
          <value>
            <val>23.5</val>
          </value>
          <value>
            <val>1.08</val>
          </value>
          <value t="str">
            <val>45.53%</val>
          </value>
          <value t="str">
            <val>3380萬</val>
          </value>
          <value t="str">
            <val>-21.14</val>
          </value>
          <value t="str">
            <val>+1.73</val>
          </value>
          <value t="str">
            <val>-5.24</val>
          </value>
          <value>
            <val>-121</val>
          </value>
          <value>
            <val>0</val>
          </value>
        </values>
      </ddeItem>
      <ddeItem name="3090.TW-ChipsField3,ChipsField1,ChipsField25,CashAndStockDividend,CashDividendYieldRate,ProfitFourSeason,ProfitSingle,CName,ExchangeIndustry,CompanyPos" advise="1">
        <values cols="10">
          <value>
            <val>-14</val>
          </value>
          <value>
            <val>8</val>
          </value>
          <value t="str">
            <val>2022/07/04</val>
          </value>
          <value t="str">
            <val>4.00</val>
          </value>
          <value>
            <val>7.52</val>
          </value>
          <value t="str">
            <val>8.41</val>
          </value>
          <value t="str">
            <val>4.57</val>
          </value>
          <value t="str">
            <val>日電貿</val>
          </value>
          <value t="str">
            <val>上市電子零組件</val>
          </value>
          <value t="str">
            <val>台灣最大的被動元件代理商</val>
          </value>
        </values>
      </ddeItem>
      <ddeItem name="3090.TW-CName,InvestorConferenceDate,DateofMeetingofShareHolders,TradingDate" advise="1">
        <values cols="4">
          <value t="str">
            <val>日電貿</val>
          </value>
          <value t="str">
            <val>2022/11/15</val>
          </value>
          <value t="str">
            <val>2022/06/15</val>
          </value>
          <value t="str">
            <val>2022/12/22</val>
          </value>
        </values>
      </ddeItem>
      <ddeItem name="3090.TW-ID,Name,MarketValue,Capital,NetIncomeGrowthRate,OperIncomeGrowthRate,FinancialStatementsTime,TFXRatio,MonthlyNetSalesYoY,RevenueMonth" advise="1">
        <values cols="10">
          <value t="str">
            <val>3090</val>
          </value>
          <value t="str">
            <val>日電貿</val>
          </value>
          <value t="str">
            <val>97.2</val>
          </value>
          <value t="str">
            <val>21.27</val>
          </value>
          <value t="str">
            <val>98.76</val>
          </value>
          <value t="str">
            <val>-27.14</val>
          </value>
          <value t="str">
            <val>2022/09</val>
          </value>
          <value t="str">
            <val>5.60</val>
          </value>
          <value t="str">
            <val>9.02</val>
          </value>
          <value t="str">
            <val>2022/11</val>
          </value>
        </values>
      </ddeItem>
      <ddeItem name="3090.TW-OperatingProfitRatio,Price,PriceChangeRatio,InOutRatioNumber,Value,YearReturn,MonthReturn,WeekReturn,FinanceBalanceDif,ChipsField2" advise="1">
        <values cols="10">
          <value t="str">
            <val>8.49</val>
          </value>
          <value>
            <val>53.2</val>
          </value>
          <value>
            <val>1.1399999999999999</val>
          </value>
          <value t="str">
            <val>58.70%</val>
          </value>
          <value t="str">
            <val>1485萬</val>
          </value>
          <value t="str">
            <val>+9.59</val>
          </value>
          <value t="str">
            <val>+2.90</val>
          </value>
          <value t="str">
            <val>-1.12</val>
          </value>
          <value>
            <val>-25</val>
          </value>
          <value>
            <val>0</val>
          </value>
        </values>
      </ddeItem>
      <ddeItem name="3092.TW-ChipsField3,ChipsField1,ChipsField25,CashAndStockDividend,CashDividendYieldRate,ProfitFourSeason,ProfitSingle,CName,ExchangeIndustry,CompanyPos" advise="1">
        <values cols="10">
          <value>
            <val>-10</val>
          </value>
          <value>
            <val>-8</val>
          </value>
          <value t="str">
            <val>--</val>
          </value>
          <value t="str">
            <val>0.00</val>
          </value>
          <value>
            <val>0</val>
          </value>
          <value t="str">
            <val>1.53</val>
          </value>
          <value t="str">
            <val>0.59</val>
          </value>
          <value t="str">
            <val>鴻碩</val>
          </value>
          <value t="str">
            <val>上市電子零組件</val>
          </value>
          <value t="str">
            <val>全球最大監視器用連接線供應商</val>
          </value>
        </values>
      </ddeItem>
      <ddeItem name="3092.TW-CName,InvestorConferenceDate,DateofMeetingofShareHolders,TradingDate" advise="1">
        <values cols="4">
          <value t="str">
            <val>鴻碩</val>
          </value>
          <value t="str">
            <val>2022/11/25</val>
          </value>
          <value t="str">
            <val>2022/05/26</val>
          </value>
          <value t="str">
            <val>2022/12/22</val>
          </value>
        </values>
      </ddeItem>
      <ddeItem name="3092.TW-ID,Name,MarketValue,Capital,NetIncomeGrowthRate,OperIncomeGrowthRate,FinancialStatementsTime,TFXRatio,MonthlyNetSalesYoY,RevenueMonth" advise="1">
        <values cols="10">
          <value t="str">
            <val>3092</val>
          </value>
          <value t="str">
            <val>鴻碩</val>
          </value>
          <value t="str">
            <val>31.8</val>
          </value>
          <value t="str">
            <val>9.32</val>
          </value>
          <value t="str">
            <val>2479.27</val>
          </value>
          <value t="str">
            <val>521.36</val>
          </value>
          <value t="str">
            <val>2022/09</val>
          </value>
          <value t="str">
            <val>-13.37</val>
          </value>
          <value t="str">
            <val>-39.83</val>
          </value>
          <value t="str">
            <val>2022/11</val>
          </value>
        </values>
      </ddeItem>
      <ddeItem name="3092.TW-OperatingProfitRatio,Price,PriceChangeRatio,InOutRatioNumber,Value,YearReturn,MonthReturn,WeekReturn,FinanceBalanceDif,ChipsField2" advise="1">
        <values cols="10">
          <value t="str">
            <val>5.49</val>
          </value>
          <value>
            <val>34.1</val>
          </value>
          <value>
            <val>0.59</val>
          </value>
          <value t="str">
            <val>44.58%</val>
          </value>
          <value t="str">
            <val>568萬</val>
          </value>
          <value t="str">
            <val>-34.42</val>
          </value>
          <value t="str">
            <val>-4.88</val>
          </value>
          <value t="str">
            <val>-7.46</val>
          </value>
          <value>
            <val>-18</val>
          </value>
          <value>
            <val>0</val>
          </value>
        </values>
      </ddeItem>
      <ddeItem name="3094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-1</val>
          </value>
          <value t="str">
            <val>2022/07/27</val>
          </value>
          <value t="str">
            <val>0.99</val>
          </value>
          <value>
            <val>4.04</val>
          </value>
          <value t="str">
            <val>0.92</val>
          </value>
          <value t="str">
            <val>0.23</val>
          </value>
          <value t="str">
            <val>聯傑</val>
          </value>
          <value t="str">
            <val>上市半導體</val>
          </value>
          <value t="str">
            <val>聯電旗下嵌入式乙太網路IC設計廠商</val>
          </value>
        </values>
      </ddeItem>
      <ddeItem name="3094.TW-CName,InvestorConferenceDate,DateofMeetingofShareHolders,TradingDate" advise="1">
        <values cols="4">
          <value t="str">
            <val>聯傑</val>
          </value>
          <value t="str">
            <val>2022/12/16</val>
          </value>
          <value t="str">
            <val>2022/06/29</val>
          </value>
          <value t="str">
            <val>2022/12/22</val>
          </value>
        </values>
      </ddeItem>
      <ddeItem name="3094.TW-ID,Name,MarketValue,Capital,NetIncomeGrowthRate,OperIncomeGrowthRate,FinancialStatementsTime,TFXRatio,MonthlyNetSalesYoY,RevenueMonth" advise="1">
        <values cols="10">
          <value t="str">
            <val>3094</val>
          </value>
          <value t="str">
            <val>聯傑</val>
          </value>
          <value t="str">
            <val>20.4</val>
          </value>
          <value t="str">
            <val>8.31</val>
          </value>
          <value t="str">
            <val>11.29</val>
          </value>
          <value t="str">
            <val>20.75</val>
          </value>
          <value t="str">
            <val>2022/09</val>
          </value>
          <value t="str">
            <val>-14.15</val>
          </value>
          <value t="str">
            <val>-1.24</val>
          </value>
          <value t="str">
            <val>2022/11</val>
          </value>
        </values>
      </ddeItem>
      <ddeItem name="3094.TW-OperatingProfitRatio,Price,PriceChangeRatio,InOutRatioNumber,Value,YearReturn,MonthReturn,WeekReturn,FinanceBalanceDif,ChipsField2" advise="1">
        <values cols="10">
          <value t="str">
            <val>23.09</val>
          </value>
          <value>
            <val>24.5</val>
          </value>
          <value>
            <val>0.82</val>
          </value>
          <value t="str">
            <val>56.25%</val>
          </value>
          <value t="str">
            <val>165萬</val>
          </value>
          <value t="str">
            <val>-29.42</val>
          </value>
          <value t="str">
            <val>-4.48</val>
          </value>
          <value t="str">
            <val>-4.67</val>
          </value>
          <value>
            <val>0</val>
          </value>
          <value>
            <val>0</val>
          </value>
        </values>
      </ddeItem>
      <ddeItem name="313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-6</val>
          </value>
          <value t="str">
            <val>2022/07/14</val>
          </value>
          <value t="str">
            <val>11.16</val>
          </value>
          <value>
            <val>5.39</val>
          </value>
          <value t="str">
            <val>14.15</val>
          </value>
          <value t="str">
            <val>3.64</val>
          </value>
          <value t="str">
            <val>一零四</val>
          </value>
          <value t="str">
            <val>上市資訊服務</val>
          </value>
          <value t="str">
            <val>台灣人力資源網站第一品牌</val>
          </value>
        </values>
      </ddeItem>
      <ddeItem name="3130.TW-CName,InvestorConferenceDate,DateofMeetingofShareHolders,TradingDate" advise="1">
        <values cols="4">
          <value t="str">
            <val>一零四</val>
          </value>
          <value t="str">
            <val>2022/12/21</val>
          </value>
          <value t="str">
            <val>2022/05/26</val>
          </value>
          <value t="str">
            <val>2022/12/22</val>
          </value>
        </values>
      </ddeItem>
      <ddeItem name="3130.TW-ID,Name,MarketValue,Capital,NetIncomeGrowthRate,OperIncomeGrowthRate,FinancialStatementsTime,TFXRatio,MonthlyNetSalesYoY,RevenueMonth" advise="1">
        <values cols="10">
          <value t="str">
            <val>3130</val>
          </value>
          <value t="str">
            <val>一零四</val>
          </value>
          <value t="str">
            <val>68.7</val>
          </value>
          <value t="str">
            <val>3.32</val>
          </value>
          <value t="str">
            <val>36.17</val>
          </value>
          <value t="str">
            <val>41.20</val>
          </value>
          <value t="str">
            <val>2022/09</val>
          </value>
          <value t="str">
            <val>-4.13</val>
          </value>
          <value t="str">
            <val>9.79</val>
          </value>
          <value t="str">
            <val>2022/11</val>
          </value>
        </values>
      </ddeItem>
      <ddeItem name="3130.TW-OperatingProfitRatio,Price,PriceChangeRatio,InOutRatioNumber,Value,YearReturn,MonthReturn,WeekReturn,FinanceBalanceDif,ChipsField2" advise="1">
        <values cols="10">
          <value t="str">
            <val>26.69</val>
          </value>
          <value>
            <val>207</val>
          </value>
          <value>
            <val>0.49</val>
          </value>
          <value t="str">
            <val>50.00%</val>
          </value>
          <value t="str">
            <val>292萬</val>
          </value>
          <value t="str">
            <val>+24.81</val>
          </value>
          <value t="str">
            <val>+8.38</val>
          </value>
          <value t="str">
            <val>+1.97</val>
          </value>
          <value>
            <val>0</val>
          </value>
          <value>
            <val>0</val>
          </value>
        </values>
      </ddeItem>
      <ddeItem name="313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47</val>
          </value>
          <value t="str">
            <val>2022/08/10</val>
          </value>
          <value t="str">
            <val>3.00</val>
          </value>
          <value>
            <val>2.2599999999999998</val>
          </value>
          <value t="str">
            <val>5.22</val>
          </value>
          <value t="str">
            <val>1.96</val>
          </value>
          <value t="str">
            <val>耀登</val>
          </value>
          <value t="str">
            <val>上市通信網路</val>
          </value>
          <value t="str">
            <val>台灣天線製造、儀器設備代理廠商</val>
          </value>
        </values>
      </ddeItem>
      <ddeItem name="3138.TW-CName,InvestorConferenceDate,DateofMeetingofShareHolders,TradingDate" advise="1">
        <values cols="4">
          <value t="str">
            <val>耀登</val>
          </value>
          <value t="str">
            <val>2022/11/24</val>
          </value>
          <value t="str">
            <val>2022/06/27</val>
          </value>
          <value t="str">
            <val>2022/12/22</val>
          </value>
        </values>
      </ddeItem>
      <ddeItem name="3138.TW-ID,Name,MarketValue,Capital,NetIncomeGrowthRate,OperIncomeGrowthRate,FinancialStatementsTime,TFXRatio,MonthlyNetSalesYoY,RevenueMonth" advise="1">
        <values cols="10">
          <value t="str">
            <val>3138</val>
          </value>
          <value t="str">
            <val>耀登</val>
          </value>
          <value t="str">
            <val>62.1</val>
          </value>
          <value t="str">
            <val>4.67</val>
          </value>
          <value t="str">
            <val>-19.15</val>
          </value>
          <value t="str">
            <val>-4.21</val>
          </value>
          <value t="str">
            <val>2022/09</val>
          </value>
          <value t="str">
            <val>20.76</val>
          </value>
          <value t="str">
            <val>32.93</val>
          </value>
          <value t="str">
            <val>2022/11</val>
          </value>
        </values>
      </ddeItem>
      <ddeItem name="3138.TW-OperatingProfitRatio,Price,PriceChangeRatio,InOutRatioNumber,Value,YearReturn,MonthReturn,WeekReturn,FinanceBalanceDif,ChipsField2" advise="1">
        <values cols="10">
          <value t="str">
            <val>8.23</val>
          </value>
          <value>
            <val>133</val>
          </value>
          <value>
            <val>0.38</val>
          </value>
          <value t="str">
            <val>29.29%</val>
          </value>
          <value t="str">
            <val>3219萬</val>
          </value>
          <value t="str">
            <val>-40.37</val>
          </value>
          <value t="str">
            <val>-1.12</val>
          </value>
          <value t="str">
            <val>-6.67</val>
          </value>
          <value>
            <val>-29</val>
          </value>
          <value>
            <val>0</val>
          </value>
        </values>
      </ddeItem>
      <ddeItem name="314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-124</val>
          </value>
          <value t="str">
            <val>--</val>
          </value>
          <value t="str">
            <val>0.00</val>
          </value>
          <value>
            <val>0</val>
          </value>
          <value t="str">
            <val>-1.41</val>
          </value>
          <value t="str">
            <val>-0.26</val>
          </value>
          <value t="str">
            <val>正達</val>
          </value>
          <value t="str">
            <val>上市光電</val>
          </value>
          <value t="str">
            <val>鴻海集團旗下之玻璃加工龍頭廠商</val>
          </value>
        </values>
      </ddeItem>
      <ddeItem name="3149.TW-CName,InvestorConferenceDate,DateofMeetingofShareHolders,TradingDate" advise="1">
        <values cols="4">
          <value t="str">
            <val>正達</val>
          </value>
          <value t="str">
            <val>2021/03/29</val>
          </value>
          <value t="str">
            <val>2022/06/24</val>
          </value>
          <value t="str">
            <val>2022/12/22</val>
          </value>
        </values>
      </ddeItem>
      <ddeItem name="3149.TW-ID,Name,MarketValue,Capital,NetIncomeGrowthRate,OperIncomeGrowthRate,FinancialStatementsTime,TFXRatio,MonthlyNetSalesYoY,RevenueMonth" advise="1">
        <values cols="10">
          <value t="str">
            <val>3149</val>
          </value>
          <value t="str">
            <val>正達</val>
          </value>
          <value t="str">
            <val>43.0</val>
          </value>
          <value t="str">
            <val>22.40</val>
          </value>
          <value t="str">
            <val>-860.51</val>
          </value>
          <value t="str">
            <val>-184.69</val>
          </value>
          <value t="str">
            <val>2022/09</val>
          </value>
          <value t="str">
            <val>4.42</val>
          </value>
          <value t="str">
            <val>-1.87</val>
          </value>
          <value t="str">
            <val>2022/11</val>
          </value>
        </values>
      </ddeItem>
      <ddeItem name="3149.TW-OperatingProfitRatio,Price,PriceChangeRatio,InOutRatioNumber,Value,YearReturn,MonthReturn,WeekReturn,FinanceBalanceDif,ChipsField2" advise="1">
        <values cols="10">
          <value t="str">
            <val>-17.35</val>
          </value>
          <value>
            <val>19.25</val>
          </value>
          <value>
            <val>1.05</val>
          </value>
          <value t="str">
            <val>48.05%</val>
          </value>
          <value t="str">
            <val>844萬</val>
          </value>
          <value t="str">
            <val>-38.20</val>
          </value>
          <value t="str">
            <val>-6.55</val>
          </value>
          <value t="str">
            <val>-4.94</val>
          </value>
          <value>
            <val>0</val>
          </value>
          <value>
            <val>0</val>
          </value>
        </values>
      </ddeItem>
      <ddeItem name="3164.TW-ChipsField3,ChipsField1,ChipsField25,CashAndStockDividend,CashDividendYieldRate,ProfitFourSeason,ProfitSingle,CName,ExchangeIndustry,CompanyPos" advise="1">
        <values cols="10">
          <value>
            <val>-2</val>
          </value>
          <value>
            <val>-43</val>
          </value>
          <value t="str">
            <val>2022/06/24</val>
          </value>
          <value t="str">
            <val>1.10</val>
          </value>
          <value>
            <val>4.3899999999999997</val>
          </value>
          <value t="str">
            <val>1.01</val>
          </value>
          <value t="str">
            <val>0.09</val>
          </value>
          <value t="str">
            <val>景岳</val>
          </value>
          <value t="str">
            <val>上市生技醫療</val>
          </value>
          <value t="str">
            <val>亞洲第一家益生菌原料藥GMP廠</val>
          </value>
        </values>
      </ddeItem>
      <ddeItem name="3164.TW-CName,InvestorConferenceDate,DateofMeetingofShareHolders,TradingDate" advise="1">
        <values cols="4">
          <value t="str">
            <val>景岳</val>
          </value>
          <value t="str">
            <val>2022/12/16</val>
          </value>
          <value t="str">
            <val>2022/05/27</val>
          </value>
          <value t="str">
            <val>2022/12/22</val>
          </value>
        </values>
      </ddeItem>
      <ddeItem name="3164.TW-ID,Name,MarketValue,Capital,NetIncomeGrowthRate,OperIncomeGrowthRate,FinancialStatementsTime,TFXRatio,MonthlyNetSalesYoY,RevenueMonth" advise="1">
        <values cols="10">
          <value t="str">
            <val>3164</val>
          </value>
          <value t="str">
            <val>景岳</val>
          </value>
          <value t="str">
            <val>21.6</val>
          </value>
          <value t="str">
            <val>8.64</val>
          </value>
          <value t="str">
            <val>-45.41</val>
          </value>
          <value t="str">
            <val>-55.65</val>
          </value>
          <value t="str">
            <val>2022/09</val>
          </value>
          <value t="str">
            <val>16.10</val>
          </value>
          <value t="str">
            <val>-13.76</val>
          </value>
          <value t="str">
            <val>2022/11</val>
          </value>
        </values>
      </ddeItem>
      <ddeItem name="3164.TW-OperatingProfitRatio,Price,PriceChangeRatio,InOutRatioNumber,Value,YearReturn,MonthReturn,WeekReturn,FinanceBalanceDif,ChipsField2" advise="1">
        <values cols="10">
          <value t="str">
            <val>15.08</val>
          </value>
          <value>
            <val>25.05</val>
          </value>
          <value>
            <val>1.21</val>
          </value>
          <value t="str">
            <val>45.82%</val>
          </value>
          <value t="str">
            <val>695萬</val>
          </value>
          <value t="str">
            <val>+8.69</val>
          </value>
          <value t="str">
            <val>+13.09</val>
          </value>
          <value t="str">
            <val>+1.42</val>
          </value>
          <value>
            <val>126</val>
          </value>
          <value>
            <val>0</val>
          </value>
        </values>
      </ddeItem>
      <ddeItem name="3167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-4</val>
          </value>
          <value t="str">
            <val>2022/08/02</val>
          </value>
          <value t="str">
            <val>4.00</val>
          </value>
          <value>
            <val>9.84</val>
          </value>
          <value t="str">
            <val>5.04</val>
          </value>
          <value t="str">
            <val>0.21</val>
          </value>
          <value t="str">
            <val>大量</val>
          </value>
          <value t="str">
            <val>上市電機機械</val>
          </value>
          <value t="str">
            <val>全球PCB成型機龍頭廠</val>
          </value>
        </values>
      </ddeItem>
      <ddeItem name="3167.TW-CName,InvestorConferenceDate,DateofMeetingofShareHolders,TradingDate" advise="1">
        <values cols="4">
          <value t="str">
            <val>大量</val>
          </value>
          <value t="str">
            <val>2022/09/30</val>
          </value>
          <value t="str">
            <val>2022/05/23</val>
          </value>
          <value t="str">
            <val>2022/12/22</val>
          </value>
        </values>
      </ddeItem>
      <ddeItem name="3167.TW-ID,Name,MarketValue,Capital,NetIncomeGrowthRate,OperIncomeGrowthRate,FinancialStatementsTime,TFXRatio,MonthlyNetSalesYoY,RevenueMonth" advise="1">
        <values cols="10">
          <value t="str">
            <val>3167</val>
          </value>
          <value t="str">
            <val>大量</val>
          </value>
          <value t="str">
            <val>32.6</val>
          </value>
          <value t="str">
            <val>8.01</val>
          </value>
          <value t="str">
            <val>-10.19</val>
          </value>
          <value t="str">
            <val>-77.51</val>
          </value>
          <value t="str">
            <val>2022/09</val>
          </value>
          <value t="str">
            <val>-4.40</val>
          </value>
          <value t="str">
            <val>-59.11</val>
          </value>
          <value t="str">
            <val>2022/11</val>
          </value>
        </values>
      </ddeItem>
      <ddeItem name="3167.TW-OperatingProfitRatio,Price,PriceChangeRatio,InOutRatioNumber,Value,YearReturn,MonthReturn,WeekReturn,FinanceBalanceDif,ChipsField2" advise="1">
        <values cols="10">
          <value t="str">
            <val>5.31</val>
          </value>
          <value>
            <val>40.65</val>
          </value>
          <value>
            <val>-0.61</val>
          </value>
          <value t="str">
            <val>22.22%</val>
          </value>
          <value t="str">
            <val>256萬</val>
          </value>
          <value t="str">
            <val>-52.81</val>
          </value>
          <value t="str">
            <val>-4.35</val>
          </value>
          <value t="str">
            <val>-5.13</val>
          </value>
          <value>
            <val>4</val>
          </value>
          <value>
            <val>0</val>
          </value>
        </values>
      </ddeItem>
      <ddeItem name="3189.TW-ChipsField3,ChipsField1,ChipsField25,CashAndStockDividend,CashDividendYieldRate,ProfitFourSeason,ProfitSingle,CName,ExchangeIndustry,CompanyPos" advise="1">
        <values cols="10">
          <value>
            <val>100</val>
          </value>
          <value>
            <val>-7842</val>
          </value>
          <value t="str">
            <val>2022/07/28</val>
          </value>
          <value t="str">
            <val>4.50</val>
          </value>
          <value>
            <val>4.21</val>
          </value>
          <value t="str">
            <val>15.86</val>
          </value>
          <value t="str">
            <val>4.79</val>
          </value>
          <value t="str">
            <val>景碩</val>
          </value>
          <value t="str">
            <val>上市半導體</val>
          </value>
          <value t="str">
            <val>全球第二大的FC CSP載板廠</val>
          </value>
        </values>
      </ddeItem>
      <ddeItem name="3189.TW-CName,InvestorConferenceDate,DateofMeetingofShareHolders,TradingDate" advise="1">
        <values cols="4">
          <value t="str">
            <val>景碩</val>
          </value>
          <value t="str">
            <val>2022/01/06</val>
          </value>
          <value t="str">
            <val>2022/05/27</val>
          </value>
          <value t="str">
            <val>2022/12/22</val>
          </value>
        </values>
      </ddeItem>
      <ddeItem name="3189.TW-ID,Name,MarketValue,Capital,NetIncomeGrowthRate,OperIncomeGrowthRate,FinancialStatementsTime,TFXRatio,MonthlyNetSalesYoY,RevenueMonth" advise="1">
        <values cols="10">
          <value t="str">
            <val>3189</val>
          </value>
          <value t="str">
            <val>景碩</val>
          </value>
          <value t="str">
            <val>484.5</val>
          </value>
          <value t="str">
            <val>45.28</val>
          </value>
          <value t="str">
            <val>118.35</val>
          </value>
          <value t="str">
            <val>140.22</val>
          </value>
          <value t="str">
            <val>2022/09</val>
          </value>
          <value t="str">
            <val>-16.72</val>
          </value>
          <value t="str">
            <val>-14.10</val>
          </value>
          <value t="str">
            <val>2022/11</val>
          </value>
        </values>
      </ddeItem>
      <ddeItem name="3189.TW-OperatingProfitRatio,Price,PriceChangeRatio,InOutRatioNumber,Value,YearReturn,MonthReturn,WeekReturn,FinanceBalanceDif,ChipsField2" advise="1">
        <values cols="10">
          <value t="str">
            <val>23.39</val>
          </value>
          <value>
            <val>107</val>
          </value>
          <value>
            <val>0.47</val>
          </value>
          <value t="str">
            <val>58.98%</val>
          </value>
          <value t="str">
            <val>14.5億</val>
          </value>
          <value t="str">
            <val>-51.82</val>
          </value>
          <value t="str">
            <val>-8.55</val>
          </value>
          <value t="str">
            <val>-8.15</val>
          </value>
          <value>
            <val>837</val>
          </value>
          <value>
            <val>4023</val>
          </value>
        </values>
      </ddeItem>
      <ddeItem name="320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-13</val>
          </value>
          <value t="str">
            <val>2022/07/21</val>
          </value>
          <value t="str">
            <val>3.20</val>
          </value>
          <value>
            <val>8.98</val>
          </value>
          <value t="str">
            <val>5.36</val>
          </value>
          <value t="str">
            <val>1.40</val>
          </value>
          <value t="str">
            <val>全科</val>
          </value>
          <value t="str">
            <val>上市電子通路</val>
          </value>
          <value t="str">
            <val>為專業通訊元件設計及通路商</val>
          </value>
        </values>
      </ddeItem>
      <ddeItem name="3209.TW-CName,InvestorConferenceDate,DateofMeetingofShareHolders,TradingDate" advise="1">
        <values cols="4">
          <value t="str">
            <val>全科</val>
          </value>
          <value t="str">
            <val>2022/08/25</val>
          </value>
          <value t="str">
            <val>2022/06/21</val>
          </value>
          <value t="str">
            <val>2022/12/22</val>
          </value>
        </values>
      </ddeItem>
      <ddeItem name="3209.TW-ID,Name,MarketValue,Capital,NetIncomeGrowthRate,OperIncomeGrowthRate,FinancialStatementsTime,TFXRatio,MonthlyNetSalesYoY,RevenueMonth" advise="1">
        <values cols="10">
          <value t="str">
            <val>3209</val>
          </value>
          <value t="str">
            <val>全科</val>
          </value>
          <value t="str">
            <val>77.2</val>
          </value>
          <value t="str">
            <val>21.66</val>
          </value>
          <value t="str">
            <val>50.46</val>
          </value>
          <value t="str">
            <val>9.41</val>
          </value>
          <value t="str">
            <val>2022/09</val>
          </value>
          <value t="str">
            <val>-1.06</val>
          </value>
          <value t="str">
            <val>40.94</val>
          </value>
          <value t="str">
            <val>2022/11</val>
          </value>
        </values>
      </ddeItem>
      <ddeItem name="3209.TW-OperatingProfitRatio,Price,PriceChangeRatio,InOutRatioNumber,Value,YearReturn,MonthReturn,WeekReturn,FinanceBalanceDif,ChipsField2" advise="1">
        <values cols="10">
          <value t="str">
            <val>2.01</val>
          </value>
          <value>
            <val>35.65</val>
          </value>
          <value>
            <val>1.1299999999999999</val>
          </value>
          <value t="str">
            <val>56.52%</val>
          </value>
          <value t="str">
            <val>1269萬</val>
          </value>
          <value t="str">
            <val>+42.02</val>
          </value>
          <value t="str">
            <val>+3.78</val>
          </value>
          <value t="str">
            <val>-0.97</val>
          </value>
          <value>
            <val>13</val>
          </value>
          <value>
            <val>0</val>
          </value>
        </values>
      </ddeItem>
      <ddeItem name="322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</val>
          </value>
          <value t="str">
            <val>--</val>
          </value>
          <value t="str">
            <val>0.00</val>
          </value>
          <value>
            <val>0</val>
          </value>
          <value t="str">
            <val>-1.01</val>
          </value>
          <value t="str">
            <val>-0.09</val>
          </value>
          <value t="str">
            <val>晟鈦</val>
          </value>
          <value t="str">
            <val>上市電子零組件</val>
          </value>
          <value t="str">
            <val>以小量多樣為主PCB廠</val>
          </value>
        </values>
      </ddeItem>
      <ddeItem name="3229.TW-CName,InvestorConferenceDate,DateofMeetingofShareHolders,TradingDate" advise="1">
        <values cols="4">
          <value t="str">
            <val>晟鈦</val>
          </value>
          <value t="str">
            <val>2021/11/29</val>
          </value>
          <value t="str">
            <val>2022/06/01</val>
          </value>
          <value t="str">
            <val>2022/12/22</val>
          </value>
        </values>
      </ddeItem>
      <ddeItem name="3229.TW-ID,Name,MarketValue,Capital,NetIncomeGrowthRate,OperIncomeGrowthRate,FinancialStatementsTime,TFXRatio,MonthlyNetSalesYoY,RevenueMonth" advise="1">
        <values cols="10">
          <value t="str">
            <val>3229</val>
          </value>
          <value t="str">
            <val>晟鈦</val>
          </value>
          <value t="str">
            <val>6.4</val>
          </value>
          <value t="str">
            <val>6.43</val>
          </value>
          <value t="str">
            <val>47.22</val>
          </value>
          <value t="str">
            <val>19.63</val>
          </value>
          <value t="str">
            <val>2022/09</val>
          </value>
          <value t="str">
            <val>-12.20</val>
          </value>
          <value t="str">
            <val>124.86</val>
          </value>
          <value t="str">
            <val>2022/11</val>
          </value>
        </values>
      </ddeItem>
      <ddeItem name="3229.TW-OperatingProfitRatio,Price,PriceChangeRatio,InOutRatioNumber,Value,YearReturn,MonthReturn,WeekReturn,FinanceBalanceDif,ChipsField2" advise="1">
        <values cols="10">
          <value t="str">
            <val>-7.31</val>
          </value>
          <value>
            <val>19.8</val>
          </value>
          <value>
            <val>0</val>
          </value>
          <value t="str">
            <val>30.77%</val>
          </value>
          <value t="str">
            <val>25.6萬</val>
          </value>
          <value t="str">
            <val>+9.47</val>
          </value>
          <value t="str">
            <val>0.00</val>
          </value>
          <value t="str">
            <val>-2.46</val>
          </value>
          <value>
            <val>-4</val>
          </value>
          <value>
            <val>0</val>
          </value>
        </values>
      </ddeItem>
      <ddeItem name="3231.TW-ChipsField3,ChipsField1,ChipsField25,CashAndStockDividend,CashDividendYieldRate,ProfitFourSeason,ProfitSingle,CName,ExchangeIndustry,CompanyPos" advise="1">
        <values cols="10">
          <value>
            <val>47</val>
          </value>
          <value>
            <val>7328</val>
          </value>
          <value t="str">
            <val>2022/07/06</val>
          </value>
          <value t="str">
            <val>2.20</val>
          </value>
          <value>
            <val>7.3</val>
          </value>
          <value t="str">
            <val>4.48</val>
          </value>
          <value t="str">
            <val>1.33</val>
          </value>
          <value t="str">
            <val>緯創</val>
          </value>
          <value t="str">
            <val>上市電腦及週邊設備</val>
          </value>
          <value t="str">
            <val>全球前五大NB代工廠</val>
          </value>
        </values>
      </ddeItem>
      <ddeItem name="3231.TW-CName,InvestorConferenceDate,DateofMeetingofShareHolders,TradingDate" advise="1">
        <values cols="4">
          <value t="str">
            <val>緯創</val>
          </value>
          <value t="str">
            <val>2021/06/10</val>
          </value>
          <value t="str">
            <val>2022/06/17</val>
          </value>
          <value t="str">
            <val>2022/12/22</val>
          </value>
        </values>
      </ddeItem>
      <ddeItem name="3231.TW-ID,Name,MarketValue,Capital,NetIncomeGrowthRate,OperIncomeGrowthRate,FinancialStatementsTime,TFXRatio,MonthlyNetSalesYoY,RevenueMonth" advise="1">
        <values cols="10">
          <value t="str">
            <val>3231</val>
          </value>
          <value t="str">
            <val>緯創</val>
          </value>
          <value t="str">
            <val>874.8</val>
          </value>
          <value t="str">
            <val>290.16</val>
          </value>
          <value t="str">
            <val>58.27</val>
          </value>
          <value t="str">
            <val>54.41</val>
          </value>
          <value t="str">
            <val>2022/09</val>
          </value>
          <value t="str">
            <val>12.73</val>
          </value>
          <value t="str">
            <val>2.78</val>
          </value>
          <value t="str">
            <val>2022/11</val>
          </value>
        </values>
      </ddeItem>
      <ddeItem name="3231.TW-OperatingProfitRatio,Price,PriceChangeRatio,InOutRatioNumber,Value,YearReturn,MonthReturn,WeekReturn,FinanceBalanceDif,ChipsField2" advise="1">
        <values cols="10">
          <value t="str">
            <val>2.33</val>
          </value>
          <value>
            <val>30.15</val>
          </value>
          <value>
            <val>0.33</val>
          </value>
          <value t="str">
            <val>41.82%</val>
          </value>
          <value t="str">
            <val>7.06億</val>
          </value>
          <value t="str">
            <val>+13.67</val>
          </value>
          <value t="str">
            <val>+10.24</val>
          </value>
          <value t="str">
            <val>+3.43</val>
          </value>
          <value>
            <val>-21</val>
          </value>
          <value>
            <val>644</val>
          </value>
        </values>
      </ddeItem>
      <ddeItem name="3257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4</val>
          </value>
          <value t="str">
            <val>2022/05/27</val>
          </value>
          <value t="str">
            <val>5.00</val>
          </value>
          <value>
            <val>11.55</val>
          </value>
          <value t="str">
            <val>2.51</val>
          </value>
          <value t="str">
            <val>0.08</val>
          </value>
          <value t="str">
            <val>虹冠電</val>
          </value>
          <value t="str">
            <val>上市半導體</val>
          </value>
          <value t="str">
            <val>台灣AC-DC類比電源管理IC供應商</val>
          </value>
        </values>
      </ddeItem>
      <ddeItem name="3257.TW-CName,InvestorConferenceDate,DateofMeetingofShareHolders,TradingDate" advise="1">
        <values cols="4">
          <value t="str">
            <val>虹冠電</val>
          </value>
          <value t="str">
            <val>2022/12/19</val>
          </value>
          <value t="str">
            <val>2022/05/27</val>
          </value>
          <value t="str">
            <val>2022/12/22</val>
          </value>
        </values>
      </ddeItem>
      <ddeItem name="3257.TW-ID,Name,MarketValue,Capital,NetIncomeGrowthRate,OperIncomeGrowthRate,FinancialStatementsTime,TFXRatio,MonthlyNetSalesYoY,RevenueMonth" advise="1">
        <values cols="10">
          <value t="str">
            <val>3257</val>
          </value>
          <value t="str">
            <val>虹冠電</val>
          </value>
          <value t="str">
            <val>34.6</val>
          </value>
          <value t="str">
            <val>8.00</val>
          </value>
          <value t="str">
            <val>-62.92</val>
          </value>
          <value t="str">
            <val>-76.86</val>
          </value>
          <value t="str">
            <val>2022/09</val>
          </value>
          <value t="str">
            <val>23.40</val>
          </value>
          <value t="str">
            <val>-71.48</val>
          </value>
          <value t="str">
            <val>2022/11</val>
          </value>
        </values>
      </ddeItem>
      <ddeItem name="3257.TW-OperatingProfitRatio,Price,PriceChangeRatio,InOutRatioNumber,Value,YearReturn,MonthReturn,WeekReturn,FinanceBalanceDif,ChipsField2" advise="1">
        <values cols="10">
          <value t="str">
            <val>18.43</val>
          </value>
          <value>
            <val>43.3</val>
          </value>
          <value>
            <val>0.12</val>
          </value>
          <value t="str">
            <val>39.13%</val>
          </value>
          <value t="str">
            <val>100萬</val>
          </value>
          <value t="str">
            <val>-29.30</val>
          </value>
          <value t="str">
            <val>+9.34</val>
          </value>
          <value t="str">
            <val>-1.93</val>
          </value>
          <value>
            <val>2</val>
          </value>
          <value>
            <val>0</val>
          </value>
        </values>
      </ddeItem>
      <ddeItem name="3266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-4</val>
          </value>
          <value t="str">
            <val>--</val>
          </value>
          <value t="str">
            <val>0.00</val>
          </value>
          <value>
            <val>0</val>
          </value>
          <value t="str">
            <val>0.36</val>
          </value>
          <value t="str">
            <val>-0.03</val>
          </value>
          <value t="str">
            <val>昇陽</val>
          </value>
          <value t="str">
            <val>上市建材營造</val>
          </value>
          <value t="str">
            <val>推案集中於大台北地區之建商</val>
          </value>
        </values>
      </ddeItem>
      <ddeItem name="3266.TW-CName,InvestorConferenceDate,DateofMeetingofShareHolders,TradingDate" advise="1">
        <values cols="4">
          <value t="str">
            <val>昇陽</val>
          </value>
          <value t="str">
            <val>2022/11/23</val>
          </value>
          <value t="str">
            <val>2022/06/09</val>
          </value>
          <value t="str">
            <val>2022/12/22</val>
          </value>
        </values>
      </ddeItem>
      <ddeItem name="3266.TW-ID,Name,MarketValue,Capital,NetIncomeGrowthRate,OperIncomeGrowthRate,FinancialStatementsTime,TFXRatio,MonthlyNetSalesYoY,RevenueMonth" advise="1">
        <values cols="10">
          <value t="str">
            <val>3266</val>
          </value>
          <value t="str">
            <val>昇陽</val>
          </value>
          <value t="str">
            <val>41.7</val>
          </value>
          <value t="str">
            <val>35.23</val>
          </value>
          <value t="str">
            <val>-11.54</val>
          </value>
          <value t="str">
            <val>5.86</val>
          </value>
          <value t="str">
            <val>2022/09</val>
          </value>
          <value t="str">
            <val>33.94</val>
          </value>
          <value t="str">
            <val>125.57</val>
          </value>
          <value t="str">
            <val>2022/11</val>
          </value>
        </values>
      </ddeItem>
      <ddeItem name="3266.TW-OperatingProfitRatio,Price,PriceChangeRatio,InOutRatioNumber,Value,YearReturn,MonthReturn,WeekReturn,FinanceBalanceDif,ChipsField2" advise="1">
        <values cols="10">
          <value t="str">
            <val>6.58</val>
          </value>
          <value>
            <val>11.85</val>
          </value>
          <value>
            <val>0</val>
          </value>
          <value t="str">
            <val>13.33%</val>
          </value>
          <value t="str">
            <val>18.9萬</val>
          </value>
          <value t="str">
            <val>-12.87</val>
          </value>
          <value t="str">
            <val>+6.76</val>
          </value>
          <value t="str">
            <val>-1.66</val>
          </value>
          <value>
            <val>-2</val>
          </value>
          <value>
            <val>0</val>
          </value>
        </values>
      </ddeItem>
      <ddeItem name="329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11</val>
          </value>
          <value t="str">
            <val>--</val>
          </value>
          <value t="str">
            <val>0.00</val>
          </value>
          <value>
            <val>0</val>
          </value>
          <value t="str">
            <val>-1.10</val>
          </value>
          <value t="str">
            <val>0.28</val>
          </value>
          <value t="str">
            <val>勝德</val>
          </value>
          <value t="str">
            <val>上市電子零組件</val>
          </value>
          <value t="str">
            <val>以PC應用為主的電源保護器廠</val>
          </value>
        </values>
      </ddeItem>
      <ddeItem name="3296.TW-CName,InvestorConferenceDate,DateofMeetingofShareHolders,TradingDate" advise="1">
        <values cols="4">
          <value t="str">
            <val>勝德</val>
          </value>
          <value t="str">
            <val>2022/12/07</val>
          </value>
          <value t="str">
            <val>2022/06/14</val>
          </value>
          <value t="str">
            <val>2022/12/22</val>
          </value>
        </values>
      </ddeItem>
      <ddeItem name="3296.TW-ID,Name,MarketValue,Capital,NetIncomeGrowthRate,OperIncomeGrowthRate,FinancialStatementsTime,TFXRatio,MonthlyNetSalesYoY,RevenueMonth" advise="1">
        <values cols="10">
          <value t="str">
            <val>3296</val>
          </value>
          <value t="str">
            <val>勝德</val>
          </value>
          <value t="str">
            <val>15.5</val>
          </value>
          <value t="str">
            <val>9.67</val>
          </value>
          <value t="str">
            <val>66.28</val>
          </value>
          <value t="str">
            <val>0.67</val>
          </value>
          <value t="str">
            <val>2022/09</val>
          </value>
          <value t="str">
            <val>-2.21</val>
          </value>
          <value t="str">
            <val>-25.03</val>
          </value>
          <value t="str">
            <val>2022/11</val>
          </value>
        </values>
      </ddeItem>
      <ddeItem name="3296.TW-OperatingProfitRatio,Price,PriceChangeRatio,InOutRatioNumber,Value,YearReturn,MonthReturn,WeekReturn,FinanceBalanceDif,ChipsField2" advise="1">
        <values cols="10">
          <value t="str">
            <val>-5.49</val>
          </value>
          <value>
            <val>16</val>
          </value>
          <value>
            <val>1.27</val>
          </value>
          <value t="str">
            <val>58.33%</val>
          </value>
          <value t="str">
            <val>288萬</val>
          </value>
          <value t="str">
            <val>-12.81</val>
          </value>
          <value t="str">
            <val>-7.51</val>
          </value>
          <value t="str">
            <val>-1.23</val>
          </value>
          <value>
            <val>-19</val>
          </value>
          <value>
            <val>0</val>
          </value>
        </values>
      </ddeItem>
      <ddeItem name="3305.TW-ChipsField3,ChipsField1,ChipsField25,CashAndStockDividend,CashDividendYieldRate,ProfitFourSeason,ProfitSingle,CName,ExchangeIndustry,CompanyPos" advise="1">
        <values cols="10">
          <value>
            <val>-12</val>
          </value>
          <value>
            <val>-21</val>
          </value>
          <value t="str">
            <val>2022/07/07</val>
          </value>
          <value t="str">
            <val>2.50</val>
          </value>
          <value>
            <val>6.35</val>
          </value>
          <value t="str">
            <val>5.64</val>
          </value>
          <value t="str">
            <val>0.41</val>
          </value>
          <value t="str">
            <val>昇貿</val>
          </value>
          <value t="str">
            <val>上市其他電子</val>
          </value>
          <value t="str">
            <val>半導體封裝材料之錫膏、錫球生產商</val>
          </value>
        </values>
      </ddeItem>
      <ddeItem name="3305.TW-CName,InvestorConferenceDate,DateofMeetingofShareHolders,TradingDate" advise="1">
        <values cols="4">
          <value t="str">
            <val>昇貿</val>
          </value>
          <value t="str">
            <val>2022/12/12</val>
          </value>
          <value t="str">
            <val>2022/06/14</val>
          </value>
          <value t="str">
            <val>2022/12/22</val>
          </value>
        </values>
      </ddeItem>
      <ddeItem name="3305.TW-ID,Name,MarketValue,Capital,NetIncomeGrowthRate,OperIncomeGrowthRate,FinancialStatementsTime,TFXRatio,MonthlyNetSalesYoY,RevenueMonth" advise="1">
        <values cols="10">
          <value t="str">
            <val>3305</val>
          </value>
          <value t="str">
            <val>昇貿</val>
          </value>
          <value t="str">
            <val>52.8</val>
          </value>
          <value t="str">
            <val>13.42</val>
          </value>
          <value t="str">
            <val>26.81</val>
          </value>
          <value t="str">
            <val>-37.52</val>
          </value>
          <value t="str">
            <val>2022/09</val>
          </value>
          <value t="str">
            <val>4.95</val>
          </value>
          <value t="str">
            <val>-34.05</val>
          </value>
          <value t="str">
            <val>2022/11</val>
          </value>
        </values>
      </ddeItem>
      <ddeItem name="3305.TW-OperatingProfitRatio,Price,PriceChangeRatio,InOutRatioNumber,Value,YearReturn,MonthReturn,WeekReturn,FinanceBalanceDif,ChipsField2" advise="1">
        <values cols="10">
          <value t="str">
            <val>5.97</val>
          </value>
          <value>
            <val>39.35</val>
          </value>
          <value>
            <val>1.29</val>
          </value>
          <value t="str">
            <val>38.69%</val>
          </value>
          <value t="str">
            <val>540萬</val>
          </value>
          <value t="str">
            <val>-47.64</val>
          </value>
          <value t="str">
            <val>-0.63</val>
          </value>
          <value t="str">
            <val>-5.86</val>
          </value>
          <value>
            <val>4</val>
          </value>
          <value>
            <val>0</val>
          </value>
        </values>
      </ddeItem>
      <ddeItem name="330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-0.10</val>
          </value>
          <value t="str">
            <val>0.26</val>
          </value>
          <value t="str">
            <val>聯德</val>
          </value>
          <value t="str">
            <val>上市電子零組件</val>
          </value>
          <value t="str">
            <val>台灣PC電源供應器供應商</val>
          </value>
        </values>
      </ddeItem>
      <ddeItem name="3308.TW-CName,InvestorConferenceDate,DateofMeetingofShareHolders,TradingDate" advise="1">
        <values cols="4">
          <value t="str">
            <val>聯德</val>
          </value>
          <value t="str">
            <val>2021/12/29</val>
          </value>
          <value t="str">
            <val>2022/06/29</val>
          </value>
          <value t="str">
            <val>2022/12/22</val>
          </value>
        </values>
      </ddeItem>
      <ddeItem name="3308.TW-ID,Name,MarketValue,Capital,NetIncomeGrowthRate,OperIncomeGrowthRate,FinancialStatementsTime,TFXRatio,MonthlyNetSalesYoY,RevenueMonth" advise="1">
        <values cols="10">
          <value t="str">
            <val>3308</val>
          </value>
          <value t="str">
            <val>聯德</val>
          </value>
          <value t="str">
            <val>10.4</val>
          </value>
          <value t="str">
            <val>7.07</val>
          </value>
          <value t="str">
            <val>64.68</val>
          </value>
          <value t="str">
            <val>65.47</val>
          </value>
          <value t="str">
            <val>2022/09</val>
          </value>
          <value t="str">
            <val>-4.61</val>
          </value>
          <value t="str">
            <val>112.22</val>
          </value>
          <value t="str">
            <val>2022/11</val>
          </value>
        </values>
      </ddeItem>
      <ddeItem name="3308.TW-OperatingProfitRatio,Price,PriceChangeRatio,InOutRatioNumber,Value,YearReturn,MonthReturn,WeekReturn,FinanceBalanceDif,ChipsField2" advise="1">
        <values cols="10">
          <value t="str">
            <val>-11.63</val>
          </value>
          <value>
            <val>14.75</val>
          </value>
          <value>
            <val>0.68</val>
          </value>
          <value t="str">
            <val>42.86%</val>
          </value>
          <value t="str">
            <val>20.6萬</val>
          </value>
          <value t="str">
            <val>-1.44</val>
          </value>
          <value t="str">
            <val>+8.46</val>
          </value>
          <value t="str">
            <val>+2.43</val>
          </value>
          <value>
            <val>0</val>
          </value>
          <value>
            <val>0</val>
          </value>
        </values>
      </ddeItem>
      <ddeItem name="331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2022/07/29</val>
          </value>
          <value t="str">
            <val>0.47</val>
          </value>
          <value>
            <val>1.43</val>
          </value>
          <value t="str">
            <val>1.56</val>
          </value>
          <value t="str">
            <val>0.49</val>
          </value>
          <value t="str">
            <val>閎暉</val>
          </value>
          <value t="str">
            <val>上市通信網路</val>
          </value>
          <value t="str">
            <val>聚焦於車用零組件及機構整合元件</val>
          </value>
        </values>
      </ddeItem>
      <ddeItem name="3311.TW-CName,InvestorConferenceDate,DateofMeetingofShareHolders,TradingDate" advise="1">
        <values cols="4">
          <value t="str">
            <val>閎暉</val>
          </value>
          <value t="str">
            <val>2022/11/29</val>
          </value>
          <value t="str">
            <val>2022/06/10</val>
          </value>
          <value t="str">
            <val>2022/12/22</val>
          </value>
        </values>
      </ddeItem>
      <ddeItem name="3311.TW-ID,Name,MarketValue,Capital,NetIncomeGrowthRate,OperIncomeGrowthRate,FinancialStatementsTime,TFXRatio,MonthlyNetSalesYoY,RevenueMonth" advise="1">
        <values cols="10">
          <value t="str">
            <val>3311</val>
          </value>
          <value t="str">
            <val>閎暉</val>
          </value>
          <value t="str">
            <val>19.7</val>
          </value>
          <value t="str">
            <val>6.80</val>
          </value>
          <value t="str">
            <val>105.53</val>
          </value>
          <value t="str">
            <val>117.45</val>
          </value>
          <value t="str">
            <val>2022/09</val>
          </value>
          <value t="str">
            <val>-1.09</val>
          </value>
          <value t="str">
            <val>-7.64</val>
          </value>
          <value t="str">
            <val>2022/11</val>
          </value>
        </values>
      </ddeItem>
      <ddeItem name="3311.TW-OperatingProfitRatio,Price,PriceChangeRatio,InOutRatioNumber,Value,YearReturn,MonthReturn,WeekReturn,FinanceBalanceDif,ChipsField2" advise="1">
        <values cols="10">
          <value t="str">
            <val>5.52</val>
          </value>
          <value>
            <val>32.9</val>
          </value>
          <value>
            <val>0</val>
          </value>
          <value t="str">
            <val>6.25%</val>
          </value>
          <value t="str">
            <val>52.7萬</val>
          </value>
          <value t="str">
            <val>-4.65</val>
          </value>
          <value t="str">
            <val>+1.39</val>
          </value>
          <value t="str">
            <val>-1.05</val>
          </value>
          <value>
            <val>6</val>
          </value>
          <value>
            <val>0</val>
          </value>
        </values>
      </ddeItem>
      <ddeItem name="3312.TW-ChipsField3,ChipsField1,ChipsField25,CashAndStockDividend,CashDividendYieldRate,ProfitFourSeason,ProfitSingle,CName,ExchangeIndustry,CompanyPos" advise="1">
        <values cols="10">
          <value>
            <val>-12</val>
          </value>
          <value>
            <val>-10</val>
          </value>
          <value t="str">
            <val>2022/07/18</val>
          </value>
          <value t="str">
            <val>2.00</val>
          </value>
          <value>
            <val>11.2</val>
          </value>
          <value t="str">
            <val>3.00</val>
          </value>
          <value t="str">
            <val>0.65</val>
          </value>
          <value t="str">
            <val>弘憶股</val>
          </value>
          <value t="str">
            <val>上市電子通路</val>
          </value>
          <value t="str">
            <val>IC通路商，主要代理數位通訊應用方案與元件</val>
          </value>
        </values>
      </ddeItem>
      <ddeItem name="3312.TW-CName,InvestorConferenceDate,DateofMeetingofShareHolders,TradingDate" advise="1">
        <values cols="4">
          <value t="str">
            <val>弘憶股</val>
          </value>
          <value t="str">
            <val>2022/11/28</val>
          </value>
          <value t="str">
            <val>2022/06/23</val>
          </value>
          <value t="str">
            <val>2022/12/22</val>
          </value>
        </values>
      </ddeItem>
      <ddeItem name="3312.TW-ID,Name,MarketValue,Capital,NetIncomeGrowthRate,OperIncomeGrowthRate,FinancialStatementsTime,TFXRatio,MonthlyNetSalesYoY,RevenueMonth" advise="1">
        <values cols="10">
          <value t="str">
            <val>3312</val>
          </value>
          <value t="str">
            <val>弘憶股</val>
          </value>
          <value t="str">
            <val>29.0</val>
          </value>
          <value t="str">
            <val>16.26</val>
          </value>
          <value t="str">
            <val>-6.52</val>
          </value>
          <value t="str">
            <val>-13.21</val>
          </value>
          <value t="str">
            <val>2022/09</val>
          </value>
          <value t="str">
            <val>-19.55</val>
          </value>
          <value t="str">
            <val>-8.87</val>
          </value>
          <value t="str">
            <val>2022/11</val>
          </value>
        </values>
      </ddeItem>
      <ddeItem name="3312.TW-OperatingProfitRatio,Price,PriceChangeRatio,InOutRatioNumber,Value,YearReturn,MonthReturn,WeekReturn,FinanceBalanceDif,ChipsField2" advise="1">
        <values cols="10">
          <value t="str">
            <val>2.50</val>
          </value>
          <value>
            <val>17.850000000000001</val>
          </value>
          <value>
            <val>1.1299999999999999</val>
          </value>
          <value t="str">
            <val>28.57%</val>
          </value>
          <value t="str">
            <val>90.8萬</val>
          </value>
          <value t="str">
            <val>-16.84</val>
          </value>
          <value t="str">
            <val>-1.11</val>
          </value>
          <value t="str">
            <val>0.00</val>
          </value>
          <value>
            <val>10</val>
          </value>
          <value>
            <val>0</val>
          </value>
        </values>
      </ddeItem>
      <ddeItem name="332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-0.56</val>
          </value>
          <value t="str">
            <val>-0.42</val>
          </value>
          <value t="str">
            <val>同泰</val>
          </value>
          <value t="str">
            <val>上市電子零組件</val>
          </value>
          <value t="str">
            <val>欣興、台表科轉投資的軟板公司</val>
          </value>
        </values>
      </ddeItem>
      <ddeItem name="3321.TW-CName,InvestorConferenceDate,DateofMeetingofShareHolders,TradingDate" advise="1">
        <values cols="4">
          <value t="str">
            <val>同泰</val>
          </value>
          <value t="str">
            <val>2021/12/24</val>
          </value>
          <value t="str">
            <val>2022/06/17</val>
          </value>
          <value t="str">
            <val>2022/12/22</val>
          </value>
        </values>
      </ddeItem>
      <ddeItem name="3321.TW-ID,Name,MarketValue,Capital,NetIncomeGrowthRate,OperIncomeGrowthRate,FinancialStatementsTime,TFXRatio,MonthlyNetSalesYoY,RevenueMonth" advise="1">
        <values cols="10">
          <value t="str">
            <val>3321</val>
          </value>
          <value t="str">
            <val>同泰</val>
          </value>
          <value t="str">
            <val>13.0</val>
          </value>
          <value t="str">
            <val>15.61</val>
          </value>
          <value t="str">
            <val>-2.71</val>
          </value>
          <value t="str">
            <val>-285.18</val>
          </value>
          <value t="str">
            <val>2022/09</val>
          </value>
          <value t="str">
            <val>10.51</val>
          </value>
          <value t="str">
            <val>-53.92</val>
          </value>
          <value t="str">
            <val>2022/11</val>
          </value>
        </values>
      </ddeItem>
      <ddeItem name="3321.TW-OperatingProfitRatio,Price,PriceChangeRatio,InOutRatioNumber,Value,YearReturn,MonthReturn,WeekReturn,FinanceBalanceDif,ChipsField2" advise="1">
        <values cols="10">
          <value t="str">
            <val>-11.06</val>
          </value>
          <value>
            <val>8.35</val>
          </value>
          <value>
            <val>0</val>
          </value>
          <value t="str">
            <val>66.18%</val>
          </value>
          <value t="str">
            <val>57.9萬</val>
          </value>
          <value t="str">
            <val>-39.27</val>
          </value>
          <value t="str">
            <val>-2.91</val>
          </value>
          <value t="str">
            <val>-2.00</val>
          </value>
          <value>
            <val>0</val>
          </value>
          <value>
            <val>0</val>
          </value>
        </values>
      </ddeItem>
      <ddeItem name="3338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27</val>
          </value>
          <value t="str">
            <val>2022/06/20</val>
          </value>
          <value t="str">
            <val>1.50</val>
          </value>
          <value>
            <val>4.7300000000000004</val>
          </value>
          <value t="str">
            <val>3.34</val>
          </value>
          <value t="str">
            <val>0.91</val>
          </value>
          <value t="str">
            <val>泰碩</val>
          </value>
          <value t="str">
            <val>上市電子零組件</val>
          </value>
          <value t="str">
            <val>台灣生產散熱器及PC用連接器廠</val>
          </value>
        </values>
      </ddeItem>
      <ddeItem name="3338.TW-CName,InvestorConferenceDate,DateofMeetingofShareHolders,TradingDate" advise="1">
        <values cols="4">
          <value t="str">
            <val>泰碩</val>
          </value>
          <value t="str">
            <val>2022/12/16</val>
          </value>
          <value t="str">
            <val>2022/05/20</val>
          </value>
          <value t="str">
            <val>2022/12/22</val>
          </value>
        </values>
      </ddeItem>
      <ddeItem name="3338.TW-ID,Name,MarketValue,Capital,NetIncomeGrowthRate,OperIncomeGrowthRate,FinancialStatementsTime,TFXRatio,MonthlyNetSalesYoY,RevenueMonth" advise="1">
        <values cols="10">
          <value t="str">
            <val>3338</val>
          </value>
          <value t="str">
            <val>泰碩</val>
          </value>
          <value t="str">
            <val>27.9</val>
          </value>
          <value t="str">
            <val>8.79</val>
          </value>
          <value t="str">
            <val>92.09</val>
          </value>
          <value t="str">
            <val>6.59</val>
          </value>
          <value t="str">
            <val>2022/09</val>
          </value>
          <value t="str">
            <val>-3.45</val>
          </value>
          <value t="str">
            <val>-32.35</val>
          </value>
          <value t="str">
            <val>2022/11</val>
          </value>
        </values>
      </ddeItem>
      <ddeItem name="3338.TW-OperatingProfitRatio,Price,PriceChangeRatio,InOutRatioNumber,Value,YearReturn,MonthReturn,WeekReturn,FinanceBalanceDif,ChipsField2" advise="1">
        <values cols="10">
          <value t="str">
            <val>5.25</val>
          </value>
          <value>
            <val>31.7</val>
          </value>
          <value>
            <val>0.63</val>
          </value>
          <value t="str">
            <val>22.89%</val>
          </value>
          <value t="str">
            <val>270萬</val>
          </value>
          <value t="str">
            <val>-37.22</val>
          </value>
          <value t="str">
            <val>-5.93</val>
          </value>
          <value t="str">
            <val>-7.17</val>
          </value>
          <value>
            <val>-24</val>
          </value>
          <value>
            <val>0</val>
          </value>
        </values>
      </ddeItem>
      <ddeItem name="3346.TW-ChipsField3,ChipsField1,ChipsField25,CashAndStockDividend,CashDividendYieldRate,ProfitFourSeason,ProfitSingle,CName,ExchangeIndustry,CompanyPos" advise="1">
        <values cols="10">
          <value>
            <val>15</val>
          </value>
          <value>
            <val>517</val>
          </value>
          <value t="str">
            <val>2022/09/08</val>
          </value>
          <value t="str">
            <val>0.62</val>
          </value>
          <value>
            <val>1.66</val>
          </value>
          <value t="str">
            <val>-0.32</val>
          </value>
          <value t="str">
            <val>0.56</val>
          </value>
          <value t="str">
            <val>麗清</val>
          </value>
          <value t="str">
            <val>上市汽車</val>
          </value>
          <value t="str">
            <val>LED車燈模組製造廠</val>
          </value>
        </values>
      </ddeItem>
      <ddeItem name="3346.TW-CName,InvestorConferenceDate,DateofMeetingofShareHolders,TradingDate" advise="1">
        <values cols="4">
          <value t="str">
            <val>麗清</val>
          </value>
          <value t="str">
            <val>--</val>
          </value>
          <value t="str">
            <val>2022/06/27</val>
          </value>
          <value t="str">
            <val>2022/12/22</val>
          </value>
        </values>
      </ddeItem>
      <ddeItem name="3346.TW-ID,Name,MarketValue,Capital,NetIncomeGrowthRate,OperIncomeGrowthRate,FinancialStatementsTime,TFXRatio,MonthlyNetSalesYoY,RevenueMonth" advise="1">
        <values cols="10">
          <value t="str">
            <val>3346</val>
          </value>
          <value t="str">
            <val>麗清</val>
          </value>
          <value t="str">
            <val>39.8</val>
          </value>
          <value t="str">
            <val>10.67</val>
          </value>
          <value t="str">
            <val>-224.31</val>
          </value>
          <value t="str">
            <val>-227.64</val>
          </value>
          <value t="str">
            <val>2022/09</val>
          </value>
          <value t="str">
            <val>17.29</val>
          </value>
          <value t="str">
            <val>20.37</val>
          </value>
          <value t="str">
            <val>2022/11</val>
          </value>
        </values>
      </ddeItem>
      <ddeItem name="3346.TW-OperatingProfitRatio,Price,PriceChangeRatio,InOutRatioNumber,Value,YearReturn,MonthReturn,WeekReturn,FinanceBalanceDif,ChipsField2" advise="1">
        <values cols="10">
          <value t="str">
            <val>-1.57</val>
          </value>
          <value>
            <val>37.299999999999997</val>
          </value>
          <value>
            <val>-2.86</val>
          </value>
          <value t="str">
            <val>23.10%</val>
          </value>
          <value t="str">
            <val>6510萬</val>
          </value>
          <value t="str">
            <val>-15.31</val>
          </value>
          <value t="str">
            <val>+17.67</val>
          </value>
          <value t="str">
            <val>-0.80</val>
          </value>
          <value>
            <val>-46</val>
          </value>
          <value>
            <val>0</val>
          </value>
        </values>
      </ddeItem>
      <ddeItem name="335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420</val>
          </value>
          <value t="str">
            <val>2022/10/04</val>
          </value>
          <value t="str">
            <val>1.20</val>
          </value>
          <value>
            <val>2.86</val>
          </value>
          <value t="str">
            <val>1.52</val>
          </value>
          <value t="str">
            <val>0.48</val>
          </value>
          <value t="str">
            <val>奇偶</val>
          </value>
          <value t="str">
            <val>上市光電</val>
          </value>
          <value t="str">
            <val>台灣專業安控廠，擁有自有品牌GeoVision</val>
          </value>
        </values>
      </ddeItem>
      <ddeItem name="3356.TW-CName,InvestorConferenceDate,DateofMeetingofShareHolders,TradingDate" advise="1">
        <values cols="4">
          <value t="str">
            <val>奇偶</val>
          </value>
          <value t="str">
            <val>2021/11/10</val>
          </value>
          <value t="str">
            <val>2022/05/26</val>
          </value>
          <value t="str">
            <val>2022/12/22</val>
          </value>
        </values>
      </ddeItem>
      <ddeItem name="3356.TW-ID,Name,MarketValue,Capital,NetIncomeGrowthRate,OperIncomeGrowthRate,FinancialStatementsTime,TFXRatio,MonthlyNetSalesYoY,RevenueMonth" advise="1">
        <values cols="10">
          <value t="str">
            <val>3356</val>
          </value>
          <value t="str">
            <val>奇偶</val>
          </value>
          <value t="str">
            <val>37.7</val>
          </value>
          <value t="str">
            <val>8.98</val>
          </value>
          <value t="str">
            <val>-31.49</val>
          </value>
          <value t="str">
            <val>-1.26</val>
          </value>
          <value t="str">
            <val>2022/09</val>
          </value>
          <value t="str">
            <val>-5.94</val>
          </value>
          <value t="str">
            <val>6.76</val>
          </value>
          <value t="str">
            <val>2022/11</val>
          </value>
        </values>
      </ddeItem>
      <ddeItem name="3356.TW-OperatingProfitRatio,Price,PriceChangeRatio,InOutRatioNumber,Value,YearReturn,MonthReturn,WeekReturn,FinanceBalanceDif,ChipsField2" advise="1">
        <values cols="10">
          <value t="str">
            <val>11.53</val>
          </value>
          <value>
            <val>42</val>
          </value>
          <value>
            <val>1.57</val>
          </value>
          <value t="str">
            <val>37.46%</val>
          </value>
          <value t="str">
            <val>8206萬</val>
          </value>
          <value t="str">
            <val>+38.94</val>
          </value>
          <value t="str">
            <val>-5.19</val>
          </value>
          <value t="str">
            <val>-4.55</val>
          </value>
          <value>
            <val>-125</val>
          </value>
          <value>
            <val>0</val>
          </value>
        </values>
      </ddeItem>
      <ddeItem name="3376.TW-ChipsField3,ChipsField1,ChipsField25,CashAndStockDividend,CashDividendYieldRate,ProfitFourSeason,ProfitSingle,CName,ExchangeIndustry,CompanyPos" advise="1">
        <values cols="10">
          <value>
            <val>-17</val>
          </value>
          <value>
            <val>19</val>
          </value>
          <value t="str">
            <val>2022/07/14</val>
          </value>
          <value t="str">
            <val>5.00</val>
          </value>
          <value>
            <val>6.18</val>
          </value>
          <value t="str">
            <val>9.40</val>
          </value>
          <value t="str">
            <val>3.91</val>
          </value>
          <value t="str">
            <val>新日興</val>
          </value>
          <value t="str">
            <val>上市電子零組件</val>
          </value>
          <value t="str">
            <val>全球第一大NB樞紐供應商</val>
          </value>
        </values>
      </ddeItem>
      <ddeItem name="3376.TW-CName,InvestorConferenceDate,DateofMeetingofShareHolders,TradingDate" advise="1">
        <values cols="4">
          <value t="str">
            <val>新日興</val>
          </value>
          <value t="str">
            <val>2022/08/11</val>
          </value>
          <value t="str">
            <val>2022/06/16</val>
          </value>
          <value t="str">
            <val>2022/12/22</val>
          </value>
        </values>
      </ddeItem>
      <ddeItem name="3376.TW-ID,Name,MarketValue,Capital,NetIncomeGrowthRate,OperIncomeGrowthRate,FinancialStatementsTime,TFXRatio,MonthlyNetSalesYoY,RevenueMonth" advise="1">
        <values cols="10">
          <value t="str">
            <val>3376</val>
          </value>
          <value t="str">
            <val>新日興</val>
          </value>
          <value t="str">
            <val>155.7</val>
          </value>
          <value t="str">
            <val>18.77</val>
          </value>
          <value t="str">
            <val>73.67</val>
          </value>
          <value t="str">
            <val>7.18</val>
          </value>
          <value t="str">
            <val>2022/09</val>
          </value>
          <value t="str">
            <val>-4.64</val>
          </value>
          <value t="str">
            <val>-29.81</val>
          </value>
          <value t="str">
            <val>2022/11</val>
          </value>
        </values>
      </ddeItem>
      <ddeItem name="3376.TW-OperatingProfitRatio,Price,PriceChangeRatio,InOutRatioNumber,Value,YearReturn,MonthReturn,WeekReturn,FinanceBalanceDif,ChipsField2" advise="1">
        <values cols="10">
          <value t="str">
            <val>13.29</val>
          </value>
          <value>
            <val>80.900000000000006</val>
          </value>
          <value>
            <val>0.5</val>
          </value>
          <value t="str">
            <val>61.05%</val>
          </value>
          <value t="str">
            <val>795萬</val>
          </value>
          <value t="str">
            <val>-5.69</val>
          </value>
          <value t="str">
            <val>-2.41</val>
          </value>
          <value t="str">
            <val>-4.26</val>
          </value>
          <value>
            <val>-12</val>
          </value>
          <value>
            <val>0</val>
          </value>
        </values>
      </ddeItem>
      <ddeItem name="3380.TW-ChipsField3,ChipsField1,ChipsField25,CashAndStockDividend,CashDividendYieldRate,ProfitFourSeason,ProfitSingle,CName,ExchangeIndustry,CompanyPos" advise="1">
        <values cols="10">
          <value>
            <val>-28</val>
          </value>
          <value>
            <val>153</val>
          </value>
          <value t="str">
            <val>2022/07/18</val>
          </value>
          <value t="str">
            <val>0.80</val>
          </value>
          <value>
            <val>2.77</val>
          </value>
          <value t="str">
            <val>1.45</val>
          </value>
          <value t="str">
            <val>0.58</val>
          </value>
          <value t="str">
            <val>明泰</val>
          </value>
          <value t="str">
            <val>上市通信網路</val>
          </value>
          <value t="str">
            <val>佳世達轉投資的網通設備代工大廠</val>
          </value>
        </values>
      </ddeItem>
      <ddeItem name="3380.TW-CName,InvestorConferenceDate,DateofMeetingofShareHolders,TradingDate" advise="1">
        <values cols="4">
          <value t="str">
            <val>明泰</val>
          </value>
          <value t="str">
            <val>2022/11/04</val>
          </value>
          <value t="str">
            <val>2022/05/31</val>
          </value>
          <value t="str">
            <val>2022/12/22</val>
          </value>
        </values>
      </ddeItem>
      <ddeItem name="3380.TW-ID,Name,MarketValue,Capital,NetIncomeGrowthRate,OperIncomeGrowthRate,FinancialStatementsTime,TFXRatio,MonthlyNetSalesYoY,RevenueMonth" advise="1">
        <values cols="10">
          <value t="str">
            <val>3380</val>
          </value>
          <value t="str">
            <val>明泰</val>
          </value>
          <value t="str">
            <val>156.3</val>
          </value>
          <value t="str">
            <val>54.17</val>
          </value>
          <value t="str">
            <val>112.71</val>
          </value>
          <value t="str">
            <val>133.29</val>
          </value>
          <value t="str">
            <val>2022/09</val>
          </value>
          <value t="str">
            <val>19.71</val>
          </value>
          <value t="str">
            <val>70.39</val>
          </value>
          <value t="str">
            <val>2022/11</val>
          </value>
        </values>
      </ddeItem>
      <ddeItem name="3380.TW-OperatingProfitRatio,Price,PriceChangeRatio,InOutRatioNumber,Value,YearReturn,MonthReturn,WeekReturn,FinanceBalanceDif,ChipsField2" advise="1">
        <values cols="10">
          <value t="str">
            <val>4.84</val>
          </value>
          <value>
            <val>28.85</val>
          </value>
          <value>
            <val>0.35</val>
          </value>
          <value t="str">
            <val>44.24%</val>
          </value>
          <value t="str">
            <val>1951萬</val>
          </value>
          <value t="str">
            <val>-9.58</val>
          </value>
          <value t="str">
            <val>-2.53</val>
          </value>
          <value t="str">
            <val>-7.09</val>
          </value>
          <value>
            <val>-148</val>
          </value>
          <value>
            <val>0</val>
          </value>
        </values>
      </ddeItem>
      <ddeItem name="3406.TW-ChipsField3,ChipsField1,ChipsField25,CashAndStockDividend,CashDividendYieldRate,ProfitFourSeason,ProfitSingle,CName,ExchangeIndustry,CompanyPos" advise="1">
        <values cols="10">
          <value>
            <val>192</val>
          </value>
          <value>
            <val>-575</val>
          </value>
          <value t="str">
            <val>2022/07/27</val>
          </value>
          <value t="str">
            <val>7.99</val>
          </value>
          <value>
            <val>2.1800000000000002</val>
          </value>
          <value t="str">
            <val>29.82</val>
          </value>
          <value t="str">
            <val>15.34</val>
          </value>
          <value t="str">
            <val>玉晶光</val>
          </value>
          <value t="str">
            <val>上市光電</val>
          </value>
          <value t="str">
            <val>台灣光學鏡頭大廠，專注於手機鏡頭與AR/VR透鏡</val>
          </value>
        </values>
      </ddeItem>
      <ddeItem name="3406.TW-CName,InvestorConferenceDate,DateofMeetingofShareHolders,TradingDate" advise="1">
        <values cols="4">
          <value t="str">
            <val>玉晶光</val>
          </value>
          <value t="str">
            <val>2022/11/22</val>
          </value>
          <value t="str">
            <val>2022/06/17</val>
          </value>
          <value t="str">
            <val>2022/12/22</val>
          </value>
        </values>
      </ddeItem>
      <ddeItem name="3406.TW-ID,Name,MarketValue,Capital,NetIncomeGrowthRate,OperIncomeGrowthRate,FinancialStatementsTime,TFXRatio,MonthlyNetSalesYoY,RevenueMonth" advise="1">
        <values cols="10">
          <value t="str">
            <val>3406</val>
          </value>
          <value t="str">
            <val>玉晶光</val>
          </value>
          <value t="str">
            <val>413.1</val>
          </value>
          <value t="str">
            <val>11.27</val>
          </value>
          <value t="str">
            <val>77.01</val>
          </value>
          <value t="str">
            <val>42.27</val>
          </value>
          <value t="str">
            <val>2022/09</val>
          </value>
          <value t="str">
            <val>-14.48</val>
          </value>
          <value t="str">
            <val>2.81</val>
          </value>
          <value t="str">
            <val>2022/11</val>
          </value>
        </values>
      </ddeItem>
      <ddeItem name="3406.TW-OperatingProfitRatio,Price,PriceChangeRatio,InOutRatioNumber,Value,YearReturn,MonthReturn,WeekReturn,FinanceBalanceDif,ChipsField2" advise="1">
        <values cols="10">
          <value t="str">
            <val>19.05</val>
          </value>
          <value>
            <val>366.5</val>
          </value>
          <value>
            <val>0.14000000000000001</val>
          </value>
          <value t="str">
            <val>56.47%</val>
          </value>
          <value t="str">
            <val>3.75億</val>
          </value>
          <value t="str">
            <val>-32.76</val>
          </value>
          <value t="str">
            <val>-5.54</val>
          </value>
          <value t="str">
            <val>-4.43</val>
          </value>
          <value>
            <val>5</val>
          </value>
          <value>
            <val>-9</val>
          </value>
        </values>
      </ddeItem>
      <ddeItem name="3413.TW-ChipsField3,ChipsField1,ChipsField25,CashAndStockDividend,CashDividendYieldRate,ProfitFourSeason,ProfitSingle,CName,ExchangeIndustry,CompanyPos" advise="1">
        <values cols="10">
          <value>
            <val>-9</val>
          </value>
          <value>
            <val>-140</val>
          </value>
          <value t="str">
            <val>2022/06/28</val>
          </value>
          <value t="str">
            <val>8.69</val>
          </value>
          <value>
            <val>4.66</val>
          </value>
          <value t="str">
            <val>24.66</val>
          </value>
          <value t="str">
            <val>8.14</val>
          </value>
          <value t="str">
            <val>京鼎</val>
          </value>
          <value t="str">
            <val>上市半導體</val>
          </value>
          <value t="str">
            <val>鴻海集團旗下專注於半導體設備的廠商</val>
          </value>
        </values>
      </ddeItem>
      <ddeItem name="3413.TW-CName,InvestorConferenceDate,DateofMeetingofShareHolders,TradingDate" advise="1">
        <values cols="4">
          <value t="str">
            <val>京鼎</val>
          </value>
          <value t="str">
            <val>2022/12/09</val>
          </value>
          <value t="str">
            <val>2022/05/27</val>
          </value>
          <value t="str">
            <val>2022/12/22</val>
          </value>
        </values>
      </ddeItem>
      <ddeItem name="3413.TW-ID,Name,MarketValue,Capital,NetIncomeGrowthRate,OperIncomeGrowthRate,FinancialStatementsTime,TFXRatio,MonthlyNetSalesYoY,RevenueMonth" advise="1">
        <values cols="10">
          <value t="str">
            <val>3413</val>
          </value>
          <value t="str">
            <val>京鼎</val>
          </value>
          <value t="str">
            <val>165.1</val>
          </value>
          <value t="str">
            <val>9.69</val>
          </value>
          <value t="str">
            <val>67.30</val>
          </value>
          <value t="str">
            <val>37.78</val>
          </value>
          <value t="str">
            <val>2022/09</val>
          </value>
          <value t="str">
            <val>2.01</val>
          </value>
          <value t="str">
            <val>29.76</val>
          </value>
          <value t="str">
            <val>2022/11</val>
          </value>
        </values>
      </ddeItem>
      <ddeItem name="3413.TW-OperatingProfitRatio,Price,PriceChangeRatio,InOutRatioNumber,Value,YearReturn,MonthReturn,WeekReturn,FinanceBalanceDif,ChipsField2" advise="1">
        <values cols="10">
          <value t="str">
            <val>18.85</val>
          </value>
          <value>
            <val>186.5</val>
          </value>
          <value>
            <val>1.08</val>
          </value>
          <value t="str">
            <val>41.38%</val>
          </value>
          <value t="str">
            <val>5569萬</val>
          </value>
          <value t="str">
            <val>-15.99</val>
          </value>
          <value t="str">
            <val>-1.06</val>
          </value>
          <value t="str">
            <val>-3.87</val>
          </value>
          <value>
            <val>101</val>
          </value>
          <value>
            <val>0</val>
          </value>
        </values>
      </ddeItem>
      <ddeItem name="341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-4</val>
          </value>
          <value t="str">
            <val>2022/06/27</val>
          </value>
          <value t="str">
            <val>4.50</val>
          </value>
          <value>
            <val>5.44</val>
          </value>
          <value t="str">
            <val>5.75</val>
          </value>
          <value t="str">
            <val>2.24</val>
          </value>
          <value t="str">
            <val>融程電</val>
          </value>
          <value t="str">
            <val>上市電腦及週邊設備</val>
          </value>
          <value t="str">
            <val>專攻工業電腦用顯示器廠</val>
          </value>
        </values>
      </ddeItem>
      <ddeItem name="3416.TW-CName,InvestorConferenceDate,DateofMeetingofShareHolders,TradingDate" advise="1">
        <values cols="4">
          <value t="str">
            <val>融程電</val>
          </value>
          <value t="str">
            <val>2022/04/20</val>
          </value>
          <value t="str">
            <val>2022/05/27</val>
          </value>
          <value t="str">
            <val>2022/12/22</val>
          </value>
        </values>
      </ddeItem>
      <ddeItem name="3416.TW-ID,Name,MarketValue,Capital,NetIncomeGrowthRate,OperIncomeGrowthRate,FinancialStatementsTime,TFXRatio,MonthlyNetSalesYoY,RevenueMonth" advise="1">
        <values cols="10">
          <value t="str">
            <val>3416</val>
          </value>
          <value t="str">
            <val>融程電</val>
          </value>
          <value t="str">
            <val>60.1</val>
          </value>
          <value t="str">
            <val>7.28</val>
          </value>
          <value t="str">
            <val>18.01</val>
          </value>
          <value t="str">
            <val>-1.03</val>
          </value>
          <value t="str">
            <val>2022/09</val>
          </value>
          <value t="str">
            <val>29.28</val>
          </value>
          <value t="str">
            <val>27.41</val>
          </value>
          <value t="str">
            <val>2022/11</val>
          </value>
        </values>
      </ddeItem>
      <ddeItem name="3416.TW-OperatingProfitRatio,Price,PriceChangeRatio,InOutRatioNumber,Value,YearReturn,MonthReturn,WeekReturn,FinanceBalanceDif,ChipsField2" advise="1">
        <values cols="10">
          <value t="str">
            <val>17.41</val>
          </value>
          <value>
            <val>82.7</val>
          </value>
          <value>
            <val>0</val>
          </value>
          <value t="str">
            <val>35.71%</val>
          </value>
          <value t="str">
            <val>240萬</val>
          </value>
          <value t="str">
            <val>+14.75</val>
          </value>
          <value t="str">
            <val>-0.48</val>
          </value>
          <value t="str">
            <val>-1.43</val>
          </value>
          <value>
            <val>-1</val>
          </value>
          <value>
            <val>0</val>
          </value>
        </values>
      </ddeItem>
      <ddeItem name="341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-77</val>
          </value>
          <value t="str">
            <val>--</val>
          </value>
          <value t="str">
            <val>0.00</val>
          </value>
          <value>
            <val>0</val>
          </value>
          <value t="str">
            <val>0.33</val>
          </value>
          <value t="str">
            <val>0.60</val>
          </value>
          <value t="str">
            <val>譁裕</val>
          </value>
          <value t="str">
            <val>上市通信網路</val>
          </value>
          <value t="str">
            <val>全球最大的WiFi天線製造商</val>
          </value>
        </values>
      </ddeItem>
      <ddeItem name="3419.TW-CName,InvestorConferenceDate,DateofMeetingofShareHolders,TradingDate" advise="1">
        <values cols="4">
          <value t="str">
            <val>譁裕</val>
          </value>
          <value t="str">
            <val>2022/11/18</val>
          </value>
          <value t="str">
            <val>2022/06/27</val>
          </value>
          <value t="str">
            <val>2022/12/22</val>
          </value>
        </values>
      </ddeItem>
      <ddeItem name="3419.TW-ID,Name,MarketValue,Capital,NetIncomeGrowthRate,OperIncomeGrowthRate,FinancialStatementsTime,TFXRatio,MonthlyNetSalesYoY,RevenueMonth" advise="1">
        <values cols="10">
          <value t="str">
            <val>3419</val>
          </value>
          <value t="str">
            <val>譁裕</val>
          </value>
          <value t="str">
            <val>22.3</val>
          </value>
          <value t="str">
            <val>12.05</val>
          </value>
          <value t="str">
            <val>518.84</val>
          </value>
          <value t="str">
            <val>21.79</val>
          </value>
          <value t="str">
            <val>2022/09</val>
          </value>
          <value t="str">
            <val>23.87</val>
          </value>
          <value t="str">
            <val>77.85</val>
          </value>
          <value t="str">
            <val>2022/11</val>
          </value>
        </values>
      </ddeItem>
      <ddeItem name="3419.TW-OperatingProfitRatio,Price,PriceChangeRatio,InOutRatioNumber,Value,YearReturn,MonthReturn,WeekReturn,FinanceBalanceDif,ChipsField2" advise="1">
        <values cols="10">
          <value t="str">
            <val>-1.85</val>
          </value>
          <value>
            <val>18.5</val>
          </value>
          <value>
            <val>0.54</val>
          </value>
          <value t="str">
            <val>41.15%</val>
          </value>
          <value t="str">
            <val>1871萬</val>
          </value>
          <value t="str">
            <val>-28.02</val>
          </value>
          <value t="str">
            <val>-8.87</val>
          </value>
          <value t="str">
            <val>-14.75</val>
          </value>
          <value>
            <val>-24</val>
          </value>
          <value>
            <val>0</val>
          </value>
        </values>
      </ddeItem>
      <ddeItem name="3432.TW-ChipsField3,ChipsField1,ChipsField25,CashAndStockDividend,CashDividendYieldRate,ProfitFourSeason,ProfitSingle,CName,ExchangeIndustry,CompanyPos" advise="1">
        <values cols="10">
          <value>
            <val>5</val>
          </value>
          <value>
            <val>-27</val>
          </value>
          <value t="str">
            <val>2022/07/29</val>
          </value>
          <value t="str">
            <val>0.50</val>
          </value>
          <value>
            <val>2.66</val>
          </value>
          <value t="str">
            <val>2.49</val>
          </value>
          <value t="str">
            <val>1.11</val>
          </value>
          <value t="str">
            <val>台端</val>
          </value>
          <value t="str">
            <val>上市電子零組件</val>
          </value>
          <value t="str">
            <val>國內連接器製造商</val>
          </value>
        </values>
      </ddeItem>
      <ddeItem name="3432.TW-CName,InvestorConferenceDate,DateofMeetingofShareHolders,TradingDate" advise="1">
        <values cols="4">
          <value t="str">
            <val>台端</val>
          </value>
          <value t="str">
            <val>2021/12/29</val>
          </value>
          <value t="str">
            <val>2022/06/27</val>
          </value>
          <value t="str">
            <val>2022/12/22</val>
          </value>
        </values>
      </ddeItem>
      <ddeItem name="3432.TW-ID,Name,MarketValue,Capital,NetIncomeGrowthRate,OperIncomeGrowthRate,FinancialStatementsTime,TFXRatio,MonthlyNetSalesYoY,RevenueMonth" advise="1">
        <values cols="10">
          <value t="str">
            <val>3432</val>
          </value>
          <value t="str">
            <val>台端</val>
          </value>
          <value t="str">
            <val>12.5</val>
          </value>
          <value t="str">
            <val>6.66</val>
          </value>
          <value t="str">
            <val>251.02</val>
          </value>
          <value t="str">
            <val>-62.17</val>
          </value>
          <value t="str">
            <val>2022/09</val>
          </value>
          <value t="str">
            <val>2.53</val>
          </value>
          <value t="str">
            <val>-52.70</val>
          </value>
          <value t="str">
            <val>2022/11</val>
          </value>
        </values>
      </ddeItem>
      <ddeItem name="3432.TW-OperatingProfitRatio,Price,PriceChangeRatio,InOutRatioNumber,Value,YearReturn,MonthReturn,WeekReturn,FinanceBalanceDif,ChipsField2" advise="1">
        <values cols="10">
          <value t="str">
            <val>-168.45</val>
          </value>
          <value>
            <val>18.8</val>
          </value>
          <value>
            <val>0.27</val>
          </value>
          <value t="str">
            <val>29.75%</val>
          </value>
          <value t="str">
            <val>310萬</val>
          </value>
          <value t="str">
            <val>+30.53</val>
          </value>
          <value t="str">
            <val>-17.90</val>
          </value>
          <value t="str">
            <val>-8.07</val>
          </value>
          <value>
            <val>21</val>
          </value>
          <value>
            <val>0</val>
          </value>
        </values>
      </ddeItem>
      <ddeItem name="343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-4</val>
          </value>
          <value t="str">
            <val>2022/09/14</val>
          </value>
          <value t="str">
            <val>0.45</val>
          </value>
          <value>
            <val>2.56</val>
          </value>
          <value t="str">
            <val>-0.23</val>
          </value>
          <value t="str">
            <val>-0.66</val>
          </value>
          <value t="str">
            <val>榮創</val>
          </value>
          <value t="str">
            <val>上市光電</val>
          </value>
          <value t="str">
            <val>鴻海旗下LED封裝廠</val>
          </value>
        </values>
      </ddeItem>
      <ddeItem name="3437.TW-CName,InvestorConferenceDate,DateofMeetingofShareHolders,TradingDate" advise="1">
        <values cols="4">
          <value t="str">
            <val>榮創</val>
          </value>
          <value t="str">
            <val>2022/11/23</val>
          </value>
          <value t="str">
            <val>2022/06/29</val>
          </value>
          <value t="str">
            <val>2022/12/22</val>
          </value>
        </values>
      </ddeItem>
      <ddeItem name="3437.TW-ID,Name,MarketValue,Capital,NetIncomeGrowthRate,OperIncomeGrowthRate,FinancialStatementsTime,TFXRatio,MonthlyNetSalesYoY,RevenueMonth" advise="1">
        <values cols="10">
          <value t="str">
            <val>3437</val>
          </value>
          <value t="str">
            <val>榮創</val>
          </value>
          <value t="str">
            <val>25.4</val>
          </value>
          <value t="str">
            <val>14.45</val>
          </value>
          <value t="str">
            <val>-249.45</val>
          </value>
          <value t="str">
            <val>-605.64</val>
          </value>
          <value t="str">
            <val>2022/09</val>
          </value>
          <value t="str">
            <val>39.12</val>
          </value>
          <value t="str">
            <val>-50.04</val>
          </value>
          <value t="str">
            <val>2022/11</val>
          </value>
        </values>
      </ddeItem>
      <ddeItem name="3437.TW-OperatingProfitRatio,Price,PriceChangeRatio,InOutRatioNumber,Value,YearReturn,MonthReturn,WeekReturn,FinanceBalanceDif,ChipsField2" advise="1">
        <values cols="10">
          <value t="str">
            <val>-7.09</val>
          </value>
          <value>
            <val>17.55</val>
          </value>
          <value>
            <val>2.0299999999999998</val>
          </value>
          <value t="str">
            <val>45.00%</val>
          </value>
          <value t="str">
            <val>139萬</val>
          </value>
          <value t="str">
            <val>-28.55</val>
          </value>
          <value t="str">
            <val>+3.85</val>
          </value>
          <value t="str">
            <val>-1.40</val>
          </value>
          <value>
            <val>-3</val>
          </value>
          <value>
            <val>0</val>
          </value>
        </values>
      </ddeItem>
      <ddeItem name="3443.TW-ChipsField3,ChipsField1,ChipsField25,CashAndStockDividend,CashDividendYieldRate,ProfitFourSeason,ProfitSingle,CName,ExchangeIndustry,CompanyPos" advise="1">
        <values cols="10">
          <value>
            <val>126</val>
          </value>
          <value>
            <val>128</val>
          </value>
          <value t="str">
            <val>2022/06/02</val>
          </value>
          <value t="str">
            <val>7.00</val>
          </value>
          <value>
            <val>0.96</val>
          </value>
          <value t="str">
            <val>21.48</val>
          </value>
          <value t="str">
            <val>7.90</val>
          </value>
          <value t="str">
            <val>創意</val>
          </value>
          <value t="str">
            <val>上市半導體</val>
          </value>
          <value t="str">
            <val>台積電轉投資之設計IP與客製化ASIC廠</val>
          </value>
        </values>
      </ddeItem>
      <ddeItem name="3443.TW-CName,InvestorConferenceDate,DateofMeetingofShareHolders,TradingDate" advise="1">
        <values cols="4">
          <value t="str">
            <val>創意</val>
          </value>
          <value t="str">
            <val>2022/08/10</val>
          </value>
          <value t="str">
            <val>2022/05/19</val>
          </value>
          <value t="str">
            <val>2022/12/22</val>
          </value>
        </values>
      </ddeItem>
      <ddeItem name="3443.TW-ID,Name,MarketValue,Capital,NetIncomeGrowthRate,OperIncomeGrowthRate,FinancialStatementsTime,TFXRatio,MonthlyNetSalesYoY,RevenueMonth" advise="1">
        <values cols="10">
          <value t="str">
            <val>3443</val>
          </value>
          <value t="str">
            <val>創意</val>
          </value>
          <value t="str">
            <val>978.3</val>
          </value>
          <value t="str">
            <val>13.40</val>
          </value>
          <value t="str">
            <val>150.12</val>
          </value>
          <value t="str">
            <val>143.22</val>
          </value>
          <value t="str">
            <val>2022/09</val>
          </value>
          <value t="str">
            <val>4.89</val>
          </value>
          <value t="str">
            <val>51.71</val>
          </value>
          <value t="str">
            <val>2022/11</val>
          </value>
        </values>
      </ddeItem>
      <ddeItem name="3443.TW-OperatingProfitRatio,Price,PriceChangeRatio,InOutRatioNumber,Value,YearReturn,MonthReturn,WeekReturn,FinanceBalanceDif,ChipsField2" advise="1">
        <values cols="10">
          <value t="str">
            <val>16.36</val>
          </value>
          <value>
            <val>730</val>
          </value>
          <value>
            <val>-2.67</val>
          </value>
          <value t="str">
            <val>42.25%</val>
          </value>
          <value t="str">
            <val>49.4億</val>
          </value>
          <value t="str">
            <val>+20.77</val>
          </value>
          <value t="str">
            <val>-0.68</val>
          </value>
          <value t="str">
            <val>-7.59</val>
          </value>
          <value>
            <val>93</val>
          </value>
          <value>
            <val>-555</val>
          </value>
        </values>
      </ddeItem>
      <ddeItem name="344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75</val>
          </value>
          <value t="str">
            <val>2022/09/21</val>
          </value>
          <value t="str">
            <val>1.50</val>
          </value>
          <value>
            <val>3.63</val>
          </value>
          <value t="str">
            <val>--</val>
          </value>
          <value t="str">
            <val>1.70</val>
          </value>
          <value t="str">
            <val>展達</val>
          </value>
          <value t="str">
            <val>上市通信網路</val>
          </value>
          <value t="str">
            <val>群光轉投資網通設備廠</val>
          </value>
        </values>
      </ddeItem>
      <ddeItem name="3447.TW-CName,InvestorConferenceDate,DateofMeetingofShareHolders,TradingDate" advise="1">
        <values cols="4">
          <value t="str">
            <val>展達</val>
          </value>
          <value t="str">
            <val>--</val>
          </value>
          <value t="str">
            <val>2022/06/09</val>
          </value>
          <value t="str">
            <val>2022/12/22</val>
          </value>
        </values>
      </ddeItem>
      <ddeItem name="3447.TW-ID,Name,MarketValue,Capital,NetIncomeGrowthRate,OperIncomeGrowthRate,FinancialStatementsTime,TFXRatio,MonthlyNetSalesYoY,RevenueMonth" advise="1">
        <values cols="10">
          <value t="str">
            <val>3447</val>
          </value>
          <value t="str">
            <val>展達</val>
          </value>
          <value t="str">
            <val>31.8</val>
          </value>
          <value t="str">
            <val>7.68</val>
          </value>
          <value t="str">
            <val>78.14</val>
          </value>
          <value t="str">
            <val>58.08</val>
          </value>
          <value t="str">
            <val>2022/09</val>
          </value>
          <value t="str">
            <val>-8.30</val>
          </value>
          <value t="str">
            <val>38.66</val>
          </value>
          <value t="str">
            <val>2022/11</val>
          </value>
        </values>
      </ddeItem>
      <ddeItem name="3447.TW-OperatingProfitRatio,Price,PriceChangeRatio,InOutRatioNumber,Value,YearReturn,MonthReturn,WeekReturn,FinanceBalanceDif,ChipsField2" advise="1">
        <values cols="10">
          <value t="str">
            <val>4.66</val>
          </value>
          <value>
            <val>41.35</val>
          </value>
          <value>
            <val>-1.78</val>
          </value>
          <value t="str">
            <val>20.15%</val>
          </value>
          <value t="str">
            <val>2757萬</val>
          </value>
          <value t="str">
            <val>--</val>
          </value>
          <value t="str">
            <val>--</val>
          </value>
          <value t="str">
            <val>--</val>
          </value>
          <value>
            <val>0</val>
          </value>
          <value>
            <val>0</val>
          </value>
        </values>
      </ddeItem>
      <ddeItem name="3450.TW-ChipsField3,ChipsField1,ChipsField25,CashAndStockDividend,CashDividendYieldRate,ProfitFourSeason,ProfitSingle,CName,ExchangeIndustry,CompanyPos" advise="1">
        <values cols="10">
          <value>
            <val>-9</val>
          </value>
          <value>
            <val>18</val>
          </value>
          <value t="str">
            <val>2022/07/18</val>
          </value>
          <value t="str">
            <val>1.80</val>
          </value>
          <value>
            <val>4.8099999999999996</val>
          </value>
          <value t="str">
            <val>1.99</val>
          </value>
          <value t="str">
            <val>0.60</val>
          </value>
          <value t="str">
            <val>聯鈞</val>
          </value>
          <value t="str">
            <val>上市半導體</val>
          </value>
          <value t="str">
            <val>全球前三大雷射二極體封測代工廠</val>
          </value>
        </values>
      </ddeItem>
      <ddeItem name="3450.TW-CName,InvestorConferenceDate,DateofMeetingofShareHolders,TradingDate" advise="1">
        <values cols="4">
          <value t="str">
            <val>聯鈞</val>
          </value>
          <value t="str">
            <val>2022/11/16</val>
          </value>
          <value t="str">
            <val>2022/06/29</val>
          </value>
          <value t="str">
            <val>2022/12/22</val>
          </value>
        </values>
      </ddeItem>
      <ddeItem name="3450.TW-ID,Name,MarketValue,Capital,NetIncomeGrowthRate,OperIncomeGrowthRate,FinancialStatementsTime,TFXRatio,MonthlyNetSalesYoY,RevenueMonth" advise="1">
        <values cols="10">
          <value t="str">
            <val>3450</val>
          </value>
          <value t="str">
            <val>聯鈞</val>
          </value>
          <value t="str">
            <val>54.5</val>
          </value>
          <value t="str">
            <val>14.57</val>
          </value>
          <value t="str">
            <val>-0.39</val>
          </value>
          <value t="str">
            <val>-39.55</val>
          </value>
          <value t="str">
            <val>2022/09</val>
          </value>
          <value t="str">
            <val>3.45</val>
          </value>
          <value t="str">
            <val>-5.21</val>
          </value>
          <value t="str">
            <val>2022/11</val>
          </value>
        </values>
      </ddeItem>
      <ddeItem name="3450.TW-OperatingProfitRatio,Price,PriceChangeRatio,InOutRatioNumber,Value,YearReturn,MonthReturn,WeekReturn,FinanceBalanceDif,ChipsField2" advise="1">
        <values cols="10">
          <value t="str">
            <val>10.04</val>
          </value>
          <value>
            <val>37.4</val>
          </value>
          <value>
            <val>0.67</val>
          </value>
          <value t="str">
            <val>36.61%</val>
          </value>
          <value t="str">
            <val>456萬</val>
          </value>
          <value t="str">
            <val>-28.79</val>
          </value>
          <value t="str">
            <val>-2.35</val>
          </value>
          <value t="str">
            <val>-4.10</val>
          </value>
          <value>
            <val>6</val>
          </value>
          <value>
            <val>0</val>
          </value>
        </values>
      </ddeItem>
      <ddeItem name="3454.TW-ChipsField3,ChipsField1,ChipsField25,CashAndStockDividend,CashDividendYieldRate,ProfitFourSeason,ProfitSingle,CName,ExchangeIndustry,CompanyPos" advise="1">
        <values cols="10">
          <value>
            <val>18</val>
          </value>
          <value>
            <val>1271</val>
          </value>
          <value t="str">
            <val>2022/07/28</val>
          </value>
          <value t="str">
            <val>1.40</val>
          </value>
          <value>
            <val>0.68</val>
          </value>
          <value t="str">
            <val>6.13</val>
          </value>
          <value t="str">
            <val>2.56</val>
          </value>
          <value t="str">
            <val>晶睿</val>
          </value>
          <value t="str">
            <val>上市光電</val>
          </value>
          <value t="str">
            <val>全球IP Camera製造大廠</val>
          </value>
        </values>
      </ddeItem>
      <ddeItem name="3454.TW-CName,InvestorConferenceDate,DateofMeetingofShareHolders,TradingDate" advise="1">
        <values cols="4">
          <value t="str">
            <val>晶睿</val>
          </value>
          <value t="str">
            <val>2022/11/01</val>
          </value>
          <value t="str">
            <val>2022/06/17</val>
          </value>
          <value t="str">
            <val>2022/12/22</val>
          </value>
        </values>
      </ddeItem>
      <ddeItem name="3454.TW-ID,Name,MarketValue,Capital,NetIncomeGrowthRate,OperIncomeGrowthRate,FinancialStatementsTime,TFXRatio,MonthlyNetSalesYoY,RevenueMonth" advise="1">
        <values cols="10">
          <value t="str">
            <val>3454</val>
          </value>
          <value t="str">
            <val>晶睿</val>
          </value>
          <value t="str">
            <val>177.5</val>
          </value>
          <value t="str">
            <val>8.66</val>
          </value>
          <value t="str">
            <val>274.58</val>
          </value>
          <value t="str">
            <val>794.26</val>
          </value>
          <value t="str">
            <val>2022/09</val>
          </value>
          <value t="str">
            <val>2.14</val>
          </value>
          <value t="str">
            <val>158.41</val>
          </value>
          <value t="str">
            <val>2022/11</val>
          </value>
        </values>
      </ddeItem>
      <ddeItem name="3454.TW-OperatingProfitRatio,Price,PriceChangeRatio,InOutRatioNumber,Value,YearReturn,MonthReturn,WeekReturn,FinanceBalanceDif,ChipsField2" advise="1">
        <values cols="10">
          <value t="str">
            <val>7.62</val>
          </value>
          <value>
            <val>205</val>
          </value>
          <value>
            <val>1.99</val>
          </value>
          <value t="str">
            <val>47.15%</val>
          </value>
          <value t="str">
            <val>18.9億</val>
          </value>
          <value t="str">
            <val>+188.53</val>
          </value>
          <value t="str">
            <val>+16.81</val>
          </value>
          <value t="str">
            <val>-6.18</val>
          </value>
          <value>
            <val>-379</val>
          </value>
          <value>
            <val>-265</val>
          </value>
        </values>
      </ddeItem>
      <ddeItem name="3481.TW-ChipsField3,ChipsField1,ChipsField25,CashAndStockDividend,CashDividendYieldRate,ProfitFourSeason,ProfitSingle,CName,ExchangeIndustry,CompanyPos" advise="1">
        <values cols="10">
          <value>
            <val>735</val>
          </value>
          <value>
            <val>-18753</val>
          </value>
          <value t="str">
            <val>2022/07/11</val>
          </value>
          <value t="str">
            <val>1.05</val>
          </value>
          <value>
            <val>9.4600000000000009</val>
          </value>
          <value t="str">
            <val>-0.93</val>
          </value>
          <value t="str">
            <val>-1.27</val>
          </value>
          <value t="str">
            <val>群創</val>
          </value>
          <value t="str">
            <val>上市光電</val>
          </value>
          <value t="str">
            <val>全球知名面板大廠</val>
          </value>
        </values>
      </ddeItem>
      <ddeItem name="3481.TW-CName,InvestorConferenceDate,DateofMeetingofShareHolders,TradingDate" advise="1">
        <values cols="4">
          <value t="str">
            <val>群創</val>
          </value>
          <value t="str">
            <val>2022/08/18</val>
          </value>
          <value t="str">
            <val>2022/06/24</val>
          </value>
          <value t="str">
            <val>2022/12/22</val>
          </value>
        </values>
      </ddeItem>
      <ddeItem name="3481.TW-ID,Name,MarketValue,Capital,NetIncomeGrowthRate,OperIncomeGrowthRate,FinancialStatementsTime,TFXRatio,MonthlyNetSalesYoY,RevenueMonth" advise="1">
        <values cols="10">
          <value t="str">
            <val>3481</val>
          </value>
          <value t="str">
            <val>群創</val>
          </value>
          <value t="str">
            <val>1060.8</val>
          </value>
          <value t="str">
            <val>955.65</val>
          </value>
          <value t="str">
            <val>-130.10</val>
          </value>
          <value t="str">
            <val>-132.73</val>
          </value>
          <value t="str">
            <val>2022/09</val>
          </value>
          <value t="str">
            <val>3.61</val>
          </value>
          <value t="str">
            <val>-39.15</val>
          </value>
          <value t="str">
            <val>2022/11</val>
          </value>
        </values>
      </ddeItem>
      <ddeItem name="3481.TW-OperatingProfitRatio,Price,PriceChangeRatio,InOutRatioNumber,Value,YearReturn,MonthReturn,WeekReturn,FinanceBalanceDif,ChipsField2" advise="1">
        <values cols="10">
          <value t="str">
            <val>-10.74</val>
          </value>
          <value>
            <val>11.1</val>
          </value>
          <value>
            <val>3.74</val>
          </value>
          <value t="str">
            <val>69.17%</val>
          </value>
          <value t="str">
            <val>5.90億</val>
          </value>
          <value t="str">
            <val>-37.02</val>
          </value>
          <value t="str">
            <val>-9.76</val>
          </value>
          <value t="str">
            <val>-6.33</val>
          </value>
          <value>
            <val>1175</val>
          </value>
          <value>
            <val>0</val>
          </value>
        </values>
      </ddeItem>
      <ddeItem name="349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62</val>
          </value>
          <value t="str">
            <val>--</val>
          </value>
          <value t="str">
            <val>0.00</val>
          </value>
          <value>
            <val>0</val>
          </value>
          <value t="str">
            <val>-1.37</val>
          </value>
          <value t="str">
            <val>-0.13</val>
          </value>
          <value t="str">
            <val>誠研</val>
          </value>
          <value t="str">
            <val>上市電腦及週邊設備</val>
          </value>
          <value t="str">
            <val>熱昇華式數位相片印表機供應商</val>
          </value>
        </values>
      </ddeItem>
      <ddeItem name="3494.TW-CName,InvestorConferenceDate,DateofMeetingofShareHolders,TradingDate" advise="1">
        <values cols="4">
          <value t="str">
            <val>誠研</val>
          </value>
          <value t="str">
            <val>2022/12/22</val>
          </value>
          <value t="str">
            <val>2022/06/30</val>
          </value>
          <value t="str">
            <val>2022/12/22</val>
          </value>
        </values>
      </ddeItem>
      <ddeItem name="3494.TW-ID,Name,MarketValue,Capital,NetIncomeGrowthRate,OperIncomeGrowthRate,FinancialStatementsTime,TFXRatio,MonthlyNetSalesYoY,RevenueMonth" advise="1">
        <values cols="10">
          <value t="str">
            <val>3494</val>
          </value>
          <value t="str">
            <val>誠研</val>
          </value>
          <value t="str">
            <val>13.4</val>
          </value>
          <value t="str">
            <val>12.40</val>
          </value>
          <value t="str">
            <val>8.82</val>
          </value>
          <value t="str">
            <val>16.86</val>
          </value>
          <value t="str">
            <val>2022/09</val>
          </value>
          <value t="str">
            <val>25.71</val>
          </value>
          <value t="str">
            <val>40.31</val>
          </value>
          <value t="str">
            <val>2022/11</val>
          </value>
        </values>
      </ddeItem>
      <ddeItem name="3494.TW-OperatingProfitRatio,Price,PriceChangeRatio,InOutRatioNumber,Value,YearReturn,MonthReturn,WeekReturn,FinanceBalanceDif,ChipsField2" advise="1">
        <values cols="10">
          <value t="str">
            <val>-45.46</val>
          </value>
          <value>
            <val>11.15</val>
          </value>
          <value>
            <val>-3.04</val>
          </value>
          <value t="str">
            <val>24.27%</val>
          </value>
          <value t="str">
            <val>2325萬</val>
          </value>
          <value t="str">
            <val>+127.55</val>
          </value>
          <value t="str">
            <val>+25.99</val>
          </value>
          <value t="str">
            <val>-10.80</val>
          </value>
          <value>
            <val>0</val>
          </value>
          <value>
            <val>0</val>
          </value>
        </values>
      </ddeItem>
      <ddeItem name="3501.TW-ChipsField3,ChipsField1,ChipsField25,CashAndStockDividend,CashDividendYieldRate,ProfitFourSeason,ProfitSingle,CName,ExchangeIndustry,CompanyPos" advise="1">
        <values cols="10">
          <value>
            <val>-4</val>
          </value>
          <value>
            <val>23</val>
          </value>
          <value t="str">
            <val>2022/08/01</val>
          </value>
          <value t="str">
            <val>2.00</val>
          </value>
          <value>
            <val>3.98</val>
          </value>
          <value t="str">
            <val>5.73</val>
          </value>
          <value t="str">
            <val>2.82</val>
          </value>
          <value t="str">
            <val>維熹</val>
          </value>
          <value t="str">
            <val>上市電子零組件</val>
          </value>
          <value t="str">
            <val>正崴集團之連接線廠</val>
          </value>
        </values>
      </ddeItem>
      <ddeItem name="3501.TW-CName,InvestorConferenceDate,DateofMeetingofShareHolders,TradingDate" advise="1">
        <values cols="4">
          <value t="str">
            <val>維熹</val>
          </value>
          <value t="str">
            <val>2022/12/06</val>
          </value>
          <value t="str">
            <val>2022/06/24</val>
          </value>
          <value t="str">
            <val>2022/12/22</val>
          </value>
        </values>
      </ddeItem>
      <ddeItem name="3501.TW-ID,Name,MarketValue,Capital,NetIncomeGrowthRate,OperIncomeGrowthRate,FinancialStatementsTime,TFXRatio,MonthlyNetSalesYoY,RevenueMonth" advise="1">
        <values cols="10">
          <value t="str">
            <val>3501</val>
          </value>
          <value t="str">
            <val>維熹</val>
          </value>
          <value t="str">
            <val>59.4</val>
          </value>
          <value t="str">
            <val>11.83</val>
          </value>
          <value t="str">
            <val>111.66</val>
          </value>
          <value t="str">
            <val>47.71</val>
          </value>
          <value t="str">
            <val>2022/09</val>
          </value>
          <value t="str">
            <val>-0.92</val>
          </value>
          <value t="str">
            <val>1.50</val>
          </value>
          <value t="str">
            <val>2022/11</val>
          </value>
        </values>
      </ddeItem>
      <ddeItem name="3501.TW-OperatingProfitRatio,Price,PriceChangeRatio,InOutRatioNumber,Value,YearReturn,MonthReturn,WeekReturn,FinanceBalanceDif,ChipsField2" advise="1">
        <values cols="10">
          <value t="str">
            <val>11.21</val>
          </value>
          <value>
            <val>50.2</val>
          </value>
          <value>
            <val>0.5</val>
          </value>
          <value t="str">
            <val>42.57%</val>
          </value>
          <value t="str">
            <val>521萬</val>
          </value>
          <value t="str">
            <val>+9.92</val>
          </value>
          <value t="str">
            <val>+2.66</val>
          </value>
          <value t="str">
            <val>-3.46</val>
          </value>
          <value>
            <val>0</val>
          </value>
          <value>
            <val>0</val>
          </value>
        </values>
      </ddeItem>
      <ddeItem name="3504.TW-ChipsField3,ChipsField1,ChipsField25,CashAndStockDividend,CashDividendYieldRate,ProfitFourSeason,ProfitSingle,CName,ExchangeIndustry,CompanyPos" advise="1">
        <values cols="10">
          <value>
            <val>4</val>
          </value>
          <value>
            <val>52</val>
          </value>
          <value t="str">
            <val>--</val>
          </value>
          <value t="str">
            <val>0.00</val>
          </value>
          <value>
            <val>0</val>
          </value>
          <value t="str">
            <val>1.29</val>
          </value>
          <value t="str">
            <val>0.57</val>
          </value>
          <value t="str">
            <val>揚明光</val>
          </value>
          <value t="str">
            <val>上市光電</val>
          </value>
          <value t="str">
            <val>中光電旗下微投光機及光學元件生產廠商</val>
          </value>
        </values>
      </ddeItem>
      <ddeItem name="3504.TW-CName,InvestorConferenceDate,DateofMeetingofShareHolders,TradingDate" advise="1">
        <values cols="4">
          <value t="str">
            <val>揚明光</val>
          </value>
          <value t="str">
            <val>2022/07/25</val>
          </value>
          <value t="str">
            <val>2022/06/17</val>
          </value>
          <value t="str">
            <val>2022/12/22</val>
          </value>
        </values>
      </ddeItem>
      <ddeItem name="3504.TW-ID,Name,MarketValue,Capital,NetIncomeGrowthRate,OperIncomeGrowthRate,FinancialStatementsTime,TFXRatio,MonthlyNetSalesYoY,RevenueMonth" advise="1">
        <values cols="10">
          <value t="str">
            <val>3504</val>
          </value>
          <value t="str">
            <val>揚明光</val>
          </value>
          <value t="str">
            <val>87.7</val>
          </value>
          <value t="str">
            <val>11.41</val>
          </value>
          <value t="str">
            <val>865.89</val>
          </value>
          <value t="str">
            <val>265.29</val>
          </value>
          <value t="str">
            <val>2022/09</val>
          </value>
          <value t="str">
            <val>-13.83</val>
          </value>
          <value t="str">
            <val>-40.47</val>
          </value>
          <value t="str">
            <val>2022/11</val>
          </value>
        </values>
      </ddeItem>
      <ddeItem name="3504.TW-OperatingProfitRatio,Price,PriceChangeRatio,InOutRatioNumber,Value,YearReturn,MonthReturn,WeekReturn,FinanceBalanceDif,ChipsField2" advise="1">
        <values cols="10">
          <value t="str">
            <val>2.34</val>
          </value>
          <value>
            <val>76.900000000000006</val>
          </value>
          <value>
            <val>0.65</val>
          </value>
          <value t="str">
            <val>33.07%</val>
          </value>
          <value t="str">
            <val>4979萬</val>
          </value>
          <value t="str">
            <val>-34.83</val>
          </value>
          <value t="str">
            <val>-15.21</val>
          </value>
          <value t="str">
            <val>-7.13</val>
          </value>
          <value>
            <val>-73</val>
          </value>
          <value>
            <val>0</val>
          </value>
        </values>
      </ddeItem>
      <ddeItem name="3515.TW-ChipsField3,ChipsField1,ChipsField25,CashAndStockDividend,CashDividendYieldRate,ProfitFourSeason,ProfitSingle,CName,ExchangeIndustry,CompanyPos" advise="1">
        <values cols="10">
          <value>
            <val>-176</val>
          </value>
          <value>
            <val>-73</val>
          </value>
          <value t="str">
            <val>2022/07/14</val>
          </value>
          <value t="str">
            <val>13.00</val>
          </value>
          <value>
            <val>9.52</val>
          </value>
          <value t="str">
            <val>14.08</val>
          </value>
          <value t="str">
            <val>1.46</val>
          </value>
          <value t="str">
            <val>華擎</val>
          </value>
          <value t="str">
            <val>上市電腦及週邊設備</val>
          </value>
          <value t="str">
            <val>華碩旗下專攻低階MB品牌廠</val>
          </value>
        </values>
      </ddeItem>
      <ddeItem name="3515.TW-CName,InvestorConferenceDate,DateofMeetingofShareHolders,TradingDate" advise="1">
        <values cols="4">
          <value t="str">
            <val>華擎</val>
          </value>
          <value t="str">
            <val>2022/11/15</val>
          </value>
          <value t="str">
            <val>2022/05/25</val>
          </value>
          <value t="str">
            <val>2022/12/22</val>
          </value>
        </values>
      </ddeItem>
      <ddeItem name="3515.TW-ID,Name,MarketValue,Capital,NetIncomeGrowthRate,OperIncomeGrowthRate,FinancialStatementsTime,TFXRatio,MonthlyNetSalesYoY,RevenueMonth" advise="1">
        <values cols="10">
          <value t="str">
            <val>3515</val>
          </value>
          <value t="str">
            <val>華擎</val>
          </value>
          <value t="str">
            <val>167.8</val>
          </value>
          <value t="str">
            <val>12.20</val>
          </value>
          <value t="str">
            <val>-33.06</val>
          </value>
          <value t="str">
            <val>-57.00</val>
          </value>
          <value t="str">
            <val>2022/09</val>
          </value>
          <value t="str">
            <val>29.14</val>
          </value>
          <value t="str">
            <val>2.54</val>
          </value>
          <value t="str">
            <val>2022/11</val>
          </value>
        </values>
      </ddeItem>
      <ddeItem name="3515.TW-OperatingProfitRatio,Price,PriceChangeRatio,InOutRatioNumber,Value,YearReturn,MonthReturn,WeekReturn,FinanceBalanceDif,ChipsField2" advise="1">
        <values cols="10">
          <value t="str">
            <val>7.73</val>
          </value>
          <value>
            <val>136.5</val>
          </value>
          <value>
            <val>2.63</val>
          </value>
          <value t="str">
            <val>39.09%</val>
          </value>
          <value t="str">
            <val>2.61億</val>
          </value>
          <value t="str">
            <val>-42.13</val>
          </value>
          <value t="str">
            <val>+5.41</val>
          </value>
          <value t="str">
            <val>-4.88</val>
          </value>
          <value>
            <val>167</val>
          </value>
          <value>
            <val>0</val>
          </value>
        </values>
      </ddeItem>
      <ddeItem name="351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-29</val>
          </value>
          <value t="str">
            <val>2022/06/23</val>
          </value>
          <value t="str">
            <val>1.00</val>
          </value>
          <value>
            <val>5.01</val>
          </value>
          <value t="str">
            <val>0.13</val>
          </value>
          <value t="str">
            <val>-0.31</val>
          </value>
          <value t="str">
            <val>柏騰</val>
          </value>
          <value t="str">
            <val>上市其他電子</val>
          </value>
          <value t="str">
            <val>為台灣第一家具備低溫真空濺鍍之專業廠商</val>
          </value>
        </values>
      </ddeItem>
      <ddeItem name="3518.TW-CName,InvestorConferenceDate,DateofMeetingofShareHolders,TradingDate" advise="1">
        <values cols="4">
          <value t="str">
            <val>柏騰</val>
          </value>
          <value t="str">
            <val>2022/12/01</val>
          </value>
          <value t="str">
            <val>2022/06/08</val>
          </value>
          <value t="str">
            <val>2022/12/22</val>
          </value>
        </values>
      </ddeItem>
      <ddeItem name="3518.TW-ID,Name,MarketValue,Capital,NetIncomeGrowthRate,OperIncomeGrowthRate,FinancialStatementsTime,TFXRatio,MonthlyNetSalesYoY,RevenueMonth" advise="1">
        <values cols="10">
          <value t="str">
            <val>3518</val>
          </value>
          <value t="str">
            <val>柏騰</val>
          </value>
          <value t="str">
            <val>15.8</val>
          </value>
          <value t="str">
            <val>8.07</val>
          </value>
          <value t="str">
            <val>-438.44</val>
          </value>
          <value t="str">
            <val>-154.76</val>
          </value>
          <value t="str">
            <val>2022/09</val>
          </value>
          <value t="str">
            <val>-7.54</val>
          </value>
          <value t="str">
            <val>-68.70</val>
          </value>
          <value t="str">
            <val>2022/11</val>
          </value>
        </values>
      </ddeItem>
      <ddeItem name="3518.TW-OperatingProfitRatio,Price,PriceChangeRatio,InOutRatioNumber,Value,YearReturn,MonthReturn,WeekReturn,FinanceBalanceDif,ChipsField2" advise="1">
        <values cols="10">
          <value t="str">
            <val>-5.49</val>
          </value>
          <value>
            <val>19.95</val>
          </value>
          <value>
            <val>1.53</val>
          </value>
          <value t="str">
            <val>40.61%</val>
          </value>
          <value t="str">
            <val>325萬</val>
          </value>
          <value t="str">
            <val>-7.60</val>
          </value>
          <value t="str">
            <val>-0.75</val>
          </value>
          <value t="str">
            <val>-4.77</val>
          </value>
          <value>
            <val>4</val>
          </value>
          <value>
            <val>0</val>
          </value>
        </values>
      </ddeItem>
      <ddeItem name="352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2022/06/23</val>
          </value>
          <value t="str">
            <val>3.80</val>
          </value>
          <value>
            <val>7.52</val>
          </value>
          <value t="str">
            <val>4.97</val>
          </value>
          <value t="str">
            <val>0.79</val>
          </value>
          <value t="str">
            <val>安馳</val>
          </value>
          <value t="str">
            <val>上市電子通路</val>
          </value>
          <value t="str">
            <val>台灣前5大IC通路商</val>
          </value>
        </values>
      </ddeItem>
      <ddeItem name="3528.TW-CName,InvestorConferenceDate,DateofMeetingofShareHolders,TradingDate" advise="1">
        <values cols="4">
          <value t="str">
            <val>安馳</val>
          </value>
          <value t="str">
            <val>2022/08/25</val>
          </value>
          <value t="str">
            <val>2022/05/25</val>
          </value>
          <value t="str">
            <val>2022/12/22</val>
          </value>
        </values>
      </ddeItem>
      <ddeItem name="3528.TW-ID,Name,MarketValue,Capital,NetIncomeGrowthRate,OperIncomeGrowthRate,FinancialStatementsTime,TFXRatio,MonthlyNetSalesYoY,RevenueMonth" advise="1">
        <values cols="10">
          <value t="str">
            <val>3528</val>
          </value>
          <value t="str">
            <val>安馳</val>
          </value>
          <value t="str">
            <val>33.4</val>
          </value>
          <value t="str">
            <val>6.61</val>
          </value>
          <value t="str">
            <val>12.62</val>
          </value>
          <value t="str">
            <val>123.36</val>
          </value>
          <value t="str">
            <val>2022/09</val>
          </value>
          <value t="str">
            <val>0.90</val>
          </value>
          <value t="str">
            <val>2.69</val>
          </value>
          <value t="str">
            <val>2022/11</val>
          </value>
        </values>
      </ddeItem>
      <ddeItem name="3528.TW-OperatingProfitRatio,Price,PriceChangeRatio,InOutRatioNumber,Value,YearReturn,MonthReturn,WeekReturn,FinanceBalanceDif,ChipsField2" advise="1">
        <values cols="10">
          <value t="str">
            <val>11.33</val>
          </value>
          <value>
            <val>50.5</val>
          </value>
          <value>
            <val>0.8</val>
          </value>
          <value t="str">
            <val>37.50%</val>
          </value>
          <value t="str">
            <val>40.2萬</val>
          </value>
          <value t="str">
            <val>+10.40</val>
          </value>
          <value t="str">
            <val>+1.10</val>
          </value>
          <value t="str">
            <val>+0.20</val>
          </value>
          <value>
            <val>0</val>
          </value>
          <value>
            <val>0</val>
          </value>
        </values>
      </ddeItem>
      <ddeItem name="3530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6</val>
          </value>
          <value t="str">
            <val>2022/07/14</val>
          </value>
          <value t="str">
            <val>3.50</val>
          </value>
          <value>
            <val>4.8499999999999996</val>
          </value>
          <value t="str">
            <val>3.78</val>
          </value>
          <value t="str">
            <val>-0.04</val>
          </value>
          <value t="str">
            <val>晶相光</val>
          </value>
          <value t="str">
            <val>上市半導體</val>
          </value>
          <value t="str">
            <val>力晶與OmniVision合資之CMOS晶片廠</val>
          </value>
        </values>
      </ddeItem>
      <ddeItem name="3530.TW-CName,InvestorConferenceDate,DateofMeetingofShareHolders,TradingDate" advise="1">
        <values cols="4">
          <value t="str">
            <val>晶相光</val>
          </value>
          <value t="str">
            <val>2022/12/20</val>
          </value>
          <value t="str">
            <val>2022/06/23</val>
          </value>
          <value t="str">
            <val>2022/12/22</val>
          </value>
        </values>
      </ddeItem>
      <ddeItem name="3530.TW-ID,Name,MarketValue,Capital,NetIncomeGrowthRate,OperIncomeGrowthRate,FinancialStatementsTime,TFXRatio,MonthlyNetSalesYoY,RevenueMonth" advise="1">
        <values cols="10">
          <value t="str">
            <val>3530</val>
          </value>
          <value t="str">
            <val>晶相光</val>
          </value>
          <value t="str">
            <val>56.4</val>
          </value>
          <value t="str">
            <val>7.82</val>
          </value>
          <value t="str">
            <val>-73.41</val>
          </value>
          <value t="str">
            <val>-74.98</val>
          </value>
          <value t="str">
            <val>2022/09</val>
          </value>
          <value t="str">
            <val>20.32</val>
          </value>
          <value t="str">
            <val>-60.13</val>
          </value>
          <value t="str">
            <val>2022/11</val>
          </value>
        </values>
      </ddeItem>
      <ddeItem name="3530.TW-OperatingProfitRatio,Price,PriceChangeRatio,InOutRatioNumber,Value,YearReturn,MonthReturn,WeekReturn,FinanceBalanceDif,ChipsField2" advise="1">
        <values cols="10">
          <value t="str">
            <val>11.44</val>
          </value>
          <value>
            <val>72.099999999999994</val>
          </value>
          <value>
            <val>-1.9</val>
          </value>
          <value t="str">
            <val>16.67%</val>
          </value>
          <value t="str">
            <val>614萬</val>
          </value>
          <value t="str">
            <val>-44.60</val>
          </value>
          <value t="str">
            <val>-5.01</val>
          </value>
          <value t="str">
            <val>-6.73</val>
          </value>
          <value>
            <val>4</val>
          </value>
          <value>
            <val>0</val>
          </value>
        </values>
      </ddeItem>
      <ddeItem name="3532.TW-ChipsField3,ChipsField1,ChipsField25,CashAndStockDividend,CashDividendYieldRate,ProfitFourSeason,ProfitSingle,CName,ExchangeIndustry,CompanyPos" advise="1">
        <values cols="10">
          <value>
            <val>-131</val>
          </value>
          <value>
            <val>145</val>
          </value>
          <value t="str">
            <val>2022/07/13</val>
          </value>
          <value t="str">
            <val>2.22</val>
          </value>
          <value>
            <val>1.53</val>
          </value>
          <value t="str">
            <val>10.85</val>
          </value>
          <value t="str">
            <val>3.98</val>
          </value>
          <value t="str">
            <val>台勝科</val>
          </value>
          <value t="str">
            <val>上市半導體</val>
          </value>
          <value t="str">
            <val>台塑與Sumco合資成立的矽晶圓製造商</val>
          </value>
        </values>
      </ddeItem>
      <ddeItem name="3532.TW-CName,InvestorConferenceDate,DateofMeetingofShareHolders,TradingDate" advise="1">
        <values cols="4">
          <value t="str">
            <val>台勝科</val>
          </value>
          <value t="str">
            <val>2022/11/28</val>
          </value>
          <value t="str">
            <val>2022/06/17</val>
          </value>
          <value t="str">
            <val>2022/12/22</val>
          </value>
        </values>
      </ddeItem>
      <ddeItem name="3532.TW-ID,Name,MarketValue,Capital,NetIncomeGrowthRate,OperIncomeGrowthRate,FinancialStatementsTime,TFXRatio,MonthlyNetSalesYoY,RevenueMonth" advise="1">
        <values cols="10">
          <value t="str">
            <val>3532</val>
          </value>
          <value t="str">
            <val>台勝科</val>
          </value>
          <value t="str">
            <val>562.4</val>
          </value>
          <value t="str">
            <val>38.78</val>
          </value>
          <value t="str">
            <val>271.79</val>
          </value>
          <value t="str">
            <val>181.89</val>
          </value>
          <value t="str">
            <val>2022/09</val>
          </value>
          <value t="str">
            <val>-1.54</val>
          </value>
          <value t="str">
            <val>41.17</val>
          </value>
          <value t="str">
            <val>2022/11</val>
          </value>
        </values>
      </ddeItem>
      <ddeItem name="3532.TW-OperatingProfitRatio,Price,PriceChangeRatio,InOutRatioNumber,Value,YearReturn,MonthReturn,WeekReturn,FinanceBalanceDif,ChipsField2" advise="1">
        <values cols="10">
          <value t="str">
            <val>31.98</val>
          </value>
          <value>
            <val>145</val>
          </value>
          <value>
            <val>0.35</val>
          </value>
          <value t="str">
            <val>44.01%</val>
          </value>
          <value t="str">
            <val>1.06億</val>
          </value>
          <value t="str">
            <val>-49.35</val>
          </value>
          <value t="str">
            <val>-12.39</val>
          </value>
          <value t="str">
            <val>-6.45</val>
          </value>
          <value>
            <val>15</val>
          </value>
          <value>
            <val>0</val>
          </value>
        </values>
      </ddeItem>
      <ddeItem name="3533.TW-ChipsField3,ChipsField1,ChipsField25,CashAndStockDividend,CashDividendYieldRate,ProfitFourSeason,ProfitSingle,CName,ExchangeIndustry,CompanyPos" advise="1">
        <values cols="10">
          <value>
            <val>-17</val>
          </value>
          <value>
            <val>109</val>
          </value>
          <value t="str">
            <val>2022/08/03</val>
          </value>
          <value t="str">
            <val>15.92</val>
          </value>
          <value>
            <val>1.93</val>
          </value>
          <value t="str">
            <val>54.89</val>
          </value>
          <value t="str">
            <val>17.91</val>
          </value>
          <value t="str">
            <val>嘉澤</val>
          </value>
          <value t="str">
            <val>上市電子零組件</val>
          </value>
          <value t="str">
            <val>全球前三大CPU Socket製造商</val>
          </value>
        </values>
      </ddeItem>
      <ddeItem name="3533.TW-CName,InvestorConferenceDate,DateofMeetingofShareHolders,TradingDate" advise="1">
        <values cols="4">
          <value t="str">
            <val>嘉澤</val>
          </value>
          <value t="str">
            <val>2021/04/07</val>
          </value>
          <value t="str">
            <val>2022/06/17</val>
          </value>
          <value t="str">
            <val>2022/12/22</val>
          </value>
        </values>
      </ddeItem>
      <ddeItem name="3533.TW-ID,Name,MarketValue,Capital,NetIncomeGrowthRate,OperIncomeGrowthRate,FinancialStatementsTime,TFXRatio,MonthlyNetSalesYoY,RevenueMonth" advise="1">
        <values cols="10">
          <value t="str">
            <val>3533</val>
          </value>
          <value t="str">
            <val>嘉澤</val>
          </value>
          <value t="str">
            <val>879.6</val>
          </value>
          <value t="str">
            <val>10.70</val>
          </value>
          <value t="str">
            <val>97.86</val>
          </value>
          <value t="str">
            <val>65.51</val>
          </value>
          <value t="str">
            <val>2022/09</val>
          </value>
          <value t="str">
            <val>1.47</val>
          </value>
          <value t="str">
            <val>17.57</val>
          </value>
          <value t="str">
            <val>2022/11</val>
          </value>
        </values>
      </ddeItem>
      <ddeItem name="3533.TW-OperatingProfitRatio,Price,PriceChangeRatio,InOutRatioNumber,Value,YearReturn,MonthReturn,WeekReturn,FinanceBalanceDif,ChipsField2" advise="1">
        <values cols="10">
          <value t="str">
            <val>25.36</val>
          </value>
          <value>
            <val>826</val>
          </value>
          <value>
            <val>2.35</val>
          </value>
          <value t="str">
            <val>42.69%</val>
          </value>
          <value t="str">
            <val>4.94億</val>
          </value>
          <value t="str">
            <val>+18.92</val>
          </value>
          <value t="str">
            <val>-5.06</val>
          </value>
          <value t="str">
            <val>-9.53</val>
          </value>
          <value>
            <val>19</val>
          </value>
          <value>
            <val>-137</val>
          </value>
        </values>
      </ddeItem>
      <ddeItem name="353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130</val>
          </value>
          <value t="str">
            <val>2022/08/23</val>
          </value>
          <value t="str">
            <val>0.50</val>
          </value>
          <value>
            <val>2.31</val>
          </value>
          <value t="str">
            <val>4.07</val>
          </value>
          <value t="str">
            <val>1.36</val>
          </value>
          <value t="str">
            <val>晶彩科</val>
          </value>
          <value t="str">
            <val>上市光電</val>
          </value>
          <value t="str">
            <val>國內面板前段自動光學檢測設備大廠</val>
          </value>
        </values>
      </ddeItem>
      <ddeItem name="3535.TW-CName,InvestorConferenceDate,DateofMeetingofShareHolders,TradingDate" advise="1">
        <values cols="4">
          <value t="str">
            <val>晶彩科</val>
          </value>
          <value t="str">
            <val>2022/11/11</val>
          </value>
          <value t="str">
            <val>2022/06/24</val>
          </value>
          <value t="str">
            <val>2022/12/22</val>
          </value>
        </values>
      </ddeItem>
      <ddeItem name="3535.TW-ID,Name,MarketValue,Capital,NetIncomeGrowthRate,OperIncomeGrowthRate,FinancialStatementsTime,TFXRatio,MonthlyNetSalesYoY,RevenueMonth" advise="1">
        <values cols="10">
          <value t="str">
            <val>3535</val>
          </value>
          <value t="str">
            <val>晶彩科</val>
          </value>
          <value t="str">
            <val>17.1</val>
          </value>
          <value t="str">
            <val>7.91</val>
          </value>
          <value t="str">
            <val>450.18</val>
          </value>
          <value t="str">
            <val>164.01</val>
          </value>
          <value t="str">
            <val>2022/09</val>
          </value>
          <value t="str">
            <val>-83.67</val>
          </value>
          <value t="str">
            <val>-86.37</val>
          </value>
          <value t="str">
            <val>2022/11</val>
          </value>
        </values>
      </ddeItem>
      <ddeItem name="3535.TW-OperatingProfitRatio,Price,PriceChangeRatio,InOutRatioNumber,Value,YearReturn,MonthReturn,WeekReturn,FinanceBalanceDif,ChipsField2" advise="1">
        <values cols="10">
          <value t="str">
            <val>15.55</val>
          </value>
          <value>
            <val>21.65</val>
          </value>
          <value>
            <val>1.41</val>
          </value>
          <value t="str">
            <val>37.50%</val>
          </value>
          <value t="str">
            <val>932萬</val>
          </value>
          <value t="str">
            <val>+24.29</val>
          </value>
          <value t="str">
            <val>-14.26</val>
          </value>
          <value t="str">
            <val>-6.48</val>
          </value>
          <value>
            <val>-100</val>
          </value>
          <value>
            <val>0</val>
          </value>
        </values>
      </ddeItem>
      <ddeItem name="353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-1.01</val>
          </value>
          <value t="str">
            <val>-0.26</val>
          </value>
          <value t="str">
            <val>誠創</val>
          </value>
          <value t="str">
            <val>上市半導體</val>
          </value>
          <value t="str">
            <val>從事整流器件、UVC殺菌及精密陶瓷產品之製造</val>
          </value>
        </values>
      </ddeItem>
      <ddeItem name="3536.TW-CName,InvestorConferenceDate,DateofMeetingofShareHolders,TradingDate" advise="1">
        <values cols="4">
          <value t="str">
            <val>誠創</val>
          </value>
          <value t="str">
            <val>2022/12/28</val>
          </value>
          <value t="str">
            <val>2022/06/30</val>
          </value>
          <value t="str">
            <val>2022/12/22</val>
          </value>
        </values>
      </ddeItem>
      <ddeItem name="3536.TW-ID,Name,MarketValue,Capital,NetIncomeGrowthRate,OperIncomeGrowthRate,FinancialStatementsTime,TFXRatio,MonthlyNetSalesYoY,RevenueMonth" advise="1">
        <values cols="10">
          <value t="str">
            <val>3536</val>
          </value>
          <value t="str">
            <val>誠創</val>
          </value>
          <value t="str">
            <val>4.7</val>
          </value>
          <value t="str">
            <val>10.68</val>
          </value>
          <value t="str">
            <val>-12.41</val>
          </value>
          <value t="str">
            <val>6.32</val>
          </value>
          <value t="str">
            <val>2022/09</val>
          </value>
          <value t="str">
            <val>14.80</val>
          </value>
          <value t="str">
            <val>2.85</val>
          </value>
          <value t="str">
            <val>2022/11</val>
          </value>
        </values>
      </ddeItem>
      <ddeItem name="3536.TW-OperatingProfitRatio,Price,PriceChangeRatio,InOutRatioNumber,Value,YearReturn,MonthReturn,WeekReturn,FinanceBalanceDif,ChipsField2" advise="1">
        <values cols="10">
          <value t="str">
            <val>-25.52</val>
          </value>
          <value>
            <val>4.4000000000000004</val>
          </value>
          <value>
            <val>10</val>
          </value>
          <value t="str">
            <val>92.61%</val>
          </value>
          <value t="str">
            <val>103萬</val>
          </value>
          <value t="str">
            <val>-24.27</val>
          </value>
          <value t="str">
            <val>+30.95</val>
          </value>
          <value t="str">
            <val>+6.54</val>
          </value>
          <value>
            <val>0</val>
          </value>
          <value>
            <val>0</val>
          </value>
        </values>
      </ddeItem>
      <ddeItem name="354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-6</val>
          </value>
          <value t="str">
            <val>2022/06/14</val>
          </value>
          <value t="str">
            <val>1.20</val>
          </value>
          <value>
            <val>6.03</val>
          </value>
          <value t="str">
            <val>-0.53</val>
          </value>
          <value t="str">
            <val>0.35</val>
          </value>
          <value t="str">
            <val>州巧</val>
          </value>
          <value t="str">
            <val>上市光電</val>
          </value>
          <value t="str">
            <val>專注LCD TV面板沖壓件製造商</val>
          </value>
        </values>
      </ddeItem>
      <ddeItem name="3543.TW-CName,InvestorConferenceDate,DateofMeetingofShareHolders,TradingDate" advise="1">
        <values cols="4">
          <value t="str">
            <val>州巧</val>
          </value>
          <value t="str">
            <val>2022/12/12</val>
          </value>
          <value t="str">
            <val>2022/05/27</val>
          </value>
          <value t="str">
            <val>2022/12/22</val>
          </value>
        </values>
      </ddeItem>
      <ddeItem name="3543.TW-ID,Name,MarketValue,Capital,NetIncomeGrowthRate,OperIncomeGrowthRate,FinancialStatementsTime,TFXRatio,MonthlyNetSalesYoY,RevenueMonth" advise="1">
        <values cols="10">
          <value t="str">
            <val>3543</val>
          </value>
          <value t="str">
            <val>州巧</val>
          </value>
          <value t="str">
            <val>17.8</val>
          </value>
          <value t="str">
            <val>8.93</val>
          </value>
          <value t="str">
            <val>-120.30</val>
          </value>
          <value t="str">
            <val>-1672.75</val>
          </value>
          <value t="str">
            <val>2022/09</val>
          </value>
          <value t="str">
            <val>-7.04</val>
          </value>
          <value t="str">
            <val>-26.43</val>
          </value>
          <value t="str">
            <val>2022/11</val>
          </value>
        </values>
      </ddeItem>
      <ddeItem name="3543.TW-OperatingProfitRatio,Price,PriceChangeRatio,InOutRatioNumber,Value,YearReturn,MonthReturn,WeekReturn,FinanceBalanceDif,ChipsField2" advise="1">
        <values cols="10">
          <value t="str">
            <val>-3.08</val>
          </value>
          <value>
            <val>19.899999999999999</val>
          </value>
          <value>
            <val>0.51</val>
          </value>
          <value t="str">
            <val>50.00%</val>
          </value>
          <value t="str">
            <val>9.91萬</val>
          </value>
          <value t="str">
            <val>-19.37</val>
          </value>
          <value t="str">
            <val>+0.76</val>
          </value>
          <value t="str">
            <val>+0.51</val>
          </value>
          <value>
            <val>7</val>
          </value>
          <value>
            <val>0</val>
          </value>
        </values>
      </ddeItem>
      <ddeItem name="3545.TW-ChipsField3,ChipsField1,ChipsField25,CashAndStockDividend,CashDividendYieldRate,ProfitFourSeason,ProfitSingle,CName,ExchangeIndustry,CompanyPos" advise="1">
        <values cols="10">
          <value>
            <val>-51</val>
          </value>
          <value>
            <val>-135</val>
          </value>
          <value t="str">
            <val>2022/07/28</val>
          </value>
          <value t="str">
            <val>15.84</val>
          </value>
          <value>
            <val>27.26</val>
          </value>
          <value t="str">
            <val>-3.02</val>
          </value>
          <value t="str">
            <val>-13.57</val>
          </value>
          <value t="str">
            <val>敦泰</val>
          </value>
          <value t="str">
            <val>上市半導體</val>
          </value>
          <value t="str">
            <val>台灣中小尺寸LCD驅動IC廠</val>
          </value>
        </values>
      </ddeItem>
      <ddeItem name="3545.TW-CName,InvestorConferenceDate,DateofMeetingofShareHolders,TradingDate" advise="1">
        <values cols="4">
          <value t="str">
            <val>敦泰</val>
          </value>
          <value t="str">
            <val>2022/11/11</val>
          </value>
          <value t="str">
            <val>2022/06/09</val>
          </value>
          <value t="str">
            <val>2022/12/22</val>
          </value>
        </values>
      </ddeItem>
      <ddeItem name="3545.TW-ID,Name,MarketValue,Capital,NetIncomeGrowthRate,OperIncomeGrowthRate,FinancialStatementsTime,TFXRatio,MonthlyNetSalesYoY,RevenueMonth" advise="1">
        <values cols="10">
          <value t="str">
            <val>3545</val>
          </value>
          <value t="str">
            <val>敦泰</val>
          </value>
          <value t="str">
            <val>125.7</val>
          </value>
          <value t="str">
            <val>21.64</val>
          </value>
          <value t="str">
            <val>-141.24</val>
          </value>
          <value t="str">
            <val>-141.98</val>
          </value>
          <value t="str">
            <val>2022/09</val>
          </value>
          <value t="str">
            <val>-4.87</val>
          </value>
          <value t="str">
            <val>-42.06</val>
          </value>
          <value t="str">
            <val>2022/11</val>
          </value>
        </values>
      </ddeItem>
      <ddeItem name="3545.TW-OperatingProfitRatio,Price,PriceChangeRatio,InOutRatioNumber,Value,YearReturn,MonthReturn,WeekReturn,FinanceBalanceDif,ChipsField2" advise="1">
        <values cols="10">
          <value t="str">
            <val>-23.56</val>
          </value>
          <value>
            <val>58.1</val>
          </value>
          <value>
            <val>2.65</val>
          </value>
          <value t="str">
            <val>56.32%</val>
          </value>
          <value t="str">
            <val>8385萬</val>
          </value>
          <value t="str">
            <val>-59.72</val>
          </value>
          <value t="str">
            <val>-11.30</val>
          </value>
          <value t="str">
            <val>-7.48</val>
          </value>
          <value>
            <val>56</val>
          </value>
          <value>
            <val>0</val>
          </value>
        </values>
      </ddeItem>
      <ddeItem name="3550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1</val>
          </value>
          <value t="str">
            <val>2022/07/19</val>
          </value>
          <value t="str">
            <val>0.60</val>
          </value>
          <value>
            <val>4.32</val>
          </value>
          <value t="str">
            <val>-0.19</val>
          </value>
          <value t="str">
            <val>-0.25</val>
          </value>
          <value t="str">
            <val>聯穎</val>
          </value>
          <value t="str">
            <val>上市電子零組件</val>
          </value>
          <value t="str">
            <val>3C影音傳輸線材專業供應商</val>
          </value>
        </values>
      </ddeItem>
      <ddeItem name="3550.TW-CName,InvestorConferenceDate,DateofMeetingofShareHolders,TradingDate" advise="1">
        <values cols="4">
          <value t="str">
            <val>聯穎</val>
          </value>
          <value t="str">
            <val>2022/10/20</val>
          </value>
          <value t="str">
            <val>2022/06/29</val>
          </value>
          <value t="str">
            <val>2022/12/22</val>
          </value>
        </values>
      </ddeItem>
      <ddeItem name="3550.TW-ID,Name,MarketValue,Capital,NetIncomeGrowthRate,OperIncomeGrowthRate,FinancialStatementsTime,TFXRatio,MonthlyNetSalesYoY,RevenueMonth" advise="1">
        <values cols="10">
          <value t="str">
            <val>3550</val>
          </value>
          <value t="str">
            <val>聯穎</val>
          </value>
          <value t="str">
            <val>12.2</val>
          </value>
          <value t="str">
            <val>8.76</val>
          </value>
          <value t="str">
            <val>-121.35</val>
          </value>
          <value t="str">
            <val>-139.22</val>
          </value>
          <value t="str">
            <val>2022/09</val>
          </value>
          <value t="str">
            <val>24.54</val>
          </value>
          <value t="str">
            <val>-9.43</val>
          </value>
          <value t="str">
            <val>2022/11</val>
          </value>
        </values>
      </ddeItem>
      <ddeItem name="3550.TW-OperatingProfitRatio,Price,PriceChangeRatio,InOutRatioNumber,Value,YearReturn,MonthReturn,WeekReturn,FinanceBalanceDif,ChipsField2" advise="1">
        <values cols="10">
          <value t="str">
            <val>-1.49</val>
          </value>
          <value>
            <val>13.9</val>
          </value>
          <value>
            <val>0.72</val>
          </value>
          <value t="str">
            <val>50.00%</val>
          </value>
          <value t="str">
            <val>103萬</val>
          </value>
          <value t="str">
            <val>-19.01</val>
          </value>
          <value t="str">
            <val>+4.91</val>
          </value>
          <value t="str">
            <val>-1.07</val>
          </value>
          <value>
            <val>12</val>
          </value>
          <value>
            <val>0</val>
          </value>
        </values>
      </ddeItem>
      <ddeItem name="355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2022/11/28</val>
          </value>
          <value t="str">
            <val>3.00</val>
          </value>
          <value>
            <val>12.28</val>
          </value>
          <value t="str">
            <val>7.40</val>
          </value>
          <value t="str">
            <val>1.19</val>
          </value>
          <value t="str">
            <val>嘉威</val>
          </value>
          <value t="str">
            <val>上市其他</val>
          </value>
          <value t="str">
            <val>家居餐飲用品生產及銷售商</val>
          </value>
        </values>
      </ddeItem>
      <ddeItem name="3557.TW-CName,InvestorConferenceDate,DateofMeetingofShareHolders,TradingDate" advise="1">
        <values cols="4">
          <value t="str">
            <val>嘉威</val>
          </value>
          <value t="str">
            <val>2022/12/09</val>
          </value>
          <value t="str">
            <val>2022/05/31</val>
          </value>
          <value t="str">
            <val>2022/12/22</val>
          </value>
        </values>
      </ddeItem>
      <ddeItem name="3557.TW-ID,Name,MarketValue,Capital,NetIncomeGrowthRate,OperIncomeGrowthRate,FinancialStatementsTime,TFXRatio,MonthlyNetSalesYoY,RevenueMonth" advise="1">
        <values cols="10">
          <value t="str">
            <val>3557</val>
          </value>
          <value t="str">
            <val>嘉威</val>
          </value>
          <value t="str">
            <val>39.2</val>
          </value>
          <value t="str">
            <val>8.03</val>
          </value>
          <value t="str">
            <val>0.60</val>
          </value>
          <value t="str">
            <val>0.30</val>
          </value>
          <value t="str">
            <val>2022/09</val>
          </value>
          <value t="str">
            <val>12.05</val>
          </value>
          <value t="str">
            <val>-4.29</val>
          </value>
          <value t="str">
            <val>2022/11</val>
          </value>
        </values>
      </ddeItem>
      <ddeItem name="3557.TW-OperatingProfitRatio,Price,PriceChangeRatio,InOutRatioNumber,Value,YearReturn,MonthReturn,WeekReturn,FinanceBalanceDif,ChipsField2" advise="1">
        <values cols="10">
          <value t="str">
            <val>10.96</val>
          </value>
          <value>
            <val>48.85</val>
          </value>
          <value>
            <val>0.1</val>
          </value>
          <value t="str">
            <val>62.50%</val>
          </value>
          <value t="str">
            <val>39.3萬</val>
          </value>
          <value t="str">
            <val>-30.19</val>
          </value>
          <value t="str">
            <val>-3.91</val>
          </value>
          <value t="str">
            <val>-0.91</val>
          </value>
          <value>
            <val>-3</val>
          </value>
          <value>
            <val>0</val>
          </value>
        </values>
      </ddeItem>
      <ddeItem name="3563.TW-ChipsField3,ChipsField1,ChipsField25,CashAndStockDividend,CashDividendYieldRate,ProfitFourSeason,ProfitSingle,CName,ExchangeIndustry,CompanyPos" advise="1">
        <values cols="10">
          <value>
            <val>-2</val>
          </value>
          <value>
            <val>4</val>
          </value>
          <value t="str">
            <val>2022/11/22</val>
          </value>
          <value t="str">
            <val>2.00</val>
          </value>
          <value>
            <val>9.09</val>
          </value>
          <value t="str">
            <val>14.66</val>
          </value>
          <value t="str">
            <val>3.09</val>
          </value>
          <value t="str">
            <val>牧德</val>
          </value>
          <value t="str">
            <val>上市光電</val>
          </value>
          <value t="str">
            <val>台灣最大的PCB光學檢測設備供應商</val>
          </value>
        </values>
      </ddeItem>
      <ddeItem name="3563.TW-CName,InvestorConferenceDate,DateofMeetingofShareHolders,TradingDate" advise="1">
        <values cols="4">
          <value t="str">
            <val>牧德</val>
          </value>
          <value t="str">
            <val>2022/08/25</val>
          </value>
          <value t="str">
            <val>2022/05/26</val>
          </value>
          <value t="str">
            <val>2022/12/22</val>
          </value>
        </values>
      </ddeItem>
      <ddeItem name="3563.TW-ID,Name,MarketValue,Capital,NetIncomeGrowthRate,OperIncomeGrowthRate,FinancialStatementsTime,TFXRatio,MonthlyNetSalesYoY,RevenueMonth" advise="1">
        <values cols="10">
          <value t="str">
            <val>3563</val>
          </value>
          <value t="str">
            <val>牧德</val>
          </value>
          <value t="str">
            <val>59.0</val>
          </value>
          <value t="str">
            <val>4.47</val>
          </value>
          <value t="str">
            <val>-25.69</val>
          </value>
          <value t="str">
            <val>-45.26</val>
          </value>
          <value t="str">
            <val>2022/09</val>
          </value>
          <value t="str">
            <val>3.38</val>
          </value>
          <value t="str">
            <val>-31.69</val>
          </value>
          <value t="str">
            <val>2022/11</val>
          </value>
        </values>
      </ddeItem>
      <ddeItem name="3563.TW-OperatingProfitRatio,Price,PriceChangeRatio,InOutRatioNumber,Value,YearReturn,MonthReturn,WeekReturn,FinanceBalanceDif,ChipsField2" advise="1">
        <values cols="10">
          <value t="str">
            <val>29.19</val>
          </value>
          <value>
            <val>132</val>
          </value>
          <value>
            <val>0.38</val>
          </value>
          <value t="str">
            <val>30.77%</val>
          </value>
          <value t="str">
            <val>357萬</val>
          </value>
          <value t="str">
            <val>-39.55</val>
          </value>
          <value t="str">
            <val>+0.38</val>
          </value>
          <value t="str">
            <val>-4.69</val>
          </value>
          <value>
            <val>2</val>
          </value>
          <value>
            <val>0</val>
          </value>
        </values>
      </ddeItem>
      <ddeItem name="357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-1831</val>
          </value>
          <value t="str">
            <val>--</val>
          </value>
          <value t="str">
            <val>0.00</val>
          </value>
          <value>
            <val>0</val>
          </value>
          <value t="str">
            <val>0.33</val>
          </value>
          <value t="str">
            <val>0.12</val>
          </value>
          <value t="str">
            <val>聯合再生</val>
          </value>
          <value t="str">
            <val>上市光電</val>
          </value>
          <value t="str">
            <val>台灣太陽能電池模組龍頭</val>
          </value>
        </values>
      </ddeItem>
      <ddeItem name="3576.TW-CName,InvestorConferenceDate,DateofMeetingofShareHolders,TradingDate" advise="1">
        <values cols="4">
          <value t="str">
            <val>聯合再生</val>
          </value>
          <value t="str">
            <val>2022/06/07</val>
          </value>
          <value t="str">
            <val>2022/06/24</val>
          </value>
          <value t="str">
            <val>2022/12/22</val>
          </value>
        </values>
      </ddeItem>
      <ddeItem name="3576.TW-ID,Name,MarketValue,Capital,NetIncomeGrowthRate,OperIncomeGrowthRate,FinancialStatementsTime,TFXRatio,MonthlyNetSalesYoY,RevenueMonth" advise="1">
        <values cols="10">
          <value t="str">
            <val>3576</val>
          </value>
          <value t="str">
            <val>聯合再生</val>
          </value>
          <value t="str">
            <val>334.5</val>
          </value>
          <value t="str">
            <val>162.78</val>
          </value>
          <value t="str">
            <val>205.83</val>
          </value>
          <value t="str">
            <val>196.21</val>
          </value>
          <value t="str">
            <val>2022/09</val>
          </value>
          <value t="str">
            <val>-8.10</val>
          </value>
          <value t="str">
            <val>50.97</val>
          </value>
          <value t="str">
            <val>2022/11</val>
          </value>
        </values>
      </ddeItem>
      <ddeItem name="3576.TW-OperatingProfitRatio,Price,PriceChangeRatio,InOutRatioNumber,Value,YearReturn,MonthReturn,WeekReturn,FinanceBalanceDif,ChipsField2" advise="1">
        <values cols="10">
          <value t="str">
            <val>4.68</val>
          </value>
          <value>
            <val>20.55</val>
          </value>
          <value>
            <val>1.23</val>
          </value>
          <value t="str">
            <val>46.89%</val>
          </value>
          <value t="str">
            <val>9933萬</val>
          </value>
          <value t="str">
            <val>-4.86</val>
          </value>
          <value t="str">
            <val>-4.20</val>
          </value>
          <value t="str">
            <val>-2.61</val>
          </value>
          <value>
            <val>77</val>
          </value>
          <value>
            <val>0</val>
          </value>
        </values>
      </ddeItem>
      <ddeItem name="358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14</val>
          </value>
          <value t="str">
            <val>2022/06/23</val>
          </value>
          <value t="str">
            <val>2.50</val>
          </value>
          <value>
            <val>3.49</val>
          </value>
          <value t="str">
            <val>6.82</val>
          </value>
          <value t="str">
            <val>1.89</val>
          </value>
          <value t="str">
            <val>辛耘</val>
          </value>
          <value t="str">
            <val>上市半導體</val>
          </value>
          <value t="str">
            <val>半導體製程設備及再生晶圓廠商</val>
          </value>
        </values>
      </ddeItem>
      <ddeItem name="3583.TW-CName,InvestorConferenceDate,DateofMeetingofShareHolders,TradingDate" advise="1">
        <values cols="4">
          <value t="str">
            <val>辛耘</val>
          </value>
          <value t="str">
            <val>2022/06/16</val>
          </value>
          <value t="str">
            <val>2022/06/16</val>
          </value>
          <value t="str">
            <val>2022/12/22</val>
          </value>
        </values>
      </ddeItem>
      <ddeItem name="3583.TW-ID,Name,MarketValue,Capital,NetIncomeGrowthRate,OperIncomeGrowthRate,FinancialStatementsTime,TFXRatio,MonthlyNetSalesYoY,RevenueMonth" advise="1">
        <values cols="10">
          <value t="str">
            <val>3583</val>
          </value>
          <value t="str">
            <val>辛耘</val>
          </value>
          <value t="str">
            <val>58.2</val>
          </value>
          <value t="str">
            <val>8.11</val>
          </value>
          <value t="str">
            <val>43.06</val>
          </value>
          <value t="str">
            <val>26.53</val>
          </value>
          <value t="str">
            <val>2022/09</val>
          </value>
          <value t="str">
            <val>6.73</val>
          </value>
          <value t="str">
            <val>8.96</val>
          </value>
          <value t="str">
            <val>2022/11</val>
          </value>
        </values>
      </ddeItem>
      <ddeItem name="3583.TW-OperatingProfitRatio,Price,PriceChangeRatio,InOutRatioNumber,Value,YearReturn,MonthReturn,WeekReturn,FinanceBalanceDif,ChipsField2" advise="1">
        <values cols="10">
          <value t="str">
            <val>11.89</val>
          </value>
          <value>
            <val>71.7</val>
          </value>
          <value>
            <val>0.7</val>
          </value>
          <value t="str">
            <val>55.86%</val>
          </value>
          <value t="str">
            <val>799萬</val>
          </value>
          <value t="str">
            <val>-8.46</val>
          </value>
          <value t="str">
            <val>-1.51</val>
          </value>
          <value t="str">
            <val>-6.76</val>
          </value>
          <value>
            <val>-5</val>
          </value>
          <value>
            <val>0</val>
          </value>
        </values>
      </ddeItem>
      <ddeItem name="358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-19</val>
          </value>
          <value t="str">
            <val>2022/07/29</val>
          </value>
          <value t="str">
            <val>4.00</val>
          </value>
          <value>
            <val>7.37</val>
          </value>
          <value t="str">
            <val>5.16</val>
          </value>
          <value t="str">
            <val>0.19</val>
          </value>
          <value t="str">
            <val>通嘉</val>
          </value>
          <value t="str">
            <val>上市半導體</val>
          </value>
          <value t="str">
            <val>台灣少數跨AC/DC及DC/DC的電源管理IC設計廠商</val>
          </value>
        </values>
      </ddeItem>
      <ddeItem name="3588.TW-CName,InvestorConferenceDate,DateofMeetingofShareHolders,TradingDate" advise="1">
        <values cols="4">
          <value t="str">
            <val>通嘉</val>
          </value>
          <value t="str">
            <val>2022/12/15</val>
          </value>
          <value t="str">
            <val>2022/06/09</val>
          </value>
          <value t="str">
            <val>2022/12/22</val>
          </value>
        </values>
      </ddeItem>
      <ddeItem name="3588.TW-ID,Name,MarketValue,Capital,NetIncomeGrowthRate,OperIncomeGrowthRate,FinancialStatementsTime,TFXRatio,MonthlyNetSalesYoY,RevenueMonth" advise="1">
        <values cols="10">
          <value t="str">
            <val>3588</val>
          </value>
          <value t="str">
            <val>通嘉</val>
          </value>
          <value t="str">
            <val>30.9</val>
          </value>
          <value t="str">
            <val>5.69</val>
          </value>
          <value t="str">
            <val>-24.51</val>
          </value>
          <value t="str">
            <val>-33.55</val>
          </value>
          <value t="str">
            <val>2022/09</val>
          </value>
          <value t="str">
            <val>1.82</val>
          </value>
          <value t="str">
            <val>-51.16</val>
          </value>
          <value t="str">
            <val>2022/11</val>
          </value>
        </values>
      </ddeItem>
      <ddeItem name="3588.TW-OperatingProfitRatio,Price,PriceChangeRatio,InOutRatioNumber,Value,YearReturn,MonthReturn,WeekReturn,FinanceBalanceDif,ChipsField2" advise="1">
        <values cols="10">
          <value t="str">
            <val>12.56</val>
          </value>
          <value>
            <val>54.3</val>
          </value>
          <value>
            <val>0.56000000000000005</val>
          </value>
          <value t="str">
            <val>45.65%</val>
          </value>
          <value t="str">
            <val>2060萬</val>
          </value>
          <value t="str">
            <val>-58.60</val>
          </value>
          <value t="str">
            <val>-10.40</val>
          </value>
          <value t="str">
            <val>-11.27</val>
          </value>
          <value>
            <val>19</val>
          </value>
          <value>
            <val>0</val>
          </value>
        </values>
      </ddeItem>
      <ddeItem name="3591.TW-ChipsField3,ChipsField1,ChipsField25,CashAndStockDividend,CashDividendYieldRate,ProfitFourSeason,ProfitSingle,CName,ExchangeIndustry,CompanyPos" advise="1">
        <values cols="10">
          <value>
            <val>-6</val>
          </value>
          <value>
            <val>-27</val>
          </value>
          <value t="str">
            <val>2022/08/24</val>
          </value>
          <value t="str">
            <val>0.79</val>
          </value>
          <value>
            <val>5</val>
          </value>
          <value t="str">
            <val>0.62</val>
          </value>
          <value t="str">
            <val>0.15</val>
          </value>
          <value t="str">
            <val>艾笛森</val>
          </value>
          <value t="str">
            <val>上市光電</val>
          </value>
          <value t="str">
            <val>台灣最大高功率LED產品設計製造廠商</val>
          </value>
        </values>
      </ddeItem>
      <ddeItem name="3591.TW-CName,InvestorConferenceDate,DateofMeetingofShareHolders,TradingDate" advise="1">
        <values cols="4">
          <value t="str">
            <val>艾笛森</val>
          </value>
          <value t="str">
            <val>2022/11/11</val>
          </value>
          <value t="str">
            <val>2022/06/22</val>
          </value>
          <value t="str">
            <val>2022/12/22</val>
          </value>
        </values>
      </ddeItem>
      <ddeItem name="3591.TW-ID,Name,MarketValue,Capital,NetIncomeGrowthRate,OperIncomeGrowthRate,FinancialStatementsTime,TFXRatio,MonthlyNetSalesYoY,RevenueMonth" advise="1">
        <values cols="10">
          <value t="str">
            <val>3591</val>
          </value>
          <value t="str">
            <val>艾笛森</val>
          </value>
          <value t="str">
            <val>21.4</val>
          </value>
          <value t="str">
            <val>13.53</val>
          </value>
          <value t="str">
            <val>-37.28</val>
          </value>
          <value t="str">
            <val>-69.28</val>
          </value>
          <value t="str">
            <val>2022/09</val>
          </value>
          <value t="str">
            <val>8.94</val>
          </value>
          <value t="str">
            <val>-8.78</val>
          </value>
          <value t="str">
            <val>2022/11</val>
          </value>
        </values>
      </ddeItem>
      <ddeItem name="3591.TW-OperatingProfitRatio,Price,PriceChangeRatio,InOutRatioNumber,Value,YearReturn,MonthReturn,WeekReturn,FinanceBalanceDif,ChipsField2" advise="1">
        <values cols="10">
          <value t="str">
            <val>2.58</val>
          </value>
          <value>
            <val>15.8</val>
          </value>
          <value>
            <val>0.64</val>
          </value>
          <value t="str">
            <val>34.09%</val>
          </value>
          <value t="str">
            <val>140萬</val>
          </value>
          <value t="str">
            <val>-27.57</val>
          </value>
          <value t="str">
            <val>+7.48</val>
          </value>
          <value t="str">
            <val>-8.14</val>
          </value>
          <value>
            <val>4</val>
          </value>
          <value>
            <val>0</val>
          </value>
        </values>
      </ddeItem>
      <ddeItem name="3592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27</val>
          </value>
          <value t="str">
            <val>2022/07/04</val>
          </value>
          <value t="str">
            <val>45.00</val>
          </value>
          <value>
            <val>14.63</val>
          </value>
          <value t="str">
            <val>64.05</val>
          </value>
          <value t="str">
            <val>7.28</val>
          </value>
          <value t="str">
            <val>瑞鼎</val>
          </value>
          <value t="str">
            <val>上市半導體</val>
          </value>
          <value t="str">
            <val>友達集團旗下驅動IC設計公司</val>
          </value>
        </values>
      </ddeItem>
      <ddeItem name="3592.TW-CName,InvestorConferenceDate,DateofMeetingofShareHolders,TradingDate" advise="1">
        <values cols="4">
          <value t="str">
            <val>瑞鼎</val>
          </value>
          <value t="str">
            <val>2022/11/15</val>
          </value>
          <value t="str">
            <val>2022/05/30</val>
          </value>
          <value t="str">
            <val>2022/12/22</val>
          </value>
        </values>
      </ddeItem>
      <ddeItem name="3592.TW-ID,Name,MarketValue,Capital,NetIncomeGrowthRate,OperIncomeGrowthRate,FinancialStatementsTime,TFXRatio,MonthlyNetSalesYoY,RevenueMonth" advise="1">
        <values cols="10">
          <value t="str">
            <val>3592</val>
          </value>
          <value t="str">
            <val>瑞鼎</val>
          </value>
          <value t="str">
            <val>233.3</val>
          </value>
          <value t="str">
            <val>7.59</val>
          </value>
          <value t="str">
            <val>12.25</val>
          </value>
          <value t="str">
            <val>-14.68</val>
          </value>
          <value t="str">
            <val>2022/09</val>
          </value>
          <value t="str">
            <val>4.92</val>
          </value>
          <value t="str">
            <val>-34.12</val>
          </value>
          <value t="str">
            <val>2022/11</val>
          </value>
        </values>
      </ddeItem>
      <ddeItem name="3592.TW-OperatingProfitRatio,Price,PriceChangeRatio,InOutRatioNumber,Value,YearReturn,MonthReturn,WeekReturn,FinanceBalanceDif,ChipsField2" advise="1">
        <values cols="10">
          <value t="str">
            <val>16.86</val>
          </value>
          <value>
            <val>307.5</val>
          </value>
          <value>
            <val>3.54</val>
          </value>
          <value t="str">
            <val>53.84%</val>
          </value>
          <value t="str">
            <val>2.78億</val>
          </value>
          <value t="str">
            <val>--</val>
          </value>
          <value t="str">
            <val>-0.16</val>
          </value>
          <value t="str">
            <val>0.00</val>
          </value>
          <value>
            <val>14</val>
          </value>
          <value>
            <val>2</val>
          </value>
        </values>
      </ddeItem>
      <ddeItem name="359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--</val>
          </value>
          <value t="str">
            <val>0.00</val>
          </value>
          <value>
            <val>0</val>
          </value>
          <value t="str">
            <val>-0.85</val>
          </value>
          <value t="str">
            <val>-0.06</val>
          </value>
          <value t="str">
            <val>力銘</val>
          </value>
          <value t="str">
            <val>上市電子零組件</val>
          </value>
          <value t="str">
            <val>轉型主攻塑膠射出成型零組件領域</val>
          </value>
        </values>
      </ddeItem>
      <ddeItem name="3593.TW-CName,InvestorConferenceDate,DateofMeetingofShareHolders,TradingDate" advise="1">
        <values cols="4">
          <value t="str">
            <val>力銘</val>
          </value>
          <value t="str">
            <val>2022/11/07</val>
          </value>
          <value t="str">
            <val>2022/06/16</val>
          </value>
          <value t="str">
            <val>2022/12/22</val>
          </value>
        </values>
      </ddeItem>
      <ddeItem name="3593.TW-ID,Name,MarketValue,Capital,NetIncomeGrowthRate,OperIncomeGrowthRate,FinancialStatementsTime,TFXRatio,MonthlyNetSalesYoY,RevenueMonth" advise="1">
        <values cols="10">
          <value t="str">
            <val>3593</val>
          </value>
          <value t="str">
            <val>力銘</val>
          </value>
          <value t="str">
            <val>8.4</val>
          </value>
          <value t="str">
            <val>9.30</val>
          </value>
          <value t="str">
            <val>-95.58</val>
          </value>
          <value t="str">
            <val>-233.31</val>
          </value>
          <value t="str">
            <val>2022/09</val>
          </value>
          <value t="str">
            <val>4.31</val>
          </value>
          <value t="str">
            <val>-4.69</val>
          </value>
          <value t="str">
            <val>2022/11</val>
          </value>
        </values>
      </ddeItem>
      <ddeItem name="3593.TW-OperatingProfitRatio,Price,PriceChangeRatio,InOutRatioNumber,Value,YearReturn,MonthReturn,WeekReturn,FinanceBalanceDif,ChipsField2" advise="1">
        <values cols="10">
          <value t="str">
            <val>-10.61</val>
          </value>
          <value>
            <val>13.3</val>
          </value>
          <value>
            <val>0</val>
          </value>
          <value t="str">
            <val>90.91%</val>
          </value>
          <value t="str">
            <val>14.6萬</val>
          </value>
          <value t="str">
            <val>-15.02</val>
          </value>
          <value t="str">
            <val>-6.67</val>
          </value>
          <value t="str">
            <val>-2.92</val>
          </value>
          <value>
            <val>0</val>
          </value>
          <value>
            <val>0</val>
          </value>
        </values>
      </ddeItem>
      <ddeItem name="3596.TW-ChipsField3,ChipsField1,ChipsField25,CashAndStockDividend,CashDividendYieldRate,ProfitFourSeason,ProfitSingle,CName,ExchangeIndustry,CompanyPos" advise="1">
        <values cols="10">
          <value>
            <val>-12</val>
          </value>
          <value>
            <val>-60</val>
          </value>
          <value t="str">
            <val>2022/07/04</val>
          </value>
          <value t="str">
            <val>6.71</val>
          </value>
          <value>
            <val>6.81</val>
          </value>
          <value t="str">
            <val>8.60</val>
          </value>
          <value t="str">
            <val>2.60</val>
          </value>
          <value t="str">
            <val>智易</val>
          </value>
          <value t="str">
            <val>上市通信網路</val>
          </value>
          <value t="str">
            <val>仁寶集團轉投資寬頻設備製造廠</val>
          </value>
        </values>
      </ddeItem>
      <ddeItem name="3596.TW-CName,InvestorConferenceDate,DateofMeetingofShareHolders,TradingDate" advise="1">
        <values cols="4">
          <value t="str">
            <val>智易</val>
          </value>
          <value t="str">
            <val>2022/11/29</val>
          </value>
          <value t="str">
            <val>2022/06/15</val>
          </value>
          <value t="str">
            <val>2022/12/22</val>
          </value>
        </values>
      </ddeItem>
      <ddeItem name="3596.TW-ID,Name,MarketValue,Capital,NetIncomeGrowthRate,OperIncomeGrowthRate,FinancialStatementsTime,TFXRatio,MonthlyNetSalesYoY,RevenueMonth" advise="1">
        <values cols="10">
          <value t="str">
            <val>3596</val>
          </value>
          <value t="str">
            <val>智易</val>
          </value>
          <value t="str">
            <val>217.0</val>
          </value>
          <value t="str">
            <val>22.68</val>
          </value>
          <value t="str">
            <val>4.05</val>
          </value>
          <value t="str">
            <val>-3.30</val>
          </value>
          <value t="str">
            <val>2022/09</val>
          </value>
          <value t="str">
            <val>-1.37</val>
          </value>
          <value t="str">
            <val>40.73</val>
          </value>
          <value t="str">
            <val>2022/11</val>
          </value>
        </values>
      </ddeItem>
      <ddeItem name="3596.TW-OperatingProfitRatio,Price,PriceChangeRatio,InOutRatioNumber,Value,YearReturn,MonthReturn,WeekReturn,FinanceBalanceDif,ChipsField2" advise="1">
        <values cols="10">
          <value t="str">
            <val>4.64</val>
          </value>
          <value>
            <val>98.5</val>
          </value>
          <value>
            <val>0.51</val>
          </value>
          <value t="str">
            <val>25.69%</val>
          </value>
          <value t="str">
            <val>2934萬</val>
          </value>
          <value t="str">
            <val>-16.65</val>
          </value>
          <value t="str">
            <val>+1.03</val>
          </value>
          <value t="str">
            <val>-5.29</val>
          </value>
          <value>
            <val>2</val>
          </value>
          <value>
            <val>0</val>
          </value>
        </values>
      </ddeItem>
      <ddeItem name="3605.TW-ChipsField3,ChipsField1,ChipsField25,CashAndStockDividend,CashDividendYieldRate,ProfitFourSeason,ProfitSingle,CName,ExchangeIndustry,CompanyPos" advise="1">
        <values cols="10">
          <value>
            <val>-7</val>
          </value>
          <value>
            <val>58</val>
          </value>
          <value t="str">
            <val>2022/08/16</val>
          </value>
          <value t="str">
            <val>1.50</val>
          </value>
          <value>
            <val>4.63</val>
          </value>
          <value t="str">
            <val>3.35</val>
          </value>
          <value t="str">
            <val>0.80</val>
          </value>
          <value t="str">
            <val>宏致</val>
          </value>
          <value t="str">
            <val>上市電子零組件</val>
          </value>
          <value t="str">
            <val>國內連接器製造</val>
          </value>
        </values>
      </ddeItem>
      <ddeItem name="3605.TW-CName,InvestorConferenceDate,DateofMeetingofShareHolders,TradingDate" advise="1">
        <values cols="4">
          <value t="str">
            <val>宏致</val>
          </value>
          <value t="str">
            <val>--</val>
          </value>
          <value t="str">
            <val>2022/06/29</val>
          </value>
          <value t="str">
            <val>2022/12/22</val>
          </value>
        </values>
      </ddeItem>
      <ddeItem name="3605.TW-ID,Name,MarketValue,Capital,NetIncomeGrowthRate,OperIncomeGrowthRate,FinancialStatementsTime,TFXRatio,MonthlyNetSalesYoY,RevenueMonth" advise="1">
        <values cols="10">
          <value t="str">
            <val>3605</val>
          </value>
          <value t="str">
            <val>宏致</val>
          </value>
          <value t="str">
            <val>43.5</val>
          </value>
          <value t="str">
            <val>13.44</val>
          </value>
          <value t="str">
            <val>-15.30</val>
          </value>
          <value t="str">
            <val>-71.36</val>
          </value>
          <value t="str">
            <val>2022/09</val>
          </value>
          <value t="str">
            <val>1.37</val>
          </value>
          <value t="str">
            <val>-21.84</val>
          </value>
          <value t="str">
            <val>2022/11</val>
          </value>
        </values>
      </ddeItem>
      <ddeItem name="3605.TW-OperatingProfitRatio,Price,PriceChangeRatio,InOutRatioNumber,Value,YearReturn,MonthReturn,WeekReturn,FinanceBalanceDif,ChipsField2" advise="1">
        <values cols="10">
          <value t="str">
            <val>1.67</val>
          </value>
          <value>
            <val>32.4</val>
          </value>
          <value>
            <val>0.31</val>
          </value>
          <value t="str">
            <val>57.14%</val>
          </value>
          <value t="str">
            <val>465萬</val>
          </value>
          <value t="str">
            <val>-29.16</val>
          </value>
          <value t="str">
            <val>+5.19</val>
          </value>
          <value t="str">
            <val>-3.28</val>
          </value>
          <value>
            <val>1</val>
          </value>
          <value>
            <val>0</val>
          </value>
        </values>
      </ddeItem>
      <ddeItem name="360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-18</val>
          </value>
          <value t="str">
            <val>2022/07/13</val>
          </value>
          <value t="str">
            <val>1.00</val>
          </value>
          <value>
            <val>8.3699999999999992</val>
          </value>
          <value t="str">
            <val>-2.66</val>
          </value>
          <value t="str">
            <val>-0.35</val>
          </value>
          <value t="str">
            <val>谷崧</val>
          </value>
          <value t="str">
            <val>上市電子零組件</val>
          </value>
          <value t="str">
            <val>專營3C塑膠零組件、模具等表面處理廠</val>
          </value>
        </values>
      </ddeItem>
      <ddeItem name="3607.TW-CName,InvestorConferenceDate,DateofMeetingofShareHolders,TradingDate" advise="1">
        <values cols="4">
          <value t="str">
            <val>谷崧</val>
          </value>
          <value t="str">
            <val>2022/11/29</val>
          </value>
          <value t="str">
            <val>2022/06/14</val>
          </value>
          <value t="str">
            <val>2022/12/22</val>
          </value>
        </values>
      </ddeItem>
      <ddeItem name="3607.TW-ID,Name,MarketValue,Capital,NetIncomeGrowthRate,OperIncomeGrowthRate,FinancialStatementsTime,TFXRatio,MonthlyNetSalesYoY,RevenueMonth" advise="1">
        <values cols="10">
          <value t="str">
            <val>3607</val>
          </value>
          <value t="str">
            <val>谷崧</val>
          </value>
          <value t="str">
            <val>14.5</val>
          </value>
          <value t="str">
            <val>12.17</val>
          </value>
          <value t="str">
            <val>-13.40</val>
          </value>
          <value t="str">
            <val>9.74</val>
          </value>
          <value t="str">
            <val>2022/09</val>
          </value>
          <value t="str">
            <val>-8.37</val>
          </value>
          <value t="str">
            <val>-43.28</val>
          </value>
          <value t="str">
            <val>2022/11</val>
          </value>
        </values>
      </ddeItem>
      <ddeItem name="3607.TW-OperatingProfitRatio,Price,PriceChangeRatio,InOutRatioNumber,Value,YearReturn,MonthReturn,WeekReturn,FinanceBalanceDif,ChipsField2" advise="1">
        <values cols="10">
          <value t="str">
            <val>-15.76</val>
          </value>
          <value>
            <val>11.95</val>
          </value>
          <value>
            <val>0.42</val>
          </value>
          <value t="str">
            <val>31.03%</val>
          </value>
          <value t="str">
            <val>69.3萬</val>
          </value>
          <value t="str">
            <val>-33.89</val>
          </value>
          <value t="str">
            <val>-0.42</val>
          </value>
          <value t="str">
            <val>-3.63</val>
          </value>
          <value>
            <val>-16</val>
          </value>
          <value>
            <val>0</val>
          </value>
        </values>
      </ddeItem>
      <ddeItem name="3617.TW-ChipsField3,ChipsField1,ChipsField25,CashAndStockDividend,CashDividendYieldRate,ProfitFourSeason,ProfitSingle,CName,ExchangeIndustry,CompanyPos" advise="1">
        <values cols="10">
          <value>
            <val>-26</val>
          </value>
          <value>
            <val>70</val>
          </value>
          <value t="str">
            <val>2022/07/20</val>
          </value>
          <value t="str">
            <val>1.00</val>
          </value>
          <value>
            <val>1.01</val>
          </value>
          <value t="str">
            <val>9.11</val>
          </value>
          <value t="str">
            <val>6.03</val>
          </value>
          <value t="str">
            <val>碩天</val>
          </value>
          <value t="str">
            <val>上市其他電子</val>
          </value>
          <value t="str">
            <val>北美地區UPS市場前三大品牌之一</val>
          </value>
        </values>
      </ddeItem>
      <ddeItem name="3617.TW-CName,InvestorConferenceDate,DateofMeetingofShareHolders,TradingDate" advise="1">
        <values cols="4">
          <value t="str">
            <val>碩天</val>
          </value>
          <value t="str">
            <val>2022/09/01</val>
          </value>
          <value t="str">
            <val>2022/06/15</val>
          </value>
          <value t="str">
            <val>2022/12/22</val>
          </value>
        </values>
      </ddeItem>
      <ddeItem name="3617.TW-ID,Name,MarketValue,Capital,NetIncomeGrowthRate,OperIncomeGrowthRate,FinancialStatementsTime,TFXRatio,MonthlyNetSalesYoY,RevenueMonth" advise="1">
        <values cols="10">
          <value t="str">
            <val>3617</val>
          </value>
          <value t="str">
            <val>碩天</val>
          </value>
          <value t="str">
            <val>79.8</val>
          </value>
          <value t="str">
            <val>8.10</val>
          </value>
          <value t="str">
            <val>495.96</val>
          </value>
          <value t="str">
            <val>289.64</val>
          </value>
          <value t="str">
            <val>2022/09</val>
          </value>
          <value t="str">
            <val>-17.77</val>
          </value>
          <value t="str">
            <val>25.31</val>
          </value>
          <value t="str">
            <val>2022/11</val>
          </value>
        </values>
      </ddeItem>
      <ddeItem name="3617.TW-OperatingProfitRatio,Price,PriceChangeRatio,InOutRatioNumber,Value,YearReturn,MonthReturn,WeekReturn,FinanceBalanceDif,ChipsField2" advise="1">
        <values cols="10">
          <value t="str">
            <val>9.62</val>
          </value>
          <value>
            <val>98.6</val>
          </value>
          <value>
            <val>1.34</val>
          </value>
          <value t="str">
            <val>39.01%</val>
          </value>
          <value t="str">
            <val>1416萬</val>
          </value>
          <value t="str">
            <val>+41.88</val>
          </value>
          <value t="str">
            <val>-10.36</val>
          </value>
          <value t="str">
            <val>-6.54</val>
          </value>
          <value>
            <val>-20</val>
          </value>
          <value>
            <val>0</val>
          </value>
        </values>
      </ddeItem>
      <ddeItem name="3622.TW-ChipsField3,ChipsField1,ChipsField25,CashAndStockDividend,CashDividendYieldRate,ProfitFourSeason,ProfitSingle,CName,ExchangeIndustry,CompanyPos" advise="1">
        <values cols="10">
          <value>
            <val>-8</val>
          </value>
          <value>
            <val>-7</val>
          </value>
          <value t="str">
            <val>2022/09/06</val>
          </value>
          <value t="str">
            <val>1.20</val>
          </value>
          <value>
            <val>4.37</val>
          </value>
          <value t="str">
            <val>3.07</val>
          </value>
          <value t="str">
            <val>1.54</val>
          </value>
          <value t="str">
            <val>洋華</val>
          </value>
          <value t="str">
            <val>上市光電</val>
          </value>
          <value t="str">
            <val>台灣中小尺寸觸控面板廠</val>
          </value>
        </values>
      </ddeItem>
      <ddeItem name="3622.TW-CName,InvestorConferenceDate,DateofMeetingofShareHolders,TradingDate" advise="1">
        <values cols="4">
          <value t="str">
            <val>洋華</val>
          </value>
          <value t="str">
            <val>2022/04/15</val>
          </value>
          <value t="str">
            <val>2022/06/29</val>
          </value>
          <value t="str">
            <val>2022/12/22</val>
          </value>
        </values>
      </ddeItem>
      <ddeItem name="3622.TW-ID,Name,MarketValue,Capital,NetIncomeGrowthRate,OperIncomeGrowthRate,FinancialStatementsTime,TFXRatio,MonthlyNetSalesYoY,RevenueMonth" advise="1">
        <values cols="10">
          <value t="str">
            <val>3622</val>
          </value>
          <value t="str">
            <val>洋華</val>
          </value>
          <value t="str">
            <val>41.5</val>
          </value>
          <value t="str">
            <val>15.13</val>
          </value>
          <value t="str">
            <val>87.20</val>
          </value>
          <value t="str">
            <val>316.99</val>
          </value>
          <value t="str">
            <val>2022/09</val>
          </value>
          <value t="str">
            <val>-2.23</val>
          </value>
          <value t="str">
            <val>50.39</val>
          </value>
          <value t="str">
            <val>2022/11</val>
          </value>
        </values>
      </ddeItem>
      <ddeItem name="3622.TW-OperatingProfitRatio,Price,PriceChangeRatio,InOutRatioNumber,Value,YearReturn,MonthReturn,WeekReturn,FinanceBalanceDif,ChipsField2" advise="1">
        <values cols="10">
          <value t="str">
            <val>13.01</val>
          </value>
          <value>
            <val>27.45</val>
          </value>
          <value>
            <val>0.37</val>
          </value>
          <value t="str">
            <val>25.71%</val>
          </value>
          <value t="str">
            <val>96.5萬</val>
          </value>
          <value t="str">
            <val>+1.45</val>
          </value>
          <value t="str">
            <val>+0.37</val>
          </value>
          <value t="str">
            <val>-4.36</val>
          </value>
          <value>
            <val>-6</val>
          </value>
          <value>
            <val>0</val>
          </value>
        </values>
      </ddeItem>
      <ddeItem name="3645.TW-ChipsField3,ChipsField1,ChipsField25,CashAndStockDividend,CashDividendYieldRate,ProfitFourSeason,ProfitSingle,CName,ExchangeIndustry,CompanyPos" advise="1">
        <values cols="10">
          <value>
            <val>-6</val>
          </value>
          <value>
            <val>1</val>
          </value>
          <value t="str">
            <val>2022/07/22</val>
          </value>
          <value t="str">
            <val>1.19</val>
          </value>
          <value>
            <val>3.61</val>
          </value>
          <value t="str">
            <val>1.84</val>
          </value>
          <value t="str">
            <val>-0.45</val>
          </value>
          <value t="str">
            <val>達邁</val>
          </value>
          <value t="str">
            <val>上市電子零組件</val>
          </value>
          <value t="str">
            <val>全球第四大聚醯亞胺薄膜生產廠商</val>
          </value>
        </values>
      </ddeItem>
      <ddeItem name="3645.TW-CName,InvestorConferenceDate,DateofMeetingofShareHolders,TradingDate" advise="1">
        <values cols="4">
          <value t="str">
            <val>達邁</val>
          </value>
          <value t="str">
            <val>2022/11/09</val>
          </value>
          <value t="str">
            <val>2022/06/24</val>
          </value>
          <value t="str">
            <val>2022/12/22</val>
          </value>
        </values>
      </ddeItem>
      <ddeItem name="3645.TW-ID,Name,MarketValue,Capital,NetIncomeGrowthRate,OperIncomeGrowthRate,FinancialStatementsTime,TFXRatio,MonthlyNetSalesYoY,RevenueMonth" advise="1">
        <values cols="10">
          <value t="str">
            <val>3645</val>
          </value>
          <value t="str">
            <val>達邁</val>
          </value>
          <value t="str">
            <val>43.4</val>
          </value>
          <value t="str">
            <val>13.18</val>
          </value>
          <value t="str">
            <val>-26.69</val>
          </value>
          <value t="str">
            <val>-40.31</val>
          </value>
          <value t="str">
            <val>2022/09</val>
          </value>
          <value t="str">
            <val>-18.98</val>
          </value>
          <value t="str">
            <val>-39.27</val>
          </value>
          <value t="str">
            <val>2022/11</val>
          </value>
        </values>
      </ddeItem>
      <ddeItem name="3645.TW-OperatingProfitRatio,Price,PriceChangeRatio,InOutRatioNumber,Value,YearReturn,MonthReturn,WeekReturn,FinanceBalanceDif,ChipsField2" advise="1">
        <values cols="10">
          <value t="str">
            <val>11.87</val>
          </value>
          <value>
            <val>32.950000000000003</val>
          </value>
          <value>
            <val>0.46</val>
          </value>
          <value t="str">
            <val>46.58%</val>
          </value>
          <value t="str">
            <val>548萬</val>
          </value>
          <value t="str">
            <val>-18.89</val>
          </value>
          <value t="str">
            <val>+6.46</val>
          </value>
          <value t="str">
            <val>-3.51</val>
          </value>
          <value>
            <val>3</val>
          </value>
          <value>
            <val>0</val>
          </value>
        </values>
      </ddeItem>
      <ddeItem name="365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-6</val>
          </value>
          <value t="str">
            <val>2022/06/30</val>
          </value>
          <value t="str">
            <val>0.41</val>
          </value>
          <value>
            <val>1.77</val>
          </value>
          <value t="str">
            <val>1.15</val>
          </value>
          <value t="str">
            <val>0.35</val>
          </value>
          <value t="str">
            <val>精聯</val>
          </value>
          <value t="str">
            <val>上市電腦及週邊設備</val>
          </value>
          <value t="str">
            <val>台灣自動資料收集ADC大廠</val>
          </value>
        </values>
      </ddeItem>
      <ddeItem name="3652.TW-CName,InvestorConferenceDate,DateofMeetingofShareHolders,TradingDate" advise="1">
        <values cols="4">
          <value t="str">
            <val>精聯</val>
          </value>
          <value t="str">
            <val>2022/11/24</val>
          </value>
          <value t="str">
            <val>2022/06/08</val>
          </value>
          <value t="str">
            <val>2022/12/22</val>
          </value>
        </values>
      </ddeItem>
      <ddeItem name="3652.TW-ID,Name,MarketValue,Capital,NetIncomeGrowthRate,OperIncomeGrowthRate,FinancialStatementsTime,TFXRatio,MonthlyNetSalesYoY,RevenueMonth" advise="1">
        <values cols="10">
          <value t="str">
            <val>3652</val>
          </value>
          <value t="str">
            <val>精聯</val>
          </value>
          <value t="str">
            <val>17.3</val>
          </value>
          <value t="str">
            <val>7.51</val>
          </value>
          <value t="str">
            <val>49.32</val>
          </value>
          <value t="str">
            <val>0.78</val>
          </value>
          <value t="str">
            <val>2022/09</val>
          </value>
          <value t="str">
            <val>0.51</val>
          </value>
          <value t="str">
            <val>12.69</val>
          </value>
          <value t="str">
            <val>2022/11</val>
          </value>
        </values>
      </ddeItem>
      <ddeItem name="3652.TW-OperatingProfitRatio,Price,PriceChangeRatio,InOutRatioNumber,Value,YearReturn,MonthReturn,WeekReturn,FinanceBalanceDif,ChipsField2" advise="1">
        <values cols="10">
          <value t="str">
            <val>5.12</val>
          </value>
          <value>
            <val>23.1</val>
          </value>
          <value>
            <val>0.43</val>
          </value>
          <value t="str">
            <val>25.81%</val>
          </value>
          <value t="str">
            <val>150萬</val>
          </value>
          <value t="str">
            <val>+7.10</val>
          </value>
          <value t="str">
            <val>+2.44</val>
          </value>
          <value t="str">
            <val>-0.86</val>
          </value>
          <value>
            <val>-24</val>
          </value>
          <value>
            <val>0</val>
          </value>
        </values>
      </ddeItem>
      <ddeItem name="3653.TW-ChipsField3,ChipsField1,ChipsField25,CashAndStockDividend,CashDividendYieldRate,ProfitFourSeason,ProfitSingle,CName,ExchangeIndustry,CompanyPos" advise="1">
        <values cols="10">
          <value>
            <val>41</val>
          </value>
          <value>
            <val>-82</val>
          </value>
          <value t="str">
            <val>2022/07/14</val>
          </value>
          <value t="str">
            <val>7.00</val>
          </value>
          <value>
            <val>1.88</val>
          </value>
          <value t="str">
            <val>17.69</val>
          </value>
          <value t="str">
            <val>6.03</val>
          </value>
          <value t="str">
            <val>健策</val>
          </value>
          <value t="str">
            <val>上市電子零組件</val>
          </value>
          <value t="str">
            <val>全球最大遊戲抗均熱片供應商</val>
          </value>
        </values>
      </ddeItem>
      <ddeItem name="3653.TW-CName,InvestorConferenceDate,DateofMeetingofShareHolders,TradingDate" advise="1">
        <values cols="4">
          <value t="str">
            <val>健策</val>
          </value>
          <value t="str">
            <val>2022/12/01</val>
          </value>
          <value t="str">
            <val>2022/06/08</val>
          </value>
          <value t="str">
            <val>2022/12/22</val>
          </value>
        </values>
      </ddeItem>
      <ddeItem name="3653.TW-ID,Name,MarketValue,Capital,NetIncomeGrowthRate,OperIncomeGrowthRate,FinancialStatementsTime,TFXRatio,MonthlyNetSalesYoY,RevenueMonth" advise="1">
        <values cols="10">
          <value t="str">
            <val>3653</val>
          </value>
          <value t="str">
            <val>健策</val>
          </value>
          <value t="str">
            <val>500.9</val>
          </value>
          <value t="str">
            <val>13.61</val>
          </value>
          <value t="str">
            <val>119.69</val>
          </value>
          <value t="str">
            <val>64.45</val>
          </value>
          <value t="str">
            <val>2022/09</val>
          </value>
          <value t="str">
            <val>8.66</val>
          </value>
          <value t="str">
            <val>46.80</val>
          </value>
          <value t="str">
            <val>2022/11</val>
          </value>
        </values>
      </ddeItem>
      <ddeItem name="3653.TW-OperatingProfitRatio,Price,PriceChangeRatio,InOutRatioNumber,Value,YearReturn,MonthReturn,WeekReturn,FinanceBalanceDif,ChipsField2" advise="1">
        <values cols="10">
          <value t="str">
            <val>23.44</val>
          </value>
          <value>
            <val>372.5</val>
          </value>
          <value>
            <val>-1.06</val>
          </value>
          <value t="str">
            <val>36.22%</val>
          </value>
          <value t="str">
            <val>5.02億</val>
          </value>
          <value t="str">
            <val>+1.65</val>
          </value>
          <value t="str">
            <val>-2.74</val>
          </value>
          <value t="str">
            <val>-6.05</val>
          </value>
          <value>
            <val>37</val>
          </value>
          <value>
            <val>51</val>
          </value>
        </values>
      </ddeItem>
      <ddeItem name="3661.TW-ChipsField3,ChipsField1,ChipsField25,CashAndStockDividend,CashDividendYieldRate,ProfitFourSeason,ProfitSingle,CName,ExchangeIndustry,CompanyPos" advise="1">
        <values cols="10">
          <value>
            <val>7</val>
          </value>
          <value>
            <val>-117</val>
          </value>
          <value t="str">
            <val>2022/09/16</val>
          </value>
          <value t="str">
            <val>11.80</val>
          </value>
          <value>
            <val>1.45</val>
          </value>
          <value t="str">
            <val>23.60</val>
          </value>
          <value t="str">
            <val>6.20</val>
          </value>
          <value t="str">
            <val>世芯-KY</val>
          </value>
          <value t="str">
            <val>上市半導體</val>
          </value>
          <value t="str">
            <val>全球ASIC及設計IP業者</val>
          </value>
        </values>
      </ddeItem>
      <ddeItem name="3661.TW-CName,InvestorConferenceDate,DateofMeetingofShareHolders,TradingDate" advise="1">
        <values cols="4">
          <value t="str">
            <val>世芯-KY</val>
          </value>
          <value t="str">
            <val>2022/11/04</val>
          </value>
          <value t="str">
            <val>2022/06/10</val>
          </value>
          <value t="str">
            <val>2022/12/22</val>
          </value>
        </values>
      </ddeItem>
      <ddeItem name="3661.TW-ID,Name,MarketValue,Capital,NetIncomeGrowthRate,OperIncomeGrowthRate,FinancialStatementsTime,TFXRatio,MonthlyNetSalesYoY,RevenueMonth" advise="1">
        <values cols="10">
          <value t="str">
            <val>3661</val>
          </value>
          <value t="str">
            <val>世芯-KY</val>
          </value>
          <value t="str">
            <val>583.6</val>
          </value>
          <value t="str">
            <val>7.18</val>
          </value>
          <value t="str">
            <val>16.15</val>
          </value>
          <value t="str">
            <val>19.07</val>
          </value>
          <value t="str">
            <val>2022/09</val>
          </value>
          <value t="str">
            <val>43.47</val>
          </value>
          <value t="str">
            <val>108.14</val>
          </value>
          <value t="str">
            <val>2022/11</val>
          </value>
        </values>
      </ddeItem>
      <ddeItem name="3661.TW-OperatingProfitRatio,Price,PriceChangeRatio,InOutRatioNumber,Value,YearReturn,MonthReturn,WeekReturn,FinanceBalanceDif,ChipsField2" advise="1">
        <values cols="10">
          <value t="str">
            <val>18.42</val>
          </value>
          <value>
            <val>814</val>
          </value>
          <value>
            <val>0.62</val>
          </value>
          <value t="str">
            <val>49.93%</val>
          </value>
          <value t="str">
            <val>30.7億</val>
          </value>
          <value t="str">
            <val>-15.97</val>
          </value>
          <value t="str">
            <val>-8.54</val>
          </value>
          <value t="str">
            <val>-10.65</val>
          </value>
          <value>
            <val>81</val>
          </value>
          <value>
            <val>-18</val>
          </value>
        </values>
      </ddeItem>
      <ddeItem name="3665.TW-ChipsField3,ChipsField1,ChipsField25,CashAndStockDividend,CashDividendYieldRate,ProfitFourSeason,ProfitSingle,CName,ExchangeIndustry,CompanyPos" advise="1">
        <values cols="10">
          <value>
            <val>-14</val>
          </value>
          <value>
            <val>-1560</val>
          </value>
          <value t="str">
            <val>2022/07/14</val>
          </value>
          <value t="str">
            <val>9.54</val>
          </value>
          <value>
            <val>3.71</val>
          </value>
          <value t="str">
            <val>23.59</val>
          </value>
          <value t="str">
            <val>7.64</val>
          </value>
          <value t="str">
            <val>貿聯-KY</val>
          </value>
          <value t="str">
            <val>上市其他電子</val>
          </value>
          <value t="str">
            <val>Tesla電池線束主力供應商</val>
          </value>
        </values>
      </ddeItem>
      <ddeItem name="3665.TW-CName,InvestorConferenceDate,DateofMeetingofShareHolders,TradingDate" advise="1">
        <values cols="4">
          <value t="str">
            <val>貿聯-KY</val>
          </value>
          <value t="str">
            <val>2022/12/08</val>
          </value>
          <value t="str">
            <val>2022/06/23</val>
          </value>
          <value t="str">
            <val>2022/12/22</val>
          </value>
        </values>
      </ddeItem>
      <ddeItem name="3665.TW-ID,Name,MarketValue,Capital,NetIncomeGrowthRate,OperIncomeGrowthRate,FinancialStatementsTime,TFXRatio,MonthlyNetSalesYoY,RevenueMonth" advise="1">
        <values cols="10">
          <value t="str">
            <val>3665</val>
          </value>
          <value t="str">
            <val>貿聯-KY</val>
          </value>
          <value t="str">
            <val>402.0</val>
          </value>
          <value t="str">
            <val>15.64</val>
          </value>
          <value t="str">
            <val>99.76</val>
          </value>
          <value t="str">
            <val>116.93</val>
          </value>
          <value t="str">
            <val>2022/09</val>
          </value>
          <value t="str">
            <val>1.37</val>
          </value>
          <value t="str">
            <val>77.23</val>
          </value>
          <value t="str">
            <val>2022/11</val>
          </value>
        </values>
      </ddeItem>
      <ddeItem name="3665.TW-OperatingProfitRatio,Price,PriceChangeRatio,InOutRatioNumber,Value,YearReturn,MonthReturn,WeekReturn,FinanceBalanceDif,ChipsField2" advise="1">
        <values cols="10">
          <value t="str">
            <val>10.20</val>
          </value>
          <value>
            <val>257</val>
          </value>
          <value>
            <val>2.8</val>
          </value>
          <value t="str">
            <val>73.50%</val>
          </value>
          <value t="str">
            <val>7.83億</val>
          </value>
          <value t="str">
            <val>+6.86</val>
          </value>
          <value t="str">
            <val>+6.86</val>
          </value>
          <value t="str">
            <val>-2.10</val>
          </value>
          <value>
            <val>-5</val>
          </value>
          <value>
            <val>1417</val>
          </value>
        </values>
      </ddeItem>
      <ddeItem name="366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-25</val>
          </value>
          <value t="str">
            <val>2022/06/23</val>
          </value>
          <value t="str">
            <val>3.80</val>
          </value>
          <value>
            <val>8.4700000000000006</val>
          </value>
          <value t="str">
            <val>4.20</val>
          </value>
          <value t="str">
            <val>1.05</val>
          </value>
          <value t="str">
            <val>圓展</val>
          </value>
          <value t="str">
            <val>上市通信網路</val>
          </value>
          <value t="str">
            <val>圓剛轉投資之視訊會議與教學簡報系統供應商</val>
          </value>
        </values>
      </ddeItem>
      <ddeItem name="3669.TW-CName,InvestorConferenceDate,DateofMeetingofShareHolders,TradingDate" advise="1">
        <values cols="4">
          <value t="str">
            <val>圓展</val>
          </value>
          <value t="str">
            <val>2022/12/20</val>
          </value>
          <value t="str">
            <val>2022/06/08</val>
          </value>
          <value t="str">
            <val>2022/12/22</val>
          </value>
        </values>
      </ddeItem>
      <ddeItem name="3669.TW-ID,Name,MarketValue,Capital,NetIncomeGrowthRate,OperIncomeGrowthRate,FinancialStatementsTime,TFXRatio,MonthlyNetSalesYoY,RevenueMonth" advise="1">
        <values cols="10">
          <value t="str">
            <val>3669</val>
          </value>
          <value t="str">
            <val>圓展</val>
          </value>
          <value t="str">
            <val>41.7</val>
          </value>
          <value t="str">
            <val>9.29</val>
          </value>
          <value t="str">
            <val>-45.49</val>
          </value>
          <value t="str">
            <val>-52.00</val>
          </value>
          <value t="str">
            <val>2022/09</val>
          </value>
          <value t="str">
            <val>9.93</val>
          </value>
          <value t="str">
            <val>-8.68</val>
          </value>
          <value t="str">
            <val>2022/11</val>
          </value>
        </values>
      </ddeItem>
      <ddeItem name="3669.TW-OperatingProfitRatio,Price,PriceChangeRatio,InOutRatioNumber,Value,YearReturn,MonthReturn,WeekReturn,FinanceBalanceDif,ChipsField2" advise="1">
        <values cols="10">
          <value t="str">
            <val>12.15</val>
          </value>
          <value>
            <val>44.85</val>
          </value>
          <value>
            <val>0.56000000000000005</val>
          </value>
          <value t="str">
            <val>51.85%</val>
          </value>
          <value t="str">
            <val>613萬</val>
          </value>
          <value t="str">
            <val>-4.22</val>
          </value>
          <value t="str">
            <val>+7.81</val>
          </value>
          <value t="str">
            <val>-11.36</val>
          </value>
          <value>
            <val>-12</val>
          </value>
          <value>
            <val>0</val>
          </value>
        </values>
      </ddeItem>
      <ddeItem name="3673.TW-ChipsField3,ChipsField1,ChipsField25,CashAndStockDividend,CashDividendYieldRate,ProfitFourSeason,ProfitSingle,CName,ExchangeIndustry,CompanyPos" advise="1">
        <values cols="10">
          <value>
            <val>-71</val>
          </value>
          <value>
            <val>-87</val>
          </value>
          <value t="str">
            <val>2022/07/21</val>
          </value>
          <value t="str">
            <val>1.50</val>
          </value>
          <value>
            <val>5.03</val>
          </value>
          <value t="str">
            <val>1.58</val>
          </value>
          <value t="str">
            <val>0.55</val>
          </value>
          <value t="str">
            <val>TPK-KY</val>
          </value>
          <value t="str">
            <val>上市光電</val>
          </value>
          <value t="str">
            <val>全球最大玻璃投射電容觸控模組廠</val>
          </value>
        </values>
      </ddeItem>
      <ddeItem name="3673.TW-CName,InvestorConferenceDate,DateofMeetingofShareHolders,TradingDate" advise="1">
        <values cols="4">
          <value t="str">
            <val>TPK-KY</val>
          </value>
          <value t="str">
            <val>2022/08/11</val>
          </value>
          <value t="str">
            <val>2022/06/23</val>
          </value>
          <value t="str">
            <val>2022/12/22</val>
          </value>
        </values>
      </ddeItem>
      <ddeItem name="3673.TW-ID,Name,MarketValue,Capital,NetIncomeGrowthRate,OperIncomeGrowthRate,FinancialStatementsTime,TFXRatio,MonthlyNetSalesYoY,RevenueMonth" advise="1">
        <values cols="10">
          <value t="str">
            <val>3673</val>
          </value>
          <value t="str">
            <val>TPK-KY</val>
          </value>
          <value t="str">
            <val>121.2</val>
          </value>
          <value t="str">
            <val>40.67</val>
          </value>
          <value t="str">
            <val>-42.52</val>
          </value>
          <value t="str">
            <val>88.26</val>
          </value>
          <value t="str">
            <val>2022/09</val>
          </value>
          <value t="str">
            <val>0.01</val>
          </value>
          <value t="str">
            <val>-12.59</val>
          </value>
          <value t="str">
            <val>2022/11</val>
          </value>
        </values>
      </ddeItem>
      <ddeItem name="3673.TW-OperatingProfitRatio,Price,PriceChangeRatio,InOutRatioNumber,Value,YearReturn,MonthReturn,WeekReturn,FinanceBalanceDif,ChipsField2" advise="1">
        <values cols="10">
          <value t="str">
            <val>1.00</val>
          </value>
          <value>
            <val>29.8</val>
          </value>
          <value>
            <val>1.19</val>
          </value>
          <value t="str">
            <val>43.90%</val>
          </value>
          <value t="str">
            <val>1227萬</val>
          </value>
          <value t="str">
            <val>-27.13</val>
          </value>
          <value t="str">
            <val>-2.93</val>
          </value>
          <value t="str">
            <val>-3.25</val>
          </value>
          <value>
            <val>36</val>
          </value>
          <value>
            <val>0</val>
          </value>
        </values>
      </ddeItem>
      <ddeItem name="3679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-2195</val>
          </value>
          <value t="str">
            <val>2022/06/15</val>
          </value>
          <value t="str">
            <val>9.00</val>
          </value>
          <value>
            <val>9.77</val>
          </value>
          <value t="str">
            <val>13.52</val>
          </value>
          <value t="str">
            <val>5.52</val>
          </value>
          <value t="str">
            <val>新至陞</val>
          </value>
          <value t="str">
            <val>上市電子零組件</val>
          </value>
          <value t="str">
            <val>為塑膠模具設計及射出廠商</val>
          </value>
        </values>
      </ddeItem>
      <ddeItem name="3679.TW-CName,InvestorConferenceDate,DateofMeetingofShareHolders,TradingDate" advise="1">
        <values cols="4">
          <value t="str">
            <val>新至陞</val>
          </value>
          <value t="str">
            <val>2022/03/17</val>
          </value>
          <value t="str">
            <val>2022/06/15</val>
          </value>
          <value t="str">
            <val>2022/12/22</val>
          </value>
        </values>
      </ddeItem>
      <ddeItem name="3679.TW-ID,Name,MarketValue,Capital,NetIncomeGrowthRate,OperIncomeGrowthRate,FinancialStatementsTime,TFXRatio,MonthlyNetSalesYoY,RevenueMonth" advise="1">
        <values cols="10">
          <value t="str">
            <val>3679</val>
          </value>
          <value t="str">
            <val>新至陞</val>
          </value>
          <value t="str">
            <val>58.1</val>
          </value>
          <value t="str">
            <val>6.30</val>
          </value>
          <value t="str">
            <val>55.37</val>
          </value>
          <value t="str">
            <val>-54.45</val>
          </value>
          <value t="str">
            <val>2022/09</val>
          </value>
          <value t="str">
            <val>-9.73</val>
          </value>
          <value t="str">
            <val>-17.93</val>
          </value>
          <value t="str">
            <val>2022/11</val>
          </value>
        </values>
      </ddeItem>
      <ddeItem name="3679.TW-OperatingProfitRatio,Price,PriceChangeRatio,InOutRatioNumber,Value,YearReturn,MonthReturn,WeekReturn,FinanceBalanceDif,ChipsField2" advise="1">
        <values cols="10">
          <value t="str">
            <val>10.55</val>
          </value>
          <value>
            <val>92.1</val>
          </value>
          <value>
            <val>1.88</val>
          </value>
          <value t="str">
            <val>63.64%</val>
          </value>
          <value t="str">
            <val>302萬</val>
          </value>
          <value t="str">
            <val>+15.46</val>
          </value>
          <value t="str">
            <val>-0.75</val>
          </value>
          <value t="str">
            <val>-0.97</val>
          </value>
          <value>
            <val>-11</val>
          </value>
          <value>
            <val>0</val>
          </value>
        </values>
      </ddeItem>
      <ddeItem name="368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1143</val>
          </value>
          <value t="str">
            <val>--</val>
          </value>
          <value t="str">
            <val>0.00</val>
          </value>
          <value>
            <val>0</val>
          </value>
          <value t="str">
            <val>-1.30</val>
          </value>
          <value t="str">
            <val>-0.28</val>
          </value>
          <value t="str">
            <val>亞太電</val>
          </value>
          <value t="str">
            <val>上市通信網路</val>
          </value>
          <value t="str">
            <val>隸屬鴻海集團的台灣第四大電信業者</val>
          </value>
        </values>
      </ddeItem>
      <ddeItem name="3682.TW-CName,InvestorConferenceDate,DateofMeetingofShareHolders,TradingDate" advise="1">
        <values cols="4">
          <value t="str">
            <val>亞太電</val>
          </value>
          <value t="str">
            <val>2022/11/03</val>
          </value>
          <value t="str">
            <val>2022/06/20</val>
          </value>
          <value t="str">
            <val>2022/12/22</val>
          </value>
        </values>
      </ddeItem>
      <ddeItem name="3682.TW-ID,Name,MarketValue,Capital,NetIncomeGrowthRate,OperIncomeGrowthRate,FinancialStatementsTime,TFXRatio,MonthlyNetSalesYoY,RevenueMonth" advise="1">
        <values cols="10">
          <value t="str">
            <val>3682</val>
          </value>
          <value t="str">
            <val>亞太電</val>
          </value>
          <value t="str">
            <val>168.2</val>
          </value>
          <value t="str">
            <val>431.72</val>
          </value>
          <value t="str">
            <val>-1.53</val>
          </value>
          <value t="str">
            <val>12.53</val>
          </value>
          <value t="str">
            <val>2022/09</val>
          </value>
          <value t="str">
            <val>-4.00</val>
          </value>
          <value t="str">
            <val>2.24</val>
          </value>
          <value t="str">
            <val>2022/11</val>
          </value>
        </values>
      </ddeItem>
      <ddeItem name="3682.TW-OperatingProfitRatio,Price,PriceChangeRatio,InOutRatioNumber,Value,YearReturn,MonthReturn,WeekReturn,FinanceBalanceDif,ChipsField2" advise="1">
        <values cols="10">
          <value t="str">
            <val>-34.19</val>
          </value>
          <value>
            <val>5.97</val>
          </value>
          <value>
            <val>0.17</val>
          </value>
          <value t="str">
            <val>59.08%</val>
          </value>
          <value t="str">
            <val>389萬</val>
          </value>
          <value t="str">
            <val>-26.93</val>
          </value>
          <value t="str">
            <val>-2.45</val>
          </value>
          <value t="str">
            <val>-0.17</val>
          </value>
          <value>
            <val>0</val>
          </value>
          <value>
            <val>0</val>
          </value>
        </values>
      </ddeItem>
      <ddeItem name="368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-87</val>
          </value>
          <value t="str">
            <val>--</val>
          </value>
          <value t="str">
            <val>0.00</val>
          </value>
          <value>
            <val>0</val>
          </value>
          <value t="str">
            <val>0.46</val>
          </value>
          <value t="str">
            <val>-0.08</val>
          </value>
          <value t="str">
            <val>達能</val>
          </value>
          <value t="str">
            <val>上市半導體</val>
          </value>
          <value t="str">
            <val>台灣太陽能多晶矽晶片製造商</val>
          </value>
        </values>
      </ddeItem>
      <ddeItem name="3686.TW-CName,InvestorConferenceDate,DateofMeetingofShareHolders,TradingDate" advise="1">
        <values cols="4">
          <value t="str">
            <val>達能</val>
          </value>
          <value t="str">
            <val>2022/12/21</val>
          </value>
          <value t="str">
            <val>2022/06/21</val>
          </value>
          <value t="str">
            <val>2022/12/22</val>
          </value>
        </values>
      </ddeItem>
      <ddeItem name="3686.TW-ID,Name,MarketValue,Capital,NetIncomeGrowthRate,OperIncomeGrowthRate,FinancialStatementsTime,TFXRatio,MonthlyNetSalesYoY,RevenueMonth" advise="1">
        <values cols="10">
          <value t="str">
            <val>3686</val>
          </value>
          <value t="str">
            <val>達能</val>
          </value>
          <value t="str">
            <val>12.7</val>
          </value>
          <value t="str">
            <val>7.65</val>
          </value>
          <value t="str">
            <val>74.00</val>
          </value>
          <value t="str">
            <val>35.71</val>
          </value>
          <value t="str">
            <val>2022/09</val>
          </value>
          <value t="str">
            <val>45.48</val>
          </value>
          <value t="str">
            <val>6.33</val>
          </value>
          <value t="str">
            <val>2022/11</val>
          </value>
        </values>
      </ddeItem>
      <ddeItem name="3686.TW-OperatingProfitRatio,Price,PriceChangeRatio,InOutRatioNumber,Value,YearReturn,MonthReturn,WeekReturn,FinanceBalanceDif,ChipsField2" advise="1">
        <values cols="10">
          <value t="str">
            <val>-60.46</val>
          </value>
          <value>
            <val>16.600000000000001</val>
          </value>
          <value>
            <val>-0.6</val>
          </value>
          <value t="str">
            <val>52.83%</val>
          </value>
          <value t="str">
            <val>2094萬</val>
          </value>
          <value t="str">
            <val>-30.72</val>
          </value>
          <value t="str">
            <val>+32.80</val>
          </value>
          <value t="str">
            <val>+10.67</val>
          </value>
          <value>
            <val>0</val>
          </value>
          <value>
            <val>0</val>
          </value>
        </values>
      </ddeItem>
      <ddeItem name="3694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14</val>
          </value>
          <value t="str">
            <val>--</val>
          </value>
          <value t="str">
            <val>0.00</val>
          </value>
          <value>
            <val>0</val>
          </value>
          <value t="str">
            <val>2.22</val>
          </value>
          <value t="str">
            <val>1.28</val>
          </value>
          <value t="str">
            <val>海華</val>
          </value>
          <value t="str">
            <val>上市通信網路</val>
          </value>
          <value t="str">
            <val>華碩集團旗下無線通訊模組廠</val>
          </value>
        </values>
      </ddeItem>
      <ddeItem name="3694.TW-CName,InvestorConferenceDate,DateofMeetingofShareHolders,TradingDate" advise="1">
        <values cols="4">
          <value t="str">
            <val>海華</val>
          </value>
          <value t="str">
            <val>2021/12/28</val>
          </value>
          <value t="str">
            <val>2022/06/23</val>
          </value>
          <value t="str">
            <val>2022/12/22</val>
          </value>
        </values>
      </ddeItem>
      <ddeItem name="3694.TW-ID,Name,MarketValue,Capital,NetIncomeGrowthRate,OperIncomeGrowthRate,FinancialStatementsTime,TFXRatio,MonthlyNetSalesYoY,RevenueMonth" advise="1">
        <values cols="10">
          <value t="str">
            <val>3694</val>
          </value>
          <value t="str">
            <val>海華</val>
          </value>
          <value t="str">
            <val>26.7</val>
          </value>
          <value t="str">
            <val>15.27</val>
          </value>
          <value t="str">
            <val>16.13</val>
          </value>
          <value t="str">
            <val>-4.91</val>
          </value>
          <value t="str">
            <val>2022/09</val>
          </value>
          <value t="str">
            <val>-13.89</val>
          </value>
          <value t="str">
            <val>-33.02</val>
          </value>
          <value t="str">
            <val>2022/11</val>
          </value>
        </values>
      </ddeItem>
      <ddeItem name="3694.TW-OperatingProfitRatio,Price,PriceChangeRatio,InOutRatioNumber,Value,YearReturn,MonthReturn,WeekReturn,FinanceBalanceDif,ChipsField2" advise="1">
        <values cols="10">
          <value t="str">
            <val>2.43</val>
          </value>
          <value>
            <val>19.7</val>
          </value>
          <value>
            <val>0.77</val>
          </value>
          <value t="str">
            <val>66.41%</val>
          </value>
          <value t="str">
            <val>258萬</val>
          </value>
          <value t="str">
            <val>-31.48</val>
          </value>
          <value t="str">
            <val>-5.52</val>
          </value>
          <value t="str">
            <val>-1.75</val>
          </value>
          <value>
            <val>-14</val>
          </value>
          <value>
            <val>0</val>
          </value>
        </values>
      </ddeItem>
      <ddeItem name="3701.TW-ChipsField3,ChipsField1,ChipsField25,CashAndStockDividend,CashDividendYieldRate,ProfitFourSeason,ProfitSingle,CName,ExchangeIndustry,CompanyPos" advise="1">
        <values cols="10">
          <value>
            <val>-11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1.90</val>
          </value>
          <value t="str">
            <val>0.65</val>
          </value>
          <value t="str">
            <val>大眾控</val>
          </value>
          <value t="str">
            <val>上市電腦及週邊設備</val>
          </value>
          <value t="str">
            <val>大眾集團之控股公司</val>
          </value>
        </values>
      </ddeItem>
      <ddeItem name="3701.TW-CName,InvestorConferenceDate,DateofMeetingofShareHolders,TradingDate" advise="1">
        <values cols="4">
          <value t="str">
            <val>大眾控</val>
          </value>
          <value t="str">
            <val>2022/11/17</val>
          </value>
          <value t="str">
            <val>2022/06/23</val>
          </value>
          <value t="str">
            <val>2022/12/22</val>
          </value>
        </values>
      </ddeItem>
      <ddeItem name="3701.TW-ID,Name,MarketValue,Capital,NetIncomeGrowthRate,OperIncomeGrowthRate,FinancialStatementsTime,TFXRatio,MonthlyNetSalesYoY,RevenueMonth" advise="1">
        <values cols="10">
          <value t="str">
            <val>3701</val>
          </value>
          <value t="str">
            <val>大眾控</val>
          </value>
          <value t="str">
            <val>82.6</val>
          </value>
          <value t="str">
            <val>21.51</val>
          </value>
          <value t="str">
            <val>53.24</val>
          </value>
          <value t="str">
            <val>39.52</val>
          </value>
          <value t="str">
            <val>2022/09</val>
          </value>
          <value t="str">
            <val>-9.12</val>
          </value>
          <value t="str">
            <val>11.22</val>
          </value>
          <value t="str">
            <val>2022/11</val>
          </value>
        </values>
      </ddeItem>
      <ddeItem name="3701.TW-OperatingProfitRatio,Price,PriceChangeRatio,InOutRatioNumber,Value,YearReturn,MonthReturn,WeekReturn,FinanceBalanceDif,ChipsField2" advise="1">
        <values cols="10">
          <value t="str">
            <val>3.21</val>
          </value>
          <value>
            <val>38.4</val>
          </value>
          <value>
            <val>1.19</val>
          </value>
          <value t="str">
            <val>37.21%</val>
          </value>
          <value t="str">
            <val>673萬</val>
          </value>
          <value t="str">
            <val>-48.80</val>
          </value>
          <value t="str">
            <val>+0.13</val>
          </value>
          <value t="str">
            <val>-6.34</val>
          </value>
          <value>
            <val>4</val>
          </value>
          <value>
            <val>0</val>
          </value>
        </values>
      </ddeItem>
      <ddeItem name="3702.TW-ChipsField3,ChipsField1,ChipsField25,CashAndStockDividend,CashDividendYieldRate,ProfitFourSeason,ProfitSingle,CName,ExchangeIndustry,CompanyPos" advise="1">
        <values cols="10">
          <value>
            <val>-6</val>
          </value>
          <value>
            <val>7011</val>
          </value>
          <value t="str">
            <val>2022/07/19</val>
          </value>
          <value t="str">
            <val>3.50</val>
          </value>
          <value>
            <val>7.28</val>
          </value>
          <value t="str">
            <val>7.03</val>
          </value>
          <value t="str">
            <val>1.64</val>
          </value>
          <value t="str">
            <val>大聯大</val>
          </value>
          <value t="str">
            <val>上市電子通路</val>
          </value>
          <value t="str">
            <val>全球暨亞太區第一大的半導體零組件通路商</val>
          </value>
        </values>
      </ddeItem>
      <ddeItem name="3702.TW-CName,InvestorConferenceDate,DateofMeetingofShareHolders,TradingDate" advise="1">
        <values cols="4">
          <value t="str">
            <val>大聯大</val>
          </value>
          <value t="str">
            <val>2022/11/15</val>
          </value>
          <value t="str">
            <val>2022/05/26</val>
          </value>
          <value t="str">
            <val>2022/12/22</val>
          </value>
        </values>
      </ddeItem>
      <ddeItem name="3702.TW-ID,Name,MarketValue,Capital,NetIncomeGrowthRate,OperIncomeGrowthRate,FinancialStatementsTime,TFXRatio,MonthlyNetSalesYoY,RevenueMonth" advise="1">
        <values cols="10">
          <value t="str">
            <val>3702</val>
          </value>
          <value t="str">
            <val>大聯大</val>
          </value>
          <value t="str">
            <val>806.8</val>
          </value>
          <value t="str">
            <val>167.91</val>
          </value>
          <value t="str">
            <val>2.69</val>
          </value>
          <value t="str">
            <val>9.74</val>
          </value>
          <value t="str">
            <val>2022/09</val>
          </value>
          <value t="str">
            <val>-5.48</val>
          </value>
          <value t="str">
            <val>-16.81</val>
          </value>
          <value t="str">
            <val>2022/11</val>
          </value>
        </values>
      </ddeItem>
      <ddeItem name="3702.TW-OperatingProfitRatio,Price,PriceChangeRatio,InOutRatioNumber,Value,YearReturn,MonthReturn,WeekReturn,FinanceBalanceDif,ChipsField2" advise="1">
        <values cols="10">
          <value t="str">
            <val>1.93</val>
          </value>
          <value>
            <val>48.05</val>
          </value>
          <value>
            <val>1.59</val>
          </value>
          <value t="str">
            <val>29.96%</val>
          </value>
          <value t="str">
            <val>6.52億</val>
          </value>
          <value t="str">
            <val>+1.30</val>
          </value>
          <value t="str">
            <val>+4.23</val>
          </value>
          <value t="str">
            <val>+0.84</val>
          </value>
          <value>
            <val>24</val>
          </value>
          <value>
            <val>-7204</val>
          </value>
        </values>
      </ddeItem>
      <ddeItem name="3703.TW-ChipsField3,ChipsField1,ChipsField25,CashAndStockDividend,CashDividendYieldRate,ProfitFourSeason,ProfitSingle,CName,ExchangeIndustry,CompanyPos" advise="1">
        <values cols="10">
          <value>
            <val>-64</val>
          </value>
          <value>
            <val>64</val>
          </value>
          <value t="str">
            <val>2022/06/30</val>
          </value>
          <value t="str">
            <val>1.68</val>
          </value>
          <value>
            <val>5.98</val>
          </value>
          <value t="str">
            <val>4.23</val>
          </value>
          <value t="str">
            <val>0.57</val>
          </value>
          <value t="str">
            <val>欣陸</val>
          </value>
          <value t="str">
            <val>上市建材營造</val>
          </value>
          <value t="str">
            <val>由大陸建設換股成立之建設、營造控股公司</val>
          </value>
        </values>
      </ddeItem>
      <ddeItem name="3703.TW-CName,InvestorConferenceDate,DateofMeetingofShareHolders,TradingDate" advise="1">
        <values cols="4">
          <value t="str">
            <val>欣陸</val>
          </value>
          <value t="str">
            <val>2022/12/27</val>
          </value>
          <value t="str">
            <val>2022/06/09</val>
          </value>
          <value t="str">
            <val>2022/12/22</val>
          </value>
        </values>
      </ddeItem>
      <ddeItem name="3703.TW-ID,Name,MarketValue,Capital,NetIncomeGrowthRate,OperIncomeGrowthRate,FinancialStatementsTime,TFXRatio,MonthlyNetSalesYoY,RevenueMonth" advise="1">
        <values cols="10">
          <value t="str">
            <val>3703</val>
          </value>
          <value t="str">
            <val>欣陸</val>
          </value>
          <value t="str">
            <val>231.3</val>
          </value>
          <value t="str">
            <val>82.32</val>
          </value>
          <value t="str">
            <val>145.06</val>
          </value>
          <value t="str">
            <val>115.77</val>
          </value>
          <value t="str">
            <val>2022/09</val>
          </value>
          <value t="str">
            <val>-32.61</val>
          </value>
          <value t="str">
            <val>-42.47</val>
          </value>
          <value t="str">
            <val>2022/11</val>
          </value>
        </values>
      </ddeItem>
      <ddeItem name="3703.TW-OperatingProfitRatio,Price,PriceChangeRatio,InOutRatioNumber,Value,YearReturn,MonthReturn,WeekReturn,FinanceBalanceDif,ChipsField2" advise="1">
        <values cols="10">
          <value t="str">
            <val>11.89</val>
          </value>
          <value>
            <val>28.1</val>
          </value>
          <value>
            <val>0.9</val>
          </value>
          <value t="str">
            <val>45.77%</val>
          </value>
          <value t="str">
            <val>1614萬</val>
          </value>
          <value t="str">
            <val>+17.75</val>
          </value>
          <value t="str">
            <val>-1.58</val>
          </value>
          <value t="str">
            <val>-1.06</val>
          </value>
          <value>
            <val>4</val>
          </value>
          <value>
            <val>0</val>
          </value>
        </values>
      </ddeItem>
      <ddeItem name="3704.TW-ChipsField3,ChipsField1,ChipsField25,CashAndStockDividend,CashDividendYieldRate,ProfitFourSeason,ProfitSingle,CName,ExchangeIndustry,CompanyPos" advise="1">
        <values cols="10">
          <value>
            <val>-180</val>
          </value>
          <value>
            <val>-816</val>
          </value>
          <value t="str">
            <val>2022/08/25</val>
          </value>
          <value t="str">
            <val>0.51</val>
          </value>
          <value>
            <val>1.47</val>
          </value>
          <value t="str">
            <val>3.11</val>
          </value>
          <value t="str">
            <val>1.88</val>
          </value>
          <value t="str">
            <val>合勤控</val>
          </value>
          <value t="str">
            <val>上市通信網路</val>
          </value>
          <value t="str">
            <val>兼營品牌「ZyXEL」與代工業務之網通設備廠</val>
          </value>
        </values>
      </ddeItem>
      <ddeItem name="3704.TW-CName,InvestorConferenceDate,DateofMeetingofShareHolders,TradingDate" advise="1">
        <values cols="4">
          <value t="str">
            <val>合勤控</val>
          </value>
          <value t="str">
            <val>2022/08/12</val>
          </value>
          <value t="str">
            <val>2022/06/15</val>
          </value>
          <value t="str">
            <val>2022/12/22</val>
          </value>
        </values>
      </ddeItem>
      <ddeItem name="3704.TW-ID,Name,MarketValue,Capital,NetIncomeGrowthRate,OperIncomeGrowthRate,FinancialStatementsTime,TFXRatio,MonthlyNetSalesYoY,RevenueMonth" advise="1">
        <values cols="10">
          <value t="str">
            <val>3704</val>
          </value>
          <value t="str">
            <val>合勤控</val>
          </value>
          <value t="str">
            <val>137.9</val>
          </value>
          <value t="str">
            <val>39.79</val>
          </value>
          <value t="str">
            <val>27.27</val>
          </value>
          <value t="str">
            <val>-4.37</val>
          </value>
          <value t="str">
            <val>2022/09</val>
          </value>
          <value t="str">
            <val>12.91</val>
          </value>
          <value t="str">
            <val>56.95</val>
          </value>
          <value t="str">
            <val>2022/11</val>
          </value>
        </values>
      </ddeItem>
      <ddeItem name="3704.TW-OperatingProfitRatio,Price,PriceChangeRatio,InOutRatioNumber,Value,YearReturn,MonthReturn,WeekReturn,FinanceBalanceDif,ChipsField2" advise="1">
        <values cols="10">
          <value t="str">
            <val>5.32</val>
          </value>
          <value>
            <val>34.65</val>
          </value>
          <value>
            <val>0.28999999999999998</val>
          </value>
          <value t="str">
            <val>47.20%</val>
          </value>
          <value t="str">
            <val>1.97億</val>
          </value>
          <value t="str">
            <val>-4.41</val>
          </value>
          <value t="str">
            <val>+8.62</val>
          </value>
          <value t="str">
            <val>+3.59</val>
          </value>
          <value>
            <val>325</val>
          </value>
          <value>
            <val>0</val>
          </value>
        </values>
      </ddeItem>
      <ddeItem name="370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112</val>
          </value>
          <value t="str">
            <val>2022/06/23</val>
          </value>
          <value t="str">
            <val>1.70</val>
          </value>
          <value>
            <val>3.72</val>
          </value>
          <value t="str">
            <val>3.62</val>
          </value>
          <value t="str">
            <val>0.96</val>
          </value>
          <value t="str">
            <val>永信</val>
          </value>
          <value t="str">
            <val>上市生技醫療</val>
          </value>
          <value t="str">
            <val>台灣最大製藥及健康科技之控股公司</val>
          </value>
        </values>
      </ddeItem>
      <ddeItem name="3705.TW-CName,InvestorConferenceDate,DateofMeetingofShareHolders,TradingDate" advise="1">
        <values cols="4">
          <value t="str">
            <val>永信</val>
          </value>
          <value t="str">
            <val>2022/12/22</val>
          </value>
          <value t="str">
            <val>2022/05/24</val>
          </value>
          <value t="str">
            <val>2022/12/22</val>
          </value>
        </values>
      </ddeItem>
      <ddeItem name="3705.TW-ID,Name,MarketValue,Capital,NetIncomeGrowthRate,OperIncomeGrowthRate,FinancialStatementsTime,TFXRatio,MonthlyNetSalesYoY,RevenueMonth" advise="1">
        <values cols="10">
          <value t="str">
            <val>3705</val>
          </value>
          <value t="str">
            <val>永信</val>
          </value>
          <value t="str">
            <val>121.9</val>
          </value>
          <value t="str">
            <val>26.64</val>
          </value>
          <value t="str">
            <val>40.39</val>
          </value>
          <value t="str">
            <val>-10.33</val>
          </value>
          <value t="str">
            <val>2022/09</val>
          </value>
          <value t="str">
            <val>6.84</val>
          </value>
          <value t="str">
            <val>-1.88</val>
          </value>
          <value t="str">
            <val>2022/11</val>
          </value>
        </values>
      </ddeItem>
      <ddeItem name="3705.TW-OperatingProfitRatio,Price,PriceChangeRatio,InOutRatioNumber,Value,YearReturn,MonthReturn,WeekReturn,FinanceBalanceDif,ChipsField2" advise="1">
        <values cols="10">
          <value t="str">
            <val>11.36</val>
          </value>
          <value>
            <val>45.75</val>
          </value>
          <value>
            <val>3.27</val>
          </value>
          <value t="str">
            <val>54.50%</val>
          </value>
          <value t="str">
            <val>2.63億</val>
          </value>
          <value t="str">
            <val>+10.98</val>
          </value>
          <value t="str">
            <val>+13.66</val>
          </value>
          <value t="str">
            <val>+0.99</val>
          </value>
          <value>
            <val>-116</val>
          </value>
          <value>
            <val>0</val>
          </value>
        </values>
      </ddeItem>
      <ddeItem name="3706.TW-ChipsField3,ChipsField1,ChipsField25,CashAndStockDividend,CashDividendYieldRate,ProfitFourSeason,ProfitSingle,CName,ExchangeIndustry,CompanyPos" advise="1">
        <values cols="10">
          <value>
            <val>-24</val>
          </value>
          <value>
            <val>-1138</val>
          </value>
          <value t="str">
            <val>2022/03/31</val>
          </value>
          <value t="str">
            <val>2.00</val>
          </value>
          <value>
            <val>6.72</val>
          </value>
          <value t="str">
            <val>8.51</val>
          </value>
          <value t="str">
            <val>7.17</val>
          </value>
          <value t="str">
            <val>神達</val>
          </value>
          <value t="str">
            <val>上市電腦及週邊設備</val>
          </value>
          <value t="str">
            <val>控股子公司從事伺服器、儲存設備、GPS等業務</val>
          </value>
        </values>
      </ddeItem>
      <ddeItem name="3706.TW-CName,InvestorConferenceDate,DateofMeetingofShareHolders,TradingDate" advise="1">
        <values cols="4">
          <value t="str">
            <val>神達</val>
          </value>
          <value t="str">
            <val>2022/11/21</val>
          </value>
          <value t="str">
            <val>2022/05/31</val>
          </value>
          <value t="str">
            <val>2022/12/22</val>
          </value>
        </values>
      </ddeItem>
      <ddeItem name="3706.TW-ID,Name,MarketValue,Capital,NetIncomeGrowthRate,OperIncomeGrowthRate,FinancialStatementsTime,TFXRatio,MonthlyNetSalesYoY,RevenueMonth" advise="1">
        <values cols="10">
          <value t="str">
            <val>3706</val>
          </value>
          <value t="str">
            <val>神達</val>
          </value>
          <value t="str">
            <val>359.0</val>
          </value>
          <value t="str">
            <val>120.66</val>
          </value>
          <value t="str">
            <val>-15.57</val>
          </value>
          <value t="str">
            <val>802.60</val>
          </value>
          <value t="str">
            <val>2022/09</val>
          </value>
          <value t="str">
            <val>-10.91</val>
          </value>
          <value t="str">
            <val>12.32</val>
          </value>
          <value t="str">
            <val>2022/11</val>
          </value>
        </values>
      </ddeItem>
      <ddeItem name="3706.TW-OperatingProfitRatio,Price,PriceChangeRatio,InOutRatioNumber,Value,YearReturn,MonthReturn,WeekReturn,FinanceBalanceDif,ChipsField2" advise="1">
        <values cols="10">
          <value t="str">
            <val>0.57</val>
          </value>
          <value>
            <val>29.75</val>
          </value>
          <value>
            <val>0</val>
          </value>
          <value t="str">
            <val>56.35%</val>
          </value>
          <value t="str">
            <val>1.06億</val>
          </value>
          <value t="str">
            <val>-6.34</val>
          </value>
          <value t="str">
            <val>+2.41</val>
          </value>
          <value t="str">
            <val>0.00</val>
          </value>
          <value>
            <val>-213</val>
          </value>
          <value>
            <val>1802</val>
          </value>
        </values>
      </ddeItem>
      <ddeItem name="3708.TW-ChipsField3,ChipsField1,ChipsField25,CashAndStockDividend,CashDividendYieldRate,ProfitFourSeason,ProfitSingle,CName,ExchangeIndustry,CompanyPos" advise="1">
        <values cols="10">
          <value>
            <val>-45</val>
          </value>
          <value>
            <val>-16</val>
          </value>
          <value t="str">
            <val>2022/07/08</val>
          </value>
          <value t="str">
            <val>1.43</val>
          </value>
          <value>
            <val>1.48</val>
          </value>
          <value t="str">
            <val>9.49</val>
          </value>
          <value t="str">
            <val>6.46</val>
          </value>
          <value t="str">
            <val>上緯投控</val>
          </value>
          <value t="str">
            <val>上市化工</val>
          </value>
          <value t="str">
            <val>全球第二、亞洲最大環保耐蝕樹脂商</val>
          </value>
        </values>
      </ddeItem>
      <ddeItem name="3708.TW-CName,InvestorConferenceDate,DateofMeetingofShareHolders,TradingDate" advise="1">
        <values cols="4">
          <value t="str">
            <val>上緯投控</val>
          </value>
          <value t="str">
            <val>2022/04/12</val>
          </value>
          <value t="str">
            <val>2022/05/31</val>
          </value>
          <value t="str">
            <val>2022/12/22</val>
          </value>
        </values>
      </ddeItem>
      <ddeItem name="3708.TW-ID,Name,MarketValue,Capital,NetIncomeGrowthRate,OperIncomeGrowthRate,FinancialStatementsTime,TFXRatio,MonthlyNetSalesYoY,RevenueMonth" advise="1">
        <values cols="10">
          <value t="str">
            <val>3708</val>
          </value>
          <value t="str">
            <val>上緯投控</val>
          </value>
          <value t="str">
            <val>94.5</val>
          </value>
          <value t="str">
            <val>9.81</val>
          </value>
          <value t="str">
            <val>701.61</val>
          </value>
          <value t="str">
            <val>233.63</val>
          </value>
          <value t="str">
            <val>2022/09</val>
          </value>
          <value t="str">
            <val>-17.68</val>
          </value>
          <value t="str">
            <val>-6.76</val>
          </value>
          <value t="str">
            <val>2022/11</val>
          </value>
        </values>
      </ddeItem>
      <ddeItem name="3708.TW-OperatingProfitRatio,Price,PriceChangeRatio,InOutRatioNumber,Value,YearReturn,MonthReturn,WeekReturn,FinanceBalanceDif,ChipsField2" advise="1">
        <values cols="10">
          <value t="str">
            <val>3.51</val>
          </value>
          <value>
            <val>96.3</val>
          </value>
          <value>
            <val>3.88</val>
          </value>
          <value t="str">
            <val>50.61%</val>
          </value>
          <value t="str">
            <val>2.79億</val>
          </value>
          <value t="str">
            <val>+1.55</val>
          </value>
          <value t="str">
            <val>-2.63</val>
          </value>
          <value t="str">
            <val>-1.13</val>
          </value>
          <value>
            <val>16</val>
          </value>
          <value>
            <val>0</val>
          </value>
        </values>
      </ddeItem>
      <ddeItem name="3711.TW-ChipsField3,ChipsField1,ChipsField25,CashAndStockDividend,CashDividendYieldRate,ProfitFourSeason,ProfitSingle,CName,ExchangeIndustry,CompanyPos" advise="1">
        <values cols="10">
          <value>
            <val>-310</val>
          </value>
          <value>
            <val>-10343</val>
          </value>
          <value t="str">
            <val>2022/06/29</val>
          </value>
          <value t="str">
            <val>7.00</val>
          </value>
          <value>
            <val>7.19</val>
          </value>
          <value t="str">
            <val>17.92</val>
          </value>
          <value t="str">
            <val>4.03</val>
          </value>
          <value t="str">
            <val>日月光投控</val>
          </value>
          <value t="str">
            <val>上市半導體</val>
          </value>
          <value t="str">
            <val>日月光及矽品規劃籌組新投資控股公司</val>
          </value>
        </values>
      </ddeItem>
      <ddeItem name="3711.TW-CName,InvestorConferenceDate,DateofMeetingofShareHolders,TradingDate" advise="1">
        <values cols="4">
          <value t="str">
            <val>日月光投控</val>
          </value>
          <value t="str">
            <val>2022/10/27</val>
          </value>
          <value t="str">
            <val>2022/06/23</val>
          </value>
          <value t="str">
            <val>2022/12/22</val>
          </value>
        </values>
      </ddeItem>
      <ddeItem name="3711.TW-ID,Name,MarketValue,Capital,NetIncomeGrowthRate,OperIncomeGrowthRate,FinancialStatementsTime,TFXRatio,MonthlyNetSalesYoY,RevenueMonth" advise="1">
        <values cols="10">
          <value t="str">
            <val>3711</val>
          </value>
          <value t="str">
            <val>日月光投控</val>
          </value>
          <value t="str">
            <val>4246.4</val>
          </value>
          <value t="str">
            <val>436.47</val>
          </value>
          <value t="str">
            <val>41.85</val>
          </value>
          <value t="str">
            <val>42.09</val>
          </value>
          <value t="str">
            <val>2022/09</val>
          </value>
          <value t="str">
            <val>-6.33</val>
          </value>
          <value t="str">
            <val>-0.69</val>
          </value>
          <value t="str">
            <val>2022/11</val>
          </value>
        </values>
      </ddeItem>
      <ddeItem name="3711.TW-OperatingProfitRatio,Price,PriceChangeRatio,InOutRatioNumber,Value,YearReturn,MonthReturn,WeekReturn,FinanceBalanceDif,ChipsField2" advise="1">
        <values cols="10">
          <value t="str">
            <val>12.24</val>
          </value>
          <value>
            <val>97.3</val>
          </value>
          <value>
            <val>2.1</val>
          </value>
          <value t="str">
            <val>67.49%</val>
          </value>
          <value t="str">
            <val>22.3億</val>
          </value>
          <value t="str">
            <val>+3.34</val>
          </value>
          <value t="str">
            <val>+3.29</val>
          </value>
          <value t="str">
            <val>-0.71</val>
          </value>
          <value>
            <val>-230</val>
          </value>
          <value>
            <val>12493</val>
          </value>
        </values>
      </ddeItem>
      <ddeItem name="3712.TW-ChipsField3,ChipsField1,ChipsField25,CashAndStockDividend,CashDividendYieldRate,ProfitFourSeason,ProfitSingle,CName,ExchangeIndustry,CompanyPos" advise="1">
        <values cols="10">
          <value>
            <val>-4</val>
          </value>
          <value>
            <val>-25</val>
          </value>
          <value t="str">
            <val>2022/08/04</val>
          </value>
          <value t="str">
            <val>1.50</val>
          </value>
          <value>
            <val>5.42</val>
          </value>
          <value t="str">
            <val>2.61</val>
          </value>
          <value t="str">
            <val>0.86</val>
          </value>
          <value t="str">
            <val>永崴投控</val>
          </value>
          <value t="str">
            <val>上市電腦及週邊設備</val>
          </value>
          <value t="str">
            <val>勁永、崴強、光燿科合併設立控股公司</val>
          </value>
        </values>
      </ddeItem>
      <ddeItem name="3712.TW-CName,InvestorConferenceDate,DateofMeetingofShareHolders,TradingDate" advise="1">
        <values cols="4">
          <value t="str">
            <val>永崴投控</val>
          </value>
          <value t="str">
            <val>2022/11/24</val>
          </value>
          <value t="str">
            <val>2022/06/17</val>
          </value>
          <value t="str">
            <val>2022/12/22</val>
          </value>
        </values>
      </ddeItem>
      <ddeItem name="3712.TW-ID,Name,MarketValue,Capital,NetIncomeGrowthRate,OperIncomeGrowthRate,FinancialStatementsTime,TFXRatio,MonthlyNetSalesYoY,RevenueMonth" advise="1">
        <values cols="10">
          <value t="str">
            <val>3712</val>
          </value>
          <value t="str">
            <val>永崴投控</val>
          </value>
          <value t="str">
            <val>68.2</val>
          </value>
          <value t="str">
            <val>24.62</val>
          </value>
          <value t="str">
            <val>44.15</val>
          </value>
          <value t="str">
            <val>17.28</val>
          </value>
          <value t="str">
            <val>2022/09</val>
          </value>
          <value t="str">
            <val>3.75</val>
          </value>
          <value t="str">
            <val>-21.03</val>
          </value>
          <value t="str">
            <val>2022/11</val>
          </value>
        </values>
      </ddeItem>
      <ddeItem name="3712.TW-OperatingProfitRatio,Price,PriceChangeRatio,InOutRatioNumber,Value,YearReturn,MonthReturn,WeekReturn,FinanceBalanceDif,ChipsField2" advise="1">
        <values cols="10">
          <value t="str">
            <val>4.42</val>
          </value>
          <value>
            <val>27.7</val>
          </value>
          <value>
            <val>0</val>
          </value>
          <value t="str">
            <val>38.33%</val>
          </value>
          <value t="str">
            <val>512萬</val>
          </value>
          <value t="str">
            <val>-10.16</val>
          </value>
          <value t="str">
            <val>+9.27</val>
          </value>
          <value t="str">
            <val>-2.81</val>
          </value>
          <value>
            <val>196</val>
          </value>
          <value>
            <val>0</val>
          </value>
        </values>
      </ddeItem>
      <ddeItem name="3714.TW-ChipsField3,ChipsField1,ChipsField25,CashAndStockDividend,CashDividendYieldRate,ProfitFourSeason,ProfitSingle,CName,ExchangeIndustry,CompanyPos" advise="1">
        <values cols="10">
          <value>
            <val>-24</val>
          </value>
          <value>
            <val>71</val>
          </value>
          <value t="str">
            <val>2022/06/16</val>
          </value>
          <value t="str">
            <val>2.00</val>
          </value>
          <value>
            <val>4.25</val>
          </value>
          <value t="str">
            <val>1.77</val>
          </value>
          <value t="str">
            <val>-0.48</val>
          </value>
          <value t="str">
            <val>富采</val>
          </value>
          <value t="str">
            <val>上市光電</val>
          </value>
          <value t="str">
            <val>晶電、隆達股份轉換而設立的投資控股公司</val>
          </value>
        </values>
      </ddeItem>
      <ddeItem name="3714.TW-CName,InvestorConferenceDate,DateofMeetingofShareHolders,TradingDate" advise="1">
        <values cols="4">
          <value t="str">
            <val>富采</val>
          </value>
          <value t="str">
            <val>2022/11/04</val>
          </value>
          <value t="str">
            <val>2022/05/31</val>
          </value>
          <value t="str">
            <val>2022/12/22</val>
          </value>
        </values>
      </ddeItem>
      <ddeItem name="3714.TW-ID,Name,MarketValue,Capital,NetIncomeGrowthRate,OperIncomeGrowthRate,FinancialStatementsTime,TFXRatio,MonthlyNetSalesYoY,RevenueMonth" advise="1">
        <values cols="10">
          <value t="str">
            <val>3714</val>
          </value>
          <value t="str">
            <val>富采</val>
          </value>
          <value t="str">
            <val>322.2</val>
          </value>
          <value t="str">
            <val>75.48</val>
          </value>
          <value t="str">
            <val>-74.65</val>
          </value>
          <value t="str">
            <val>-71.88</val>
          </value>
          <value t="str">
            <val>2022/09</val>
          </value>
          <value t="str">
            <val>2.82</val>
          </value>
          <value t="str">
            <val>-32.70</val>
          </value>
          <value t="str">
            <val>2022/11</val>
          </value>
        </values>
      </ddeItem>
      <ddeItem name="3714.TW-OperatingProfitRatio,Price,PriceChangeRatio,InOutRatioNumber,Value,YearReturn,MonthReturn,WeekReturn,FinanceBalanceDif,ChipsField2" advise="1">
        <values cols="10">
          <value t="str">
            <val>1.66</val>
          </value>
          <value>
            <val>47.05</val>
          </value>
          <value>
            <val>0.11</val>
          </value>
          <value t="str">
            <val>38.12%</val>
          </value>
          <value t="str">
            <val>8987萬</val>
          </value>
          <value t="str">
            <val>-35.82</val>
          </value>
          <value t="str">
            <val>+3.29</val>
          </value>
          <value t="str">
            <val>-4.37</val>
          </value>
          <value>
            <val>33</val>
          </value>
          <value>
            <val>0</val>
          </value>
        </values>
      </ddeItem>
      <ddeItem name="3715.TW-ChipsField3,ChipsField1,ChipsField25,CashAndStockDividend,CashDividendYieldRate,ProfitFourSeason,ProfitSingle,CName,ExchangeIndustry,CompanyPos" advise="1">
        <values cols="10">
          <value>
            <val>-12</val>
          </value>
          <value>
            <val>-169</val>
          </value>
          <value t="str">
            <val>--</val>
          </value>
          <value t="str">
            <val>--</val>
          </value>
          <value>
            <val>0</val>
          </value>
          <value t="str">
            <val>--</val>
          </value>
          <value t="str">
            <val>0.44</val>
          </value>
          <value t="str">
            <val>定穎投控</val>
          </value>
          <value t="str">
            <val>上市電子零組件</val>
          </value>
          <value t="str">
            <val>台灣專業多層印刷電路板製造廠</val>
          </value>
        </values>
      </ddeItem>
      <ddeItem name="3715.TW-CName,InvestorConferenceDate,DateofMeetingofShareHolders,TradingDate" advise="1">
        <values cols="4">
          <value t="str">
            <val>定穎投控</val>
          </value>
          <value t="str">
            <val>2022/11/10</val>
          </value>
          <value t="str">
            <val>2022/10/26</val>
          </value>
          <value t="str">
            <val>2022/12/22</val>
          </value>
        </values>
      </ddeItem>
      <ddeItem name="3715.TW-ID,Name,MarketValue,Capital,NetIncomeGrowthRate,OperIncomeGrowthRate,FinancialStatementsTime,TFXRatio,MonthlyNetSalesYoY,RevenueMonth" advise="1">
        <values cols="10">
          <value t="str">
            <val>3715</val>
          </value>
          <value t="str">
            <val>定穎投控</val>
          </value>
          <value t="str">
            <val>46.2</val>
          </value>
          <value t="str">
            <val>27.75</val>
          </value>
          <value t="str">
            <val>42.21</val>
          </value>
          <value t="str">
            <val>32.76</val>
          </value>
          <value t="str">
            <val>2022/09</val>
          </value>
          <value t="str">
            <val>1.76</val>
          </value>
          <value t="str">
            <val>--</val>
          </value>
          <value t="str">
            <val>2022/11</val>
          </value>
        </values>
      </ddeItem>
      <ddeItem name="3715.TW-OperatingProfitRatio,Price,PriceChangeRatio,InOutRatioNumber,Value,YearReturn,MonthReturn,WeekReturn,FinanceBalanceDif,ChipsField2" advise="1">
        <values cols="10">
          <value t="str">
            <val>5.04</val>
          </value>
          <value>
            <val>16.649999999999999</val>
          </value>
          <value>
            <val>0.3</val>
          </value>
          <value t="str">
            <val>36.03%</val>
          </value>
          <value t="str">
            <val>1001萬</val>
          </value>
          <value t="str">
            <val>--</val>
          </value>
          <value t="str">
            <val>-3.48</val>
          </value>
          <value t="str">
            <val>-4.86</val>
          </value>
          <value>
            <val>-67</val>
          </value>
          <value>
            <val>0</val>
          </value>
        </values>
      </ddeItem>
      <ddeItem name="410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-25</val>
          </value>
          <value t="str">
            <val>2022/07/13</val>
          </value>
          <value t="str">
            <val>4.00</val>
          </value>
          <value>
            <val>6</val>
          </value>
          <value t="str">
            <val>4.77</val>
          </value>
          <value t="str">
            <val>1.36</val>
          </value>
          <value t="str">
            <val>佳醫</val>
          </value>
          <value t="str">
            <val>上市生技醫療</val>
          </value>
          <value t="str">
            <val>台灣最大洗腎相關儀器及耗材代理商</val>
          </value>
        </values>
      </ddeItem>
      <ddeItem name="4104.TW-CName,InvestorConferenceDate,DateofMeetingofShareHolders,TradingDate" advise="1">
        <values cols="4">
          <value t="str">
            <val>佳醫</val>
          </value>
          <value t="str">
            <val>2022/09/27</val>
          </value>
          <value t="str">
            <val>2022/06/21</val>
          </value>
          <value t="str">
            <val>2022/12/22</val>
          </value>
        </values>
      </ddeItem>
      <ddeItem name="4104.TW-ID,Name,MarketValue,Capital,NetIncomeGrowthRate,OperIncomeGrowthRate,FinancialStatementsTime,TFXRatio,MonthlyNetSalesYoY,RevenueMonth" advise="1">
        <values cols="10">
          <value t="str">
            <val>4104</val>
          </value>
          <value t="str">
            <val>佳醫</val>
          </value>
          <value t="str">
            <val>98.9</val>
          </value>
          <value t="str">
            <val>14.82</val>
          </value>
          <value t="str">
            <val>17.57</val>
          </value>
          <value t="str">
            <val>-0.26</val>
          </value>
          <value t="str">
            <val>2022/09</val>
          </value>
          <value t="str">
            <val>3.24</val>
          </value>
          <value t="str">
            <val>9.21</val>
          </value>
          <value t="str">
            <val>2022/11</val>
          </value>
        </values>
      </ddeItem>
      <ddeItem name="4104.TW-OperatingProfitRatio,Price,PriceChangeRatio,InOutRatioNumber,Value,YearReturn,MonthReturn,WeekReturn,FinanceBalanceDif,ChipsField2" advise="1">
        <values cols="10">
          <value t="str">
            <val>8.52</val>
          </value>
          <value>
            <val>66.7</val>
          </value>
          <value>
            <val>0.6</val>
          </value>
          <value t="str">
            <val>38.69%</val>
          </value>
          <value t="str">
            <val>916萬</val>
          </value>
          <value t="str">
            <val>+29.55</val>
          </value>
          <value t="str">
            <val>+5.71</val>
          </value>
          <value t="str">
            <val>+1.52</val>
          </value>
          <value>
            <val>-6</val>
          </value>
          <value>
            <val>0</val>
          </value>
        </values>
      </ddeItem>
      <ddeItem name="4106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274</val>
          </value>
          <value t="str">
            <val>2022/08/02</val>
          </value>
          <value t="str">
            <val>0.55</val>
          </value>
          <value>
            <val>1.8</val>
          </value>
          <value t="str">
            <val>1.48</val>
          </value>
          <value t="str">
            <val>0.59</val>
          </value>
          <value t="str">
            <val>雃博</val>
          </value>
          <value t="str">
            <val>上市生技醫療</val>
          </value>
          <value t="str">
            <val>亞洲最大防褥瘡氣墊床廠</val>
          </value>
        </values>
      </ddeItem>
      <ddeItem name="4106.TW-CName,InvestorConferenceDate,DateofMeetingofShareHolders,TradingDate" advise="1">
        <values cols="4">
          <value t="str">
            <val>雃博</val>
          </value>
          <value t="str">
            <val>2022/12/09</val>
          </value>
          <value t="str">
            <val>2022/06/20</val>
          </value>
          <value t="str">
            <val>2022/12/22</val>
          </value>
        </values>
      </ddeItem>
      <ddeItem name="4106.TW-ID,Name,MarketValue,Capital,NetIncomeGrowthRate,OperIncomeGrowthRate,FinancialStatementsTime,TFXRatio,MonthlyNetSalesYoY,RevenueMonth" advise="1">
        <values cols="10">
          <value t="str">
            <val>4106</val>
          </value>
          <value t="str">
            <val>雃博</val>
          </value>
          <value t="str">
            <val>25.4</val>
          </value>
          <value t="str">
            <val>10.09</val>
          </value>
          <value t="str">
            <val>48.91</val>
          </value>
          <value t="str">
            <val>52.21</val>
          </value>
          <value t="str">
            <val>2022/09</val>
          </value>
          <value t="str">
            <val>11.27</val>
          </value>
          <value t="str">
            <val>27.82</val>
          </value>
          <value t="str">
            <val>2022/11</val>
          </value>
        </values>
      </ddeItem>
      <ddeItem name="4106.TW-OperatingProfitRatio,Price,PriceChangeRatio,InOutRatioNumber,Value,YearReturn,MonthReturn,WeekReturn,FinanceBalanceDif,ChipsField2" advise="1">
        <values cols="10">
          <value t="str">
            <val>8.46</val>
          </value>
          <value>
            <val>30.5</val>
          </value>
          <value>
            <val>2.0099999999999998</val>
          </value>
          <value t="str">
            <val>59.97%</val>
          </value>
          <value t="str">
            <val>5358萬</val>
          </value>
          <value t="str">
            <val>+8.21</val>
          </value>
          <value t="str">
            <val>+24.24</val>
          </value>
          <value t="str">
            <val>-7.58</val>
          </value>
          <value>
            <val>-76</val>
          </value>
          <value>
            <val>0</val>
          </value>
        </values>
      </ddeItem>
      <ddeItem name="410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</val>
          </value>
          <value t="str">
            <val>--</val>
          </value>
          <value t="str">
            <val>0.00</val>
          </value>
          <value>
            <val>0</val>
          </value>
          <value t="str">
            <val>-0.38</val>
          </value>
          <value t="str">
            <val>0.02</val>
          </value>
          <value t="str">
            <val>懷特</val>
          </value>
          <value t="str">
            <val>上市生技醫療</val>
          </value>
          <value t="str">
            <val>美吾華旗下植物新藥研發公司</val>
          </value>
        </values>
      </ddeItem>
      <ddeItem name="4108.TW-CName,InvestorConferenceDate,DateofMeetingofShareHolders,TradingDate" advise="1">
        <values cols="4">
          <value t="str">
            <val>懷特</val>
          </value>
          <value t="str">
            <val>2022/07/19</val>
          </value>
          <value t="str">
            <val>2022/05/24</val>
          </value>
          <value t="str">
            <val>2022/12/22</val>
          </value>
        </values>
      </ddeItem>
      <ddeItem name="4108.TW-ID,Name,MarketValue,Capital,NetIncomeGrowthRate,OperIncomeGrowthRate,FinancialStatementsTime,TFXRatio,MonthlyNetSalesYoY,RevenueMonth" advise="1">
        <values cols="10">
          <value t="str">
            <val>4108</val>
          </value>
          <value t="str">
            <val>懷特</val>
          </value>
          <value t="str">
            <val>37.9</val>
          </value>
          <value t="str">
            <val>19.86</val>
          </value>
          <value t="str">
            <val>-10.59</val>
          </value>
          <value t="str">
            <val>-11.83</val>
          </value>
          <value t="str">
            <val>2022/09</val>
          </value>
          <value t="str">
            <val>42.35</val>
          </value>
          <value t="str">
            <val>17.28</val>
          </value>
          <value t="str">
            <val>2022/11</val>
          </value>
        </values>
      </ddeItem>
      <ddeItem name="4108.TW-OperatingProfitRatio,Price,PriceChangeRatio,InOutRatioNumber,Value,YearReturn,MonthReturn,WeekReturn,FinanceBalanceDif,ChipsField2" advise="1">
        <values cols="10">
          <value t="str">
            <val>-99.87</val>
          </value>
          <value>
            <val>19.100000000000001</val>
          </value>
          <value>
            <val>0.53</val>
          </value>
          <value t="str">
            <val>62.39%</val>
          </value>
          <value t="str">
            <val>231萬</val>
          </value>
          <value t="str">
            <val>-17.49</val>
          </value>
          <value t="str">
            <val>+3.52</val>
          </value>
          <value t="str">
            <val>-5.21</val>
          </value>
          <value>
            <val>0</val>
          </value>
          <value>
            <val>0</val>
          </value>
        </values>
      </ddeItem>
      <ddeItem name="4119.TW-ChipsField3,ChipsField1,ChipsField25,CashAndStockDividend,CashDividendYieldRate,ProfitFourSeason,ProfitSingle,CName,ExchangeIndustry,CompanyPos" advise="1">
        <values cols="10">
          <value>
            <val>-6</val>
          </value>
          <value>
            <val>31</val>
          </value>
          <value t="str">
            <val>--</val>
          </value>
          <value t="str">
            <val>0.00</val>
          </value>
          <value>
            <val>0</val>
          </value>
          <value t="str">
            <val>2.21</val>
          </value>
          <value t="str">
            <val>0.51</val>
          </value>
          <value t="str">
            <val>旭富</val>
          </value>
          <value t="str">
            <val>上市生技醫療</val>
          </value>
          <value t="str">
            <val>全球最大苯丙酮中間體供應商</val>
          </value>
        </values>
      </ddeItem>
      <ddeItem name="4119.TW-CName,InvestorConferenceDate,DateofMeetingofShareHolders,TradingDate" advise="1">
        <values cols="4">
          <value t="str">
            <val>旭富</val>
          </value>
          <value t="str">
            <val>2022/12/13</val>
          </value>
          <value t="str">
            <val>2022/06/21</val>
          </value>
          <value t="str">
            <val>2022/12/22</val>
          </value>
        </values>
      </ddeItem>
      <ddeItem name="4119.TW-ID,Name,MarketValue,Capital,NetIncomeGrowthRate,OperIncomeGrowthRate,FinancialStatementsTime,TFXRatio,MonthlyNetSalesYoY,RevenueMonth" advise="1">
        <values cols="10">
          <value t="str">
            <val>4119</val>
          </value>
          <value t="str">
            <val>旭富</val>
          </value>
          <value t="str">
            <val>89.8</val>
          </value>
          <value t="str">
            <val>9.54</val>
          </value>
          <value t="str">
            <val>205.44</val>
          </value>
          <value t="str">
            <val>-18.89</val>
          </value>
          <value t="str">
            <val>2022/09</val>
          </value>
          <value t="str">
            <val>-20.47</val>
          </value>
          <value t="str">
            <val>24.62</val>
          </value>
          <value t="str">
            <val>2022/11</val>
          </value>
        </values>
      </ddeItem>
      <ddeItem name="4119.TW-OperatingProfitRatio,Price,PriceChangeRatio,InOutRatioNumber,Value,YearReturn,MonthReturn,WeekReturn,FinanceBalanceDif,ChipsField2" advise="1">
        <values cols="10">
          <value t="str">
            <val>11.98</val>
          </value>
          <value>
            <val>94.2</val>
          </value>
          <value>
            <val>0.96</val>
          </value>
          <value t="str">
            <val>47.94%</val>
          </value>
          <value t="str">
            <val>1879萬</val>
          </value>
          <value t="str">
            <val>+18.34</val>
          </value>
          <value t="str">
            <val>+5.13</val>
          </value>
          <value t="str">
            <val>-3.58</val>
          </value>
          <value>
            <val>-13</val>
          </value>
          <value>
            <val>0</val>
          </value>
        </values>
      </ddeItem>
      <ddeItem name="413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64</val>
          </value>
          <value t="str">
            <val>2022/06/16</val>
          </value>
          <value t="str">
            <val>0.46</val>
          </value>
          <value>
            <val>1.18</val>
          </value>
          <value t="str">
            <val>1.02</val>
          </value>
          <value t="str">
            <val>0.44</val>
          </value>
          <value t="str">
            <val>亞諾法</val>
          </value>
          <value t="str">
            <val>上市生技醫療</val>
          </value>
          <value t="str">
            <val>全球最大的抗體及重組蛋白生產商</val>
          </value>
        </values>
      </ddeItem>
      <ddeItem name="4133.TW-CName,InvestorConferenceDate,DateofMeetingofShareHolders,TradingDate" advise="1">
        <values cols="4">
          <value t="str">
            <val>亞諾法</val>
          </value>
          <value t="str">
            <val>2022/11/23</val>
          </value>
          <value t="str">
            <val>2022/05/31</val>
          </value>
          <value t="str">
            <val>2022/12/22</val>
          </value>
        </values>
      </ddeItem>
      <ddeItem name="4133.TW-ID,Name,MarketValue,Capital,NetIncomeGrowthRate,OperIncomeGrowthRate,FinancialStatementsTime,TFXRatio,MonthlyNetSalesYoY,RevenueMonth" advise="1">
        <values cols="10">
          <value t="str">
            <val>4133</val>
          </value>
          <value t="str">
            <val>亞諾法</val>
          </value>
          <value t="str">
            <val>23.6</val>
          </value>
          <value t="str">
            <val>6.06</val>
          </value>
          <value t="str">
            <val>111.54</val>
          </value>
          <value t="str">
            <val>7.97</val>
          </value>
          <value t="str">
            <val>2022/09</val>
          </value>
          <value t="str">
            <val>-9.32</val>
          </value>
          <value t="str">
            <val>9.98</val>
          </value>
          <value t="str">
            <val>2022/11</val>
          </value>
        </values>
      </ddeItem>
      <ddeItem name="4133.TW-OperatingProfitRatio,Price,PriceChangeRatio,InOutRatioNumber,Value,YearReturn,MonthReturn,WeekReturn,FinanceBalanceDif,ChipsField2" advise="1">
        <values cols="10">
          <value t="str">
            <val>15.03</val>
          </value>
          <value>
            <val>39</val>
          </value>
          <value>
            <val>2.63</val>
          </value>
          <value t="str">
            <val>68.74%</val>
          </value>
          <value t="str">
            <val>3164萬</val>
          </value>
          <value t="str">
            <val>-4.73</val>
          </value>
          <value t="str">
            <val>+1.56</val>
          </value>
          <value t="str">
            <val>-3.94</val>
          </value>
          <value>
            <val>-54</val>
          </value>
          <value>
            <val>0</val>
          </value>
        </values>
      </ddeItem>
      <ddeItem name="4137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-153</val>
          </value>
          <value t="str">
            <val>2022/07/27</val>
          </value>
          <value t="str">
            <val>12.00</val>
          </value>
          <value>
            <val>5.69</val>
          </value>
          <value t="str">
            <val>10.38</val>
          </value>
          <value t="str">
            <val>1.84</val>
          </value>
          <value t="str">
            <val>麗豐-KY</val>
          </value>
          <value t="str">
            <val>上市生技醫療</val>
          </value>
          <value t="str">
            <val>克麗緹娜品牌之美容護膚產品通路商</val>
          </value>
        </values>
      </ddeItem>
      <ddeItem name="4137.TW-CName,InvestorConferenceDate,DateofMeetingofShareHolders,TradingDate" advise="1">
        <values cols="4">
          <value t="str">
            <val>麗豐-KY</val>
          </value>
          <value t="str">
            <val>2022/11/22</val>
          </value>
          <value t="str">
            <val>2022/06/08</val>
          </value>
          <value t="str">
            <val>2022/12/22</val>
          </value>
        </values>
      </ddeItem>
      <ddeItem name="4137.TW-ID,Name,MarketValue,Capital,NetIncomeGrowthRate,OperIncomeGrowthRate,FinancialStatementsTime,TFXRatio,MonthlyNetSalesYoY,RevenueMonth" advise="1">
        <values cols="10">
          <value t="str">
            <val>4137</val>
          </value>
          <value t="str">
            <val>麗豐-KY</val>
          </value>
          <value t="str">
            <val>167.7</val>
          </value>
          <value t="str">
            <val>7.95</val>
          </value>
          <value t="str">
            <val>-52.19</val>
          </value>
          <value t="str">
            <val>-24.81</val>
          </value>
          <value t="str">
            <val>2022/09</val>
          </value>
          <value t="str">
            <val>-21.42</val>
          </value>
          <value t="str">
            <val>-29.81</val>
          </value>
          <value t="str">
            <val>2022/11</val>
          </value>
        </values>
      </ddeItem>
      <ddeItem name="4137.TW-OperatingProfitRatio,Price,PriceChangeRatio,InOutRatioNumber,Value,YearReturn,MonthReturn,WeekReturn,FinanceBalanceDif,ChipsField2" advise="1">
        <values cols="10">
          <value t="str">
            <val>32.11</val>
          </value>
          <value>
            <val>211</val>
          </value>
          <value>
            <val>-0.94</val>
          </value>
          <value t="str">
            <val>49.93%</val>
          </value>
          <value t="str">
            <val>2.90億</val>
          </value>
          <value t="str">
            <val>-6.33</val>
          </value>
          <value t="str">
            <val>+27.88</val>
          </value>
          <value t="str">
            <val>+9.04</val>
          </value>
          <value>
            <val>73</val>
          </value>
          <value>
            <val>583</val>
          </value>
        </values>
      </ddeItem>
      <ddeItem name="4142.TW-ChipsField3,ChipsField1,ChipsField25,CashAndStockDividend,CashDividendYieldRate,ProfitFourSeason,ProfitSingle,CName,ExchangeIndustry,CompanyPos" advise="1">
        <values cols="10">
          <value>
            <val>-14</val>
          </value>
          <value>
            <val>-170</val>
          </value>
          <value t="str">
            <val>--</val>
          </value>
          <value t="str">
            <val>0.00</val>
          </value>
          <value>
            <val>0</val>
          </value>
          <value t="str">
            <val>1.23</val>
          </value>
          <value t="str">
            <val>0.98</val>
          </value>
          <value t="str">
            <val>國光生</val>
          </value>
          <value t="str">
            <val>上市生技醫療</val>
          </value>
          <value t="str">
            <val>亞洲唯一獲得歐盟GMP認證之流感疫苗商</val>
          </value>
        </values>
      </ddeItem>
      <ddeItem name="4142.TW-CName,InvestorConferenceDate,DateofMeetingofShareHolders,TradingDate" advise="1">
        <values cols="4">
          <value t="str">
            <val>國光生</val>
          </value>
          <value t="str">
            <val>2022/08/16</val>
          </value>
          <value t="str">
            <val>2022/06/29</val>
          </value>
          <value t="str">
            <val>2022/12/22</val>
          </value>
        </values>
      </ddeItem>
      <ddeItem name="4142.TW-ID,Name,MarketValue,Capital,NetIncomeGrowthRate,OperIncomeGrowthRate,FinancialStatementsTime,TFXRatio,MonthlyNetSalesYoY,RevenueMonth" advise="1">
        <values cols="10">
          <value t="str">
            <val>4142</val>
          </value>
          <value t="str">
            <val>國光生</val>
          </value>
          <value t="str">
            <val>155.3</val>
          </value>
          <value t="str">
            <val>42.95</val>
          </value>
          <value t="str">
            <val>152.33</val>
          </value>
          <value t="str">
            <val>119.53</val>
          </value>
          <value t="str">
            <val>2022/09</val>
          </value>
          <value t="str">
            <val>-60.78</val>
          </value>
          <value t="str">
            <val>-49.49</val>
          </value>
          <value t="str">
            <val>2022/11</val>
          </value>
        </values>
      </ddeItem>
      <ddeItem name="4142.TW-OperatingProfitRatio,Price,PriceChangeRatio,InOutRatioNumber,Value,YearReturn,MonthReturn,WeekReturn,FinanceBalanceDif,ChipsField2" advise="1">
        <values cols="10">
          <value t="str">
            <val>3.91</val>
          </value>
          <value>
            <val>36.15</val>
          </value>
          <value>
            <val>1.83</val>
          </value>
          <value t="str">
            <val>53.92%</val>
          </value>
          <value t="str">
            <val>3052萬</val>
          </value>
          <value t="str">
            <val>-19.49</val>
          </value>
          <value t="str">
            <val>-2.69</val>
          </value>
          <value t="str">
            <val>-0.82</val>
          </value>
          <value>
            <val>35</val>
          </value>
          <value>
            <val>0</val>
          </value>
        </values>
      </ddeItem>
      <ddeItem name="414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-11</val>
          </value>
          <value t="str">
            <val>2022/06/23</val>
          </value>
          <value t="str">
            <val>1.50</val>
          </value>
          <value>
            <val>2.71</val>
          </value>
          <value t="str">
            <val>6.27</val>
          </value>
          <value t="str">
            <val>2.48</val>
          </value>
          <value t="str">
            <val>全宇生技-KY</val>
          </value>
          <value t="str">
            <val>上市生技醫療</val>
          </value>
          <value t="str">
            <val>馬來西亞生化複合肥料龍頭廠商</val>
          </value>
        </values>
      </ddeItem>
      <ddeItem name="4148.TW-CName,InvestorConferenceDate,DateofMeetingofShareHolders,TradingDate" advise="1">
        <values cols="4">
          <value t="str">
            <val>全宇生技-KY</val>
          </value>
          <value t="str">
            <val>2022/12/06</val>
          </value>
          <value t="str">
            <val>2022/06/22</val>
          </value>
          <value t="str">
            <val>2022/12/22</val>
          </value>
        </values>
      </ddeItem>
      <ddeItem name="4148.TW-ID,Name,MarketValue,Capital,NetIncomeGrowthRate,OperIncomeGrowthRate,FinancialStatementsTime,TFXRatio,MonthlyNetSalesYoY,RevenueMonth" advise="1">
        <values cols="10">
          <value t="str">
            <val>4148</val>
          </value>
          <value t="str">
            <val>全宇生技-KY</val>
          </value>
          <value t="str">
            <val>35.4</val>
          </value>
          <value t="str">
            <val>6.40</val>
          </value>
          <value t="str">
            <val>175.08</val>
          </value>
          <value t="str">
            <val>224.79</val>
          </value>
          <value t="str">
            <val>2022/09</val>
          </value>
          <value t="str">
            <val>-1.24</val>
          </value>
          <value t="str">
            <val>33.95</val>
          </value>
          <value t="str">
            <val>2022/11</val>
          </value>
        </values>
      </ddeItem>
      <ddeItem name="4148.TW-OperatingProfitRatio,Price,PriceChangeRatio,InOutRatioNumber,Value,YearReturn,MonthReturn,WeekReturn,FinanceBalanceDif,ChipsField2" advise="1">
        <values cols="10">
          <value t="str">
            <val>18.63</val>
          </value>
          <value>
            <val>55.3</val>
          </value>
          <value>
            <val>2.41</val>
          </value>
          <value t="str">
            <val>46.67%</val>
          </value>
          <value t="str">
            <val>956萬</val>
          </value>
          <value t="str">
            <val>+42.77</val>
          </value>
          <value t="str">
            <val>-8.60</val>
          </value>
          <value t="str">
            <val>-7.37</val>
          </value>
          <value>
            <val>4</val>
          </value>
          <value>
            <val>0</val>
          </value>
        </values>
      </ddeItem>
      <ddeItem name="4155.TW-ChipsField3,ChipsField1,ChipsField25,CashAndStockDividend,CashDividendYieldRate,ProfitFourSeason,ProfitSingle,CName,ExchangeIndustry,CompanyPos" advise="1">
        <values cols="10">
          <value>
            <val>-6</val>
          </value>
          <value>
            <val>1077</val>
          </value>
          <value t="str">
            <val>2022/07/06</val>
          </value>
          <value t="str">
            <val>1.00</val>
          </value>
          <value>
            <val>3.57</val>
          </value>
          <value t="str">
            <val>1.57</val>
          </value>
          <value t="str">
            <val>0.49</val>
          </value>
          <value t="str">
            <val>訊映</val>
          </value>
          <value t="str">
            <val>上市生技醫療</val>
          </value>
          <value t="str">
            <val>血糖儀、血糖試片、居家醫療器材廠商</val>
          </value>
        </values>
      </ddeItem>
      <ddeItem name="4155.TW-CName,InvestorConferenceDate,DateofMeetingofShareHolders,TradingDate" advise="1">
        <values cols="4">
          <value t="str">
            <val>訊映</val>
          </value>
          <value t="str">
            <val>2022/10/06</val>
          </value>
          <value t="str">
            <val>2022/05/31</val>
          </value>
          <value t="str">
            <val>2022/12/22</val>
          </value>
        </values>
      </ddeItem>
      <ddeItem name="4155.TW-ID,Name,MarketValue,Capital,NetIncomeGrowthRate,OperIncomeGrowthRate,FinancialStatementsTime,TFXRatio,MonthlyNetSalesYoY,RevenueMonth" advise="1">
        <values cols="10">
          <value t="str">
            <val>4155</val>
          </value>
          <value t="str">
            <val>訊映</val>
          </value>
          <value t="str">
            <val>26.6</val>
          </value>
          <value t="str">
            <val>9.59</val>
          </value>
          <value t="str">
            <val>288.90</val>
          </value>
          <value t="str">
            <val>455.09</val>
          </value>
          <value t="str">
            <val>2022/09</val>
          </value>
          <value t="str">
            <val>100.02</val>
          </value>
          <value t="str">
            <val>56.09</val>
          </value>
          <value t="str">
            <val>2022/11</val>
          </value>
        </values>
      </ddeItem>
      <ddeItem name="4155.TW-OperatingProfitRatio,Price,PriceChangeRatio,InOutRatioNumber,Value,YearReturn,MonthReturn,WeekReturn,FinanceBalanceDif,ChipsField2" advise="1">
        <values cols="10">
          <value t="str">
            <val>6.70</val>
          </value>
          <value>
            <val>28.05</val>
          </value>
          <value>
            <val>0</val>
          </value>
          <value t="str">
            <val>43.49%</val>
          </value>
          <value t="str">
            <val>1.14億</val>
          </value>
          <value t="str">
            <val>+26.07</val>
          </value>
          <value t="str">
            <val>+8.09</val>
          </value>
          <value t="str">
            <val>+2.00</val>
          </value>
          <value>
            <val>163</val>
          </value>
          <value>
            <val>0</val>
          </value>
        </values>
      </ddeItem>
      <ddeItem name="4164.TW-ChipsField3,ChipsField1,ChipsField25,CashAndStockDividend,CashDividendYieldRate,ProfitFourSeason,ProfitSingle,CName,ExchangeIndustry,CompanyPos" advise="1">
        <values cols="10">
          <value>
            <val>-7</val>
          </value>
          <value>
            <val>-70</val>
          </value>
          <value t="str">
            <val>2022/07/13</val>
          </value>
          <value t="str">
            <val>2.01</val>
          </value>
          <value>
            <val>4.55</val>
          </value>
          <value t="str">
            <val>2.55</val>
          </value>
          <value t="str">
            <val>0.63</val>
          </value>
          <value t="str">
            <val>承業醫</val>
          </value>
          <value t="str">
            <val>上市生技醫療</val>
          </value>
          <value t="str">
            <val>台灣最大腫瘤醫學設備代理商</val>
          </value>
        </values>
      </ddeItem>
      <ddeItem name="4164.TW-CName,InvestorConferenceDate,DateofMeetingofShareHolders,TradingDate" advise="1">
        <values cols="4">
          <value t="str">
            <val>承業醫</val>
          </value>
          <value t="str">
            <val>2022/08/17</val>
          </value>
          <value t="str">
            <val>2022/06/15</val>
          </value>
          <value t="str">
            <val>2022/12/22</val>
          </value>
        </values>
      </ddeItem>
      <ddeItem name="4164.TW-ID,Name,MarketValue,Capital,NetIncomeGrowthRate,OperIncomeGrowthRate,FinancialStatementsTime,TFXRatio,MonthlyNetSalesYoY,RevenueMonth" advise="1">
        <values cols="10">
          <value t="str">
            <val>4164</val>
          </value>
          <value t="str">
            <val>承業醫</val>
          </value>
          <value t="str">
            <val>69.3</val>
          </value>
          <value t="str">
            <val>16.16</val>
          </value>
          <value t="str">
            <val>22.25</val>
          </value>
          <value t="str">
            <val>4.38</val>
          </value>
          <value t="str">
            <val>2022/09</val>
          </value>
          <value t="str">
            <val>-0.17</val>
          </value>
          <value t="str">
            <val>9.30</val>
          </value>
          <value t="str">
            <val>2022/11</val>
          </value>
        </values>
      </ddeItem>
      <ddeItem name="4164.TW-OperatingProfitRatio,Price,PriceChangeRatio,InOutRatioNumber,Value,YearReturn,MonthReturn,WeekReturn,FinanceBalanceDif,ChipsField2" advise="1">
        <values cols="10">
          <value t="str">
            <val>16.60</val>
          </value>
          <value>
            <val>44.2</val>
          </value>
          <value>
            <val>1.38</val>
          </value>
          <value t="str">
            <val>50.48%</val>
          </value>
          <value t="str">
            <val>1389萬</val>
          </value>
          <value t="str">
            <val>+24.47</val>
          </value>
          <value t="str">
            <val>+2.91</val>
          </value>
          <value t="str">
            <val>-4.12</val>
          </value>
          <value>
            <val>47</val>
          </value>
          <value>
            <val>0</val>
          </value>
        </values>
      </ddeItem>
      <ddeItem name="4190.TW-ChipsField3,ChipsField1,ChipsField25,CashAndStockDividend,CashDividendYieldRate,ProfitFourSeason,ProfitSingle,CName,ExchangeIndustry,CompanyPos" advise="1">
        <values cols="10">
          <value>
            <val>-13</val>
          </value>
          <value>
            <val>83</val>
          </value>
          <value t="str">
            <val>2022/04/21</val>
          </value>
          <value t="str">
            <val>3.50</val>
          </value>
          <value>
            <val>4.45</val>
          </value>
          <value t="str">
            <val>2.07</val>
          </value>
          <value t="str">
            <val>-0.24</val>
          </value>
          <value t="str">
            <val>佐登-KY</val>
          </value>
          <value t="str">
            <val>上市生技醫療</val>
          </value>
          <value t="str">
            <val>研發生產、銷售保養品及課程服務之跨國美容美體集團</val>
          </value>
        </values>
      </ddeItem>
      <ddeItem name="4190.TW-CName,InvestorConferenceDate,DateofMeetingofShareHolders,TradingDate" advise="1">
        <values cols="4">
          <value t="str">
            <val>佐登-KY</val>
          </value>
          <value t="str">
            <val>2022/10/27</val>
          </value>
          <value t="str">
            <val>2022/06/23</val>
          </value>
          <value t="str">
            <val>2022/12/22</val>
          </value>
        </values>
      </ddeItem>
      <ddeItem name="4190.TW-ID,Name,MarketValue,Capital,NetIncomeGrowthRate,OperIncomeGrowthRate,FinancialStatementsTime,TFXRatio,MonthlyNetSalesYoY,RevenueMonth" advise="1">
        <values cols="10">
          <value t="str">
            <val>4190</val>
          </value>
          <value t="str">
            <val>佐登-KY</val>
          </value>
          <value t="str">
            <val>47.8</val>
          </value>
          <value t="str">
            <val>6.08</val>
          </value>
          <value t="str">
            <val>-85.00</val>
          </value>
          <value t="str">
            <val>-82.20</val>
          </value>
          <value t="str">
            <val>2022/09</val>
          </value>
          <value t="str">
            <val>-6.89</val>
          </value>
          <value t="str">
            <val>22.99</val>
          </value>
          <value t="str">
            <val>2022/11</val>
          </value>
        </values>
      </ddeItem>
      <ddeItem name="4190.TW-OperatingProfitRatio,Price,PriceChangeRatio,InOutRatioNumber,Value,YearReturn,MonthReturn,WeekReturn,FinanceBalanceDif,ChipsField2" advise="1">
        <values cols="10">
          <value t="str">
            <val>1.94</val>
          </value>
          <value>
            <val>78.599999999999994</val>
          </value>
          <value>
            <val>0.64</val>
          </value>
          <value t="str">
            <val>62.85%</val>
          </value>
          <value t="str">
            <val>2017萬</val>
          </value>
          <value t="str">
            <val>+14.79</val>
          </value>
          <value t="str">
            <val>+15.76</val>
          </value>
          <value t="str">
            <val>-1.01</val>
          </value>
          <value>
            <val>-5</val>
          </value>
          <value>
            <val>0</val>
          </value>
        </values>
      </ddeItem>
      <ddeItem name="4306.TW-ChipsField3,ChipsField1,ChipsField25,CashAndStockDividend,CashDividendYieldRate,ProfitFourSeason,ProfitSingle,CName,ExchangeIndustry,CompanyPos" advise="1">
        <values cols="10">
          <value>
            <val>-7</val>
          </value>
          <value>
            <val>245</val>
          </value>
          <value t="str">
            <val>2022/07/15</val>
          </value>
          <value t="str">
            <val>1.00</val>
          </value>
          <value>
            <val>6.92</val>
          </value>
          <value t="str">
            <val>1.54</val>
          </value>
          <value t="str">
            <val>0.43</val>
          </value>
          <value t="str">
            <val>炎洲</val>
          </value>
          <value t="str">
            <val>上市塑膠</val>
          </value>
          <value t="str">
            <val>全球第一大PVC膠帶生產商</val>
          </value>
        </values>
      </ddeItem>
      <ddeItem name="4306.TW-CName,InvestorConferenceDate,DateofMeetingofShareHolders,TradingDate" advise="1">
        <values cols="4">
          <value t="str">
            <val>炎洲</val>
          </value>
          <value t="str">
            <val>2021/12/21</val>
          </value>
          <value t="str">
            <val>2022/06/17</val>
          </value>
          <value t="str">
            <val>2022/12/22</val>
          </value>
        </values>
      </ddeItem>
      <ddeItem name="4306.TW-ID,Name,MarketValue,Capital,NetIncomeGrowthRate,OperIncomeGrowthRate,FinancialStatementsTime,TFXRatio,MonthlyNetSalesYoY,RevenueMonth" advise="1">
        <values cols="10">
          <value t="str">
            <val>4306</val>
          </value>
          <value t="str">
            <val>炎洲</val>
          </value>
          <value t="str">
            <val>92.2</val>
          </value>
          <value t="str">
            <val>64.05</val>
          </value>
          <value t="str">
            <val>22.57</val>
          </value>
          <value t="str">
            <val>-14.47</val>
          </value>
          <value t="str">
            <val>2022/09</val>
          </value>
          <value t="str">
            <val>-1.41</val>
          </value>
          <value t="str">
            <val>-29.90</val>
          </value>
          <value t="str">
            <val>2022/11</val>
          </value>
        </values>
      </ddeItem>
      <ddeItem name="4306.TW-OperatingProfitRatio,Price,PriceChangeRatio,InOutRatioNumber,Value,YearReturn,MonthReturn,WeekReturn,FinanceBalanceDif,ChipsField2" advise="1">
        <values cols="10">
          <value t="str">
            <val>7.82</val>
          </value>
          <value>
            <val>14.45</val>
          </value>
          <value>
            <val>0.35</val>
          </value>
          <value t="str">
            <val>35.49%</val>
          </value>
          <value t="str">
            <val>439萬</val>
          </value>
          <value t="str">
            <val>+2.61</val>
          </value>
          <value t="str">
            <val>+1.05</val>
          </value>
          <value t="str">
            <val>-1.70</val>
          </value>
          <value>
            <val>-39</val>
          </value>
          <value>
            <val>0</val>
          </value>
        </values>
      </ddeItem>
      <ddeItem name="4426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93</val>
          </value>
          <value t="str">
            <val>--</val>
          </value>
          <value t="str">
            <val>0.00</val>
          </value>
          <value>
            <val>0</val>
          </value>
          <value t="str">
            <val>-1.14</val>
          </value>
          <value t="str">
            <val>0.13</val>
          </value>
          <value t="str">
            <val>利勤</val>
          </value>
          <value t="str">
            <val>上市紡織纖維</val>
          </value>
          <value t="str">
            <val>3D立體織物之專業生產商</val>
          </value>
        </values>
      </ddeItem>
      <ddeItem name="4426.TW-CName,InvestorConferenceDate,DateofMeetingofShareHolders,TradingDate" advise="1">
        <values cols="4">
          <value t="str">
            <val>利勤</val>
          </value>
          <value t="str">
            <val>2021/12/21</val>
          </value>
          <value t="str">
            <val>2022/06/15</val>
          </value>
          <value t="str">
            <val>2022/12/22</val>
          </value>
        </values>
      </ddeItem>
      <ddeItem name="4426.TW-ID,Name,MarketValue,Capital,NetIncomeGrowthRate,OperIncomeGrowthRate,FinancialStatementsTime,TFXRatio,MonthlyNetSalesYoY,RevenueMonth" advise="1">
        <values cols="10">
          <value t="str">
            <val>4426</val>
          </value>
          <value t="str">
            <val>利勤</val>
          </value>
          <value t="str">
            <val>46.2</val>
          </value>
          <value t="str">
            <val>17.27</val>
          </value>
          <value t="str">
            <val>63.85</val>
          </value>
          <value t="str">
            <val>39.07</val>
          </value>
          <value t="str">
            <val>2022/09</val>
          </value>
          <value t="str">
            <val>20.05</val>
          </value>
          <value t="str">
            <val>271.74</val>
          </value>
          <value t="str">
            <val>2022/11</val>
          </value>
        </values>
      </ddeItem>
      <ddeItem name="4426.TW-OperatingProfitRatio,Price,PriceChangeRatio,InOutRatioNumber,Value,YearReturn,MonthReturn,WeekReturn,FinanceBalanceDif,ChipsField2" advise="1">
        <values cols="10">
          <value t="str">
            <val>-20.61</val>
          </value>
          <value>
            <val>26.75</val>
          </value>
          <value>
            <val>-0.56000000000000005</val>
          </value>
          <value t="str">
            <val>24.17%</val>
          </value>
          <value t="str">
            <val>1328萬</val>
          </value>
          <value t="str">
            <val>+24.71</val>
          </value>
          <value t="str">
            <val>+12.39</val>
          </value>
          <value t="str">
            <val>-0.93</val>
          </value>
          <value>
            <val>-18</val>
          </value>
          <value>
            <val>0</val>
          </value>
        </values>
      </ddeItem>
      <ddeItem name="4438.TW-ChipsField3,ChipsField1,ChipsField25,CashAndStockDividend,CashDividendYieldRate,ProfitFourSeason,ProfitSingle,CName,ExchangeIndustry,CompanyPos" advise="1">
        <values cols="10">
          <value>
            <val>1</val>
          </value>
          <value>
            <val>-17</val>
          </value>
          <value t="str">
            <val>2022/08/25</val>
          </value>
          <value t="str">
            <val>4.20</val>
          </value>
          <value>
            <val>3.47</val>
          </value>
          <value t="str">
            <val>13.56</val>
          </value>
          <value t="str">
            <val>8.94</val>
          </value>
          <value t="str">
            <val>廣越</val>
          </value>
          <value t="str">
            <val>上市紡織纖維</val>
          </value>
          <value t="str">
            <val>為國際知名運動品牌之羽絨服製造商</val>
          </value>
        </values>
      </ddeItem>
      <ddeItem name="4438.TW-CName,InvestorConferenceDate,DateofMeetingofShareHolders,TradingDate" advise="1">
        <values cols="4">
          <value t="str">
            <val>廣越</val>
          </value>
          <value t="str">
            <val>2022/10/06</val>
          </value>
          <value t="str">
            <val>2022/06/15</val>
          </value>
          <value t="str">
            <val>2022/12/22</val>
          </value>
        </values>
      </ddeItem>
      <ddeItem name="4438.TW-ID,Name,MarketValue,Capital,NetIncomeGrowthRate,OperIncomeGrowthRate,FinancialStatementsTime,TFXRatio,MonthlyNetSalesYoY,RevenueMonth" advise="1">
        <values cols="10">
          <value t="str">
            <val>4438</val>
          </value>
          <value t="str">
            <val>廣越</val>
          </value>
          <value t="str">
            <val>125.1</val>
          </value>
          <value t="str">
            <val>10.34</val>
          </value>
          <value t="str">
            <val>157.78</val>
          </value>
          <value t="str">
            <val>136.61</val>
          </value>
          <value t="str">
            <val>2022/09</val>
          </value>
          <value t="str">
            <val>-9.94</val>
          </value>
          <value t="str">
            <val>2.82</val>
          </value>
          <value t="str">
            <val>2022/11</val>
          </value>
        </values>
      </ddeItem>
      <ddeItem name="4438.TW-OperatingProfitRatio,Price,PriceChangeRatio,InOutRatioNumber,Value,YearReturn,MonthReturn,WeekReturn,FinanceBalanceDif,ChipsField2" advise="1">
        <values cols="10">
          <value t="str">
            <val>9.65</val>
          </value>
          <value>
            <val>121</val>
          </value>
          <value>
            <val>2.54</val>
          </value>
          <value t="str">
            <val>54.24%</val>
          </value>
          <value t="str">
            <val>2141萬</val>
          </value>
          <value t="str">
            <val>-7.71</val>
          </value>
          <value t="str">
            <val>-0.41</val>
          </value>
          <value t="str">
            <val>0.00</val>
          </value>
          <value>
            <val>-8</val>
          </value>
          <value>
            <val>-10</val>
          </value>
        </values>
      </ddeItem>
      <ddeItem name="443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2022/07/12</val>
          </value>
          <value t="str">
            <val>6.50</val>
          </value>
          <value>
            <val>6.47</val>
          </value>
          <value t="str">
            <val>12.18</val>
          </value>
          <value t="str">
            <val>3.32</val>
          </value>
          <value t="str">
            <val>冠星-KY</val>
          </value>
          <value t="str">
            <val>上市紡織纖維</val>
          </value>
          <value t="str">
            <val>adidas運動服飾品牌最大的短纖布料供應商</val>
          </value>
        </values>
      </ddeItem>
      <ddeItem name="4439.TW-CName,InvestorConferenceDate,DateofMeetingofShareHolders,TradingDate" advise="1">
        <values cols="4">
          <value t="str">
            <val>冠星-KY</val>
          </value>
          <value t="str">
            <val>2022/12/13</val>
          </value>
          <value t="str">
            <val>2022/06/15</val>
          </value>
          <value t="str">
            <val>2022/12/22</val>
          </value>
        </values>
      </ddeItem>
      <ddeItem name="4439.TW-ID,Name,MarketValue,Capital,NetIncomeGrowthRate,OperIncomeGrowthRate,FinancialStatementsTime,TFXRatio,MonthlyNetSalesYoY,RevenueMonth" advise="1">
        <values cols="10">
          <value t="str">
            <val>4439</val>
          </value>
          <value t="str">
            <val>冠星-KY</val>
          </value>
          <value t="str">
            <val>38.6</val>
          </value>
          <value t="str">
            <val>3.84</val>
          </value>
          <value t="str">
            <val>27.74</val>
          </value>
          <value t="str">
            <val>21.12</val>
          </value>
          <value t="str">
            <val>2022/09</val>
          </value>
          <value t="str">
            <val>-4.12</val>
          </value>
          <value t="str">
            <val>-49.29</val>
          </value>
          <value t="str">
            <val>2022/11</val>
          </value>
        </values>
      </ddeItem>
      <ddeItem name="4439.TW-OperatingProfitRatio,Price,PriceChangeRatio,InOutRatioNumber,Value,YearReturn,MonthReturn,WeekReturn,FinanceBalanceDif,ChipsField2" advise="1">
        <values cols="10">
          <value t="str">
            <val>6.88</val>
          </value>
          <value>
            <val>100.5</val>
          </value>
          <value>
            <val>0</val>
          </value>
          <value t="str">
            <val>42.31%</val>
          </value>
          <value t="str">
            <val>263萬</val>
          </value>
          <value t="str">
            <val>-7.83</val>
          </value>
          <value t="str">
            <val>-0.50</val>
          </value>
          <value t="str">
            <val>-0.99</val>
          </value>
          <value>
            <val>-1</val>
          </value>
          <value>
            <val>0</val>
          </value>
        </values>
      </ddeItem>
      <ddeItem name="444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2022/06/10</val>
          </value>
          <value t="str">
            <val>4.00</val>
          </value>
          <value>
            <val>12.38</val>
          </value>
          <value t="str">
            <val>3.46</val>
          </value>
          <value t="str">
            <val>0.68</val>
          </value>
          <value t="str">
            <val>宜新實業</val>
          </value>
          <value t="str">
            <val>上市紡織纖維</val>
          </value>
          <value t="str">
            <val>國內市占第一的彈性包覆紗廠商</val>
          </value>
        </values>
      </ddeItem>
      <ddeItem name="4440.TW-CName,InvestorConferenceDate,DateofMeetingofShareHolders,TradingDate" advise="1">
        <values cols="4">
          <value t="str">
            <val>宜新實業</val>
          </value>
          <value t="str">
            <val>2022/11/29</val>
          </value>
          <value t="str">
            <val>2022/05/24</val>
          </value>
          <value t="str">
            <val>2022/12/22</val>
          </value>
        </values>
      </ddeItem>
      <ddeItem name="4440.TW-ID,Name,MarketValue,Capital,NetIncomeGrowthRate,OperIncomeGrowthRate,FinancialStatementsTime,TFXRatio,MonthlyNetSalesYoY,RevenueMonth" advise="1">
        <values cols="10">
          <value t="str">
            <val>4440</val>
          </value>
          <value t="str">
            <val>宜新實業</val>
          </value>
          <value t="str">
            <val>21.8</val>
          </value>
          <value t="str">
            <val>6.76</val>
          </value>
          <value t="str">
            <val>-34.59</val>
          </value>
          <value t="str">
            <val>-27.51</val>
          </value>
          <value t="str">
            <val>2022/09</val>
          </value>
          <value t="str">
            <val>-4.06</val>
          </value>
          <value t="str">
            <val>-35.14</val>
          </value>
          <value t="str">
            <val>2022/11</val>
          </value>
        </values>
      </ddeItem>
      <ddeItem name="4440.TW-OperatingProfitRatio,Price,PriceChangeRatio,InOutRatioNumber,Value,YearReturn,MonthReturn,WeekReturn,FinanceBalanceDif,ChipsField2" advise="1">
        <values cols="10">
          <value t="str">
            <val>17.04</val>
          </value>
          <value>
            <val>32.299999999999997</val>
          </value>
          <value>
            <val>-0.15</val>
          </value>
          <value t="str">
            <val>13.76%</val>
          </value>
          <value t="str">
            <val>350萬</val>
          </value>
          <value t="str">
            <val>-23.21</val>
          </value>
          <value t="str">
            <val>-2.86</val>
          </value>
          <value t="str">
            <val>-3.29</val>
          </value>
          <value>
            <val>5</val>
          </value>
          <value>
            <val>0</val>
          </value>
        </values>
      </ddeItem>
      <ddeItem name="4526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17</val>
          </value>
          <value t="str">
            <val>2022/08/01</val>
          </value>
          <value t="str">
            <val>0.20</val>
          </value>
          <value>
            <val>1.39</val>
          </value>
          <value t="str">
            <val>0.53</val>
          </value>
          <value t="str">
            <val>0.39</val>
          </value>
          <value t="str">
            <val>東台</val>
          </value>
          <value t="str">
            <val>上市電機機械</val>
          </value>
          <value t="str">
            <val>台灣第一個具有雷射鑽孔機技術的工具機廠商</val>
          </value>
        </values>
      </ddeItem>
      <ddeItem name="4526.TW-CName,InvestorConferenceDate,DateofMeetingofShareHolders,TradingDate" advise="1">
        <values cols="4">
          <value t="str">
            <val>東台</val>
          </value>
          <value t="str">
            <val>2022/12/06</val>
          </value>
          <value t="str">
            <val>2022/06/09</val>
          </value>
          <value t="str">
            <val>2022/12/22</val>
          </value>
        </values>
      </ddeItem>
      <ddeItem name="4526.TW-ID,Name,MarketValue,Capital,NetIncomeGrowthRate,OperIncomeGrowthRate,FinancialStatementsTime,TFXRatio,MonthlyNetSalesYoY,RevenueMonth" advise="1">
        <values cols="10">
          <value t="str">
            <val>4526</val>
          </value>
          <value t="str">
            <val>東台</val>
          </value>
          <value t="str">
            <val>36.7</val>
          </value>
          <value t="str">
            <val>25.48</val>
          </value>
          <value t="str">
            <val>17.87</val>
          </value>
          <value t="str">
            <val>-54.87</val>
          </value>
          <value t="str">
            <val>2022/09</val>
          </value>
          <value t="str">
            <val>-7.09</val>
          </value>
          <value t="str">
            <val>-28.22</val>
          </value>
          <value t="str">
            <val>2022/11</val>
          </value>
        </values>
      </ddeItem>
      <ddeItem name="4526.TW-OperatingProfitRatio,Price,PriceChangeRatio,InOutRatioNumber,Value,YearReturn,MonthReturn,WeekReturn,FinanceBalanceDif,ChipsField2" advise="1">
        <values cols="10">
          <value t="str">
            <val>1.52</val>
          </value>
          <value>
            <val>14.4</val>
          </value>
          <value>
            <val>0</val>
          </value>
          <value t="str">
            <val>20.69%</val>
          </value>
          <value t="str">
            <val>41.7萬</val>
          </value>
          <value t="str">
            <val>-16.03</val>
          </value>
          <value t="str">
            <val>+3.23</val>
          </value>
          <value t="str">
            <val>-2.04</val>
          </value>
          <value>
            <val>-30</val>
          </value>
          <value>
            <val>0</val>
          </value>
        </values>
      </ddeItem>
      <ddeItem name="4532.TW-ChipsField3,ChipsField1,ChipsField25,CashAndStockDividend,CashDividendYieldRate,ProfitFourSeason,ProfitSingle,CName,ExchangeIndustry,CompanyPos" advise="1">
        <values cols="10">
          <value>
            <val>-22</val>
          </value>
          <value>
            <val>-35</val>
          </value>
          <value t="str">
            <val>2022/07/04</val>
          </value>
          <value t="str">
            <val>0.70</val>
          </value>
          <value>
            <val>4.28</val>
          </value>
          <value t="str">
            <val>1.17</val>
          </value>
          <value t="str">
            <val>0.32</val>
          </value>
          <value t="str">
            <val>瑞智</val>
          </value>
          <value t="str">
            <val>上市電機機械</val>
          </value>
          <value t="str">
            <val>全球前四大壓縮機廠</val>
          </value>
        </values>
      </ddeItem>
      <ddeItem name="4532.TW-CName,InvestorConferenceDate,DateofMeetingofShareHolders,TradingDate" advise="1">
        <values cols="4">
          <value t="str">
            <val>瑞智</val>
          </value>
          <value t="str">
            <val>2022/09/28</val>
          </value>
          <value t="str">
            <val>2022/06/15</val>
          </value>
          <value t="str">
            <val>2022/12/22</val>
          </value>
        </values>
      </ddeItem>
      <ddeItem name="4532.TW-ID,Name,MarketValue,Capital,NetIncomeGrowthRate,OperIncomeGrowthRate,FinancialStatementsTime,TFXRatio,MonthlyNetSalesYoY,RevenueMonth" advise="1">
        <values cols="10">
          <value t="str">
            <val>4532</val>
          </value>
          <value t="str">
            <val>瑞智</val>
          </value>
          <value t="str">
            <val>82.6</val>
          </value>
          <value t="str">
            <val>50.49</val>
          </value>
          <value t="str">
            <val>8.90</val>
          </value>
          <value t="str">
            <val>-16.89</val>
          </value>
          <value t="str">
            <val>2022/09</val>
          </value>
          <value t="str">
            <val>32.13</val>
          </value>
          <value t="str">
            <val>-36.66</val>
          </value>
          <value t="str">
            <val>2022/11</val>
          </value>
        </values>
      </ddeItem>
      <ddeItem name="4532.TW-OperatingProfitRatio,Price,PriceChangeRatio,InOutRatioNumber,Value,YearReturn,MonthReturn,WeekReturn,FinanceBalanceDif,ChipsField2" advise="1">
        <values cols="10">
          <value t="str">
            <val>3.17</val>
          </value>
          <value>
            <val>16.350000000000001</val>
          </value>
          <value>
            <val>0.93</val>
          </value>
          <value t="str">
            <val>61.90%</val>
          </value>
          <value t="str">
            <val>344萬</val>
          </value>
          <value t="str">
            <val>-9.43</val>
          </value>
          <value t="str">
            <val>+1.87</val>
          </value>
          <value t="str">
            <val>-2.10</val>
          </value>
          <value>
            <val>3</val>
          </value>
          <value>
            <val>0</val>
          </value>
        </values>
      </ddeItem>
      <ddeItem name="4536.TW-ChipsField3,ChipsField1,ChipsField25,CashAndStockDividend,CashDividendYieldRate,ProfitFourSeason,ProfitSingle,CName,ExchangeIndustry,CompanyPos" advise="1">
        <values cols="10">
          <value>
            <val>-7</val>
          </value>
          <value>
            <val>22</val>
          </value>
          <value t="str">
            <val>2022/08/01</val>
          </value>
          <value t="str">
            <val>6.00</val>
          </value>
          <value>
            <val>3.15</val>
          </value>
          <value t="str">
            <val>23.25</val>
          </value>
          <value t="str">
            <val>9.38</val>
          </value>
          <value t="str">
            <val>拓凱</val>
          </value>
          <value t="str">
            <val>上市其他</val>
          </value>
          <value t="str">
            <val>全球知名碳纖維網球拍生產商</val>
          </value>
        </values>
      </ddeItem>
      <ddeItem name="4536.TW-CName,InvestorConferenceDate,DateofMeetingofShareHolders,TradingDate" advise="1">
        <values cols="4">
          <value t="str">
            <val>拓凱</val>
          </value>
          <value t="str">
            <val>2022/10/13</val>
          </value>
          <value t="str">
            <val>2022/05/27</val>
          </value>
          <value t="str">
            <val>2022/12/22</val>
          </value>
        </values>
      </ddeItem>
      <ddeItem name="4536.TW-ID,Name,MarketValue,Capital,NetIncomeGrowthRate,OperIncomeGrowthRate,FinancialStatementsTime,TFXRatio,MonthlyNetSalesYoY,RevenueMonth" advise="1">
        <values cols="10">
          <value t="str">
            <val>4536</val>
          </value>
          <value t="str">
            <val>拓凱</val>
          </value>
          <value t="str">
            <val>173.0</val>
          </value>
          <value t="str">
            <val>9.08</val>
          </value>
          <value t="str">
            <val>210.79</val>
          </value>
          <value t="str">
            <val>84.22</val>
          </value>
          <value t="str">
            <val>2022/09</val>
          </value>
          <value t="str">
            <val>5.49</val>
          </value>
          <value t="str">
            <val>15.32</val>
          </value>
          <value t="str">
            <val>2022/11</val>
          </value>
        </values>
      </ddeItem>
      <ddeItem name="4536.TW-OperatingProfitRatio,Price,PriceChangeRatio,InOutRatioNumber,Value,YearReturn,MonthReturn,WeekReturn,FinanceBalanceDif,ChipsField2" advise="1">
        <values cols="10">
          <value t="str">
            <val>21.84</val>
          </value>
          <value>
            <val>190.5</val>
          </value>
          <value>
            <val>-1.04</val>
          </value>
          <value t="str">
            <val>24.48%</val>
          </value>
          <value t="str">
            <val>8483萬</val>
          </value>
          <value t="str">
            <val>+43.92</val>
          </value>
          <value t="str">
            <val>+13.39</val>
          </value>
          <value t="str">
            <val>-3.05</val>
          </value>
          <value>
            <val>-43</val>
          </value>
          <value>
            <val>0</val>
          </value>
        </values>
      </ddeItem>
      <ddeItem name="454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</val>
          </value>
          <value t="str">
            <val>2022/09/05</val>
          </value>
          <value t="str">
            <val>1.30</val>
          </value>
          <value>
            <val>3.56</val>
          </value>
          <value t="str">
            <val>3.23</val>
          </value>
          <value t="str">
            <val>1.14</val>
          </value>
          <value t="str">
            <val>全球傳動</val>
          </value>
          <value t="str">
            <val>上市電機機械</val>
          </value>
          <value t="str">
            <val>台灣知名的精密滾珠螺桿廠</val>
          </value>
        </values>
      </ddeItem>
      <ddeItem name="4540.TW-CName,InvestorConferenceDate,DateofMeetingofShareHolders,TradingDate" advise="1">
        <values cols="4">
          <value t="str">
            <val>全球傳動</val>
          </value>
          <value t="str">
            <val>2022/12/23</val>
          </value>
          <value t="str">
            <val>2022/06/27</val>
          </value>
          <value t="str">
            <val>2022/12/22</val>
          </value>
        </values>
      </ddeItem>
      <ddeItem name="4540.TW-ID,Name,MarketValue,Capital,NetIncomeGrowthRate,OperIncomeGrowthRate,FinancialStatementsTime,TFXRatio,MonthlyNetSalesYoY,RevenueMonth" advise="1">
        <values cols="10">
          <value t="str">
            <val>4540</val>
          </value>
          <value t="str">
            <val>全球傳動</val>
          </value>
          <value t="str">
            <val>34.4</val>
          </value>
          <value t="str">
            <val>9.42</val>
          </value>
          <value t="str">
            <val>34.47</val>
          </value>
          <value t="str">
            <val>4.89</val>
          </value>
          <value t="str">
            <val>2022/09</val>
          </value>
          <value t="str">
            <val>13.86</val>
          </value>
          <value t="str">
            <val>8.30</val>
          </value>
          <value t="str">
            <val>2022/11</val>
          </value>
        </values>
      </ddeItem>
      <ddeItem name="4540.TW-OperatingProfitRatio,Price,PriceChangeRatio,InOutRatioNumber,Value,YearReturn,MonthReturn,WeekReturn,FinanceBalanceDif,ChipsField2" advise="1">
        <values cols="10">
          <value t="str">
            <val>11.69</val>
          </value>
          <value>
            <val>36.549999999999997</val>
          </value>
          <value>
            <val>-0.27</val>
          </value>
          <value t="str">
            <val>21.67%</val>
          </value>
          <value t="str">
            <val>219萬</val>
          </value>
          <value t="str">
            <val>-21.75</val>
          </value>
          <value t="str">
            <val>+0.97</val>
          </value>
          <value t="str">
            <val>-3.31</val>
          </value>
          <value>
            <val>0</val>
          </value>
          <value>
            <val>0</val>
          </value>
        </values>
      </ddeItem>
      <ddeItem name="454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-5</val>
          </value>
          <value t="str">
            <val>2022/07/06</val>
          </value>
          <value t="str">
            <val>0.70</val>
          </value>
          <value>
            <val>2.38</val>
          </value>
          <value t="str">
            <val>2.41</val>
          </value>
          <value t="str">
            <val>0.80</val>
          </value>
          <value t="str">
            <val>銘鈺</val>
          </value>
          <value t="str">
            <val>上市電子零組件</val>
          </value>
          <value t="str">
            <val>銘異轉投資硬碟機音圈馬達廠商</val>
          </value>
        </values>
      </ddeItem>
      <ddeItem name="4545.TW-CName,InvestorConferenceDate,DateofMeetingofShareHolders,TradingDate" advise="1">
        <values cols="4">
          <value t="str">
            <val>銘鈺</val>
          </value>
          <value t="str">
            <val>2022/11/10</val>
          </value>
          <value t="str">
            <val>2022/05/27</val>
          </value>
          <value t="str">
            <val>2022/12/22</val>
          </value>
        </values>
      </ddeItem>
      <ddeItem name="4545.TW-ID,Name,MarketValue,Capital,NetIncomeGrowthRate,OperIncomeGrowthRate,FinancialStatementsTime,TFXRatio,MonthlyNetSalesYoY,RevenueMonth" advise="1">
        <values cols="10">
          <value t="str">
            <val>4545</val>
          </value>
          <value t="str">
            <val>銘鈺</val>
          </value>
          <value t="str">
            <val>22.7</val>
          </value>
          <value t="str">
            <val>7.70</val>
          </value>
          <value t="str">
            <val>171.53</val>
          </value>
          <value t="str">
            <val>52.90</val>
          </value>
          <value t="str">
            <val>2022/09</val>
          </value>
          <value t="str">
            <val>32.17</val>
          </value>
          <value t="str">
            <val>-0.39</val>
          </value>
          <value t="str">
            <val>2022/11</val>
          </value>
        </values>
      </ddeItem>
      <ddeItem name="4545.TW-OperatingProfitRatio,Price,PriceChangeRatio,InOutRatioNumber,Value,YearReturn,MonthReturn,WeekReturn,FinanceBalanceDif,ChipsField2" advise="1">
        <values cols="10">
          <value t="str">
            <val>7.47</val>
          </value>
          <value>
            <val>29.45</val>
          </value>
          <value>
            <val>-0.17</val>
          </value>
          <value t="str">
            <val>20.00%</val>
          </value>
          <value t="str">
            <val>44.2萬</val>
          </value>
          <value t="str">
            <val>+5.32</val>
          </value>
          <value t="str">
            <val>+7.48</val>
          </value>
          <value t="str">
            <val>+1.20</val>
          </value>
          <value>
            <val>12</val>
          </value>
          <value>
            <val>0</val>
          </value>
        </values>
      </ddeItem>
      <ddeItem name="455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</val>
          </value>
          <value t="str">
            <val>2022/07/28</val>
          </value>
          <value t="str">
            <val>5.00</val>
          </value>
          <value>
            <val>3.4</val>
          </value>
          <value t="str">
            <val>12.01</val>
          </value>
          <value t="str">
            <val>3.67</val>
          </value>
          <value t="str">
            <val>智伸科</val>
          </value>
          <value t="str">
            <val>上市汽車</val>
          </value>
          <value t="str">
            <val>汽車動力及安全零組件大廠商</val>
          </value>
        </values>
      </ddeItem>
      <ddeItem name="4551.TW-CName,InvestorConferenceDate,DateofMeetingofShareHolders,TradingDate" advise="1">
        <values cols="4">
          <value t="str">
            <val>智伸科</val>
          </value>
          <value t="str">
            <val>2022/11/08</val>
          </value>
          <value t="str">
            <val>2022/06/27</val>
          </value>
          <value t="str">
            <val>2022/12/22</val>
          </value>
        </values>
      </ddeItem>
      <ddeItem name="4551.TW-ID,Name,MarketValue,Capital,NetIncomeGrowthRate,OperIncomeGrowthRate,FinancialStatementsTime,TFXRatio,MonthlyNetSalesYoY,RevenueMonth" advise="1">
        <values cols="10">
          <value t="str">
            <val>4551</val>
          </value>
          <value t="str">
            <val>智伸科</val>
          </value>
          <value t="str">
            <val>169.4</val>
          </value>
          <value t="str">
            <val>11.77</val>
          </value>
          <value t="str">
            <val>19.42</val>
          </value>
          <value t="str">
            <val>1.51</val>
          </value>
          <value t="str">
            <val>2022/09</val>
          </value>
          <value t="str">
            <val>9.43</val>
          </value>
          <value t="str">
            <val>3.42</val>
          </value>
          <value t="str">
            <val>2022/11</val>
          </value>
        </values>
      </ddeItem>
      <ddeItem name="4551.TW-OperatingProfitRatio,Price,PriceChangeRatio,InOutRatioNumber,Value,YearReturn,MonthReturn,WeekReturn,FinanceBalanceDif,ChipsField2" advise="1">
        <values cols="10">
          <value t="str">
            <val>17.45</val>
          </value>
          <value>
            <val>147</val>
          </value>
          <value>
            <val>1.73</val>
          </value>
          <value t="str">
            <val>39.92%</val>
          </value>
          <value t="str">
            <val>7345萬</val>
          </value>
          <value t="str">
            <val>-13.85</val>
          </value>
          <value t="str">
            <val>-6.96</val>
          </value>
          <value t="str">
            <val>-3.92</val>
          </value>
          <value>
            <val>18</val>
          </value>
          <value>
            <val>-90</val>
          </value>
        </values>
      </ddeItem>
      <ddeItem name="4552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2</val>
          </value>
          <value t="str">
            <val>2022/11/15</val>
          </value>
          <value t="str">
            <val>1.00</val>
          </value>
          <value>
            <val>3.34</val>
          </value>
          <value t="str">
            <val>3.66</val>
          </value>
          <value t="str">
            <val>1.24</val>
          </value>
          <value t="str">
            <val>力達-KY</val>
          </value>
          <value t="str">
            <val>上市電機機械</val>
          </value>
          <value t="str">
            <val>大陸通用型空氣壓縮機品牌領導廠商</val>
          </value>
        </values>
      </ddeItem>
      <ddeItem name="4552.TW-CName,InvestorConferenceDate,DateofMeetingofShareHolders,TradingDate" advise="1">
        <values cols="4">
          <value t="str">
            <val>力達-KY</val>
          </value>
          <value t="str">
            <val>2022/04/12</val>
          </value>
          <value t="str">
            <val>2022/11/11</val>
          </value>
          <value t="str">
            <val>2022/12/22</val>
          </value>
        </values>
      </ddeItem>
      <ddeItem name="4552.TW-ID,Name,MarketValue,Capital,NetIncomeGrowthRate,OperIncomeGrowthRate,FinancialStatementsTime,TFXRatio,MonthlyNetSalesYoY,RevenueMonth" advise="1">
        <values cols="10">
          <value t="str">
            <val>4552</val>
          </value>
          <value t="str">
            <val>力達-KY</val>
          </value>
          <value t="str">
            <val>34.7</val>
          </value>
          <value t="str">
            <val>11.60</val>
          </value>
          <value t="str">
            <val>25.39</val>
          </value>
          <value t="str">
            <val>30.99</val>
          </value>
          <value t="str">
            <val>2022/09</val>
          </value>
          <value t="str">
            <val>2.13</val>
          </value>
          <value t="str">
            <val>-10.17</val>
          </value>
          <value t="str">
            <val>2022/11</val>
          </value>
        </values>
      </ddeItem>
      <ddeItem name="4552.TW-OperatingProfitRatio,Price,PriceChangeRatio,InOutRatioNumber,Value,YearReturn,MonthReturn,WeekReturn,FinanceBalanceDif,ChipsField2" advise="1">
        <values cols="10">
          <value t="str">
            <val>12.22</val>
          </value>
          <value>
            <val>29.9</val>
          </value>
          <value>
            <val>0.17</val>
          </value>
          <value t="str">
            <val>37.50%</val>
          </value>
          <value t="str">
            <val>168萬</val>
          </value>
          <value t="str">
            <val>-2.92</val>
          </value>
          <value t="str">
            <val>+4.55</val>
          </value>
          <value t="str">
            <val>+0.84</val>
          </value>
          <value>
            <val>0</val>
          </value>
          <value>
            <val>0</val>
          </value>
        </values>
      </ddeItem>
      <ddeItem name="455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2022/08/31</val>
          </value>
          <value t="str">
            <val>1.78</val>
          </value>
          <value>
            <val>3.62</val>
          </value>
          <value t="str">
            <val>2.77</val>
          </value>
          <value t="str">
            <val>0.68</val>
          </value>
          <value t="str">
            <val>氣立</val>
          </value>
          <value t="str">
            <val>上市電機機械</val>
          </value>
          <value t="str">
            <val>台灣氣壓自動化零組件廠商</val>
          </value>
        </values>
      </ddeItem>
      <ddeItem name="4555.TW-CName,InvestorConferenceDate,DateofMeetingofShareHolders,TradingDate" advise="1">
        <values cols="4">
          <value t="str">
            <val>氣立</val>
          </value>
          <value t="str">
            <val>2022/09/23</val>
          </value>
          <value t="str">
            <val>2022/06/14</val>
          </value>
          <value t="str">
            <val>2022/12/22</val>
          </value>
        </values>
      </ddeItem>
      <ddeItem name="4555.TW-ID,Name,MarketValue,Capital,NetIncomeGrowthRate,OperIncomeGrowthRate,FinancialStatementsTime,TFXRatio,MonthlyNetSalesYoY,RevenueMonth" advise="1">
        <values cols="10">
          <value t="str">
            <val>4555</val>
          </value>
          <value t="str">
            <val>氣立</val>
          </value>
          <value t="str">
            <val>33.5</val>
          </value>
          <value t="str">
            <val>6.81</val>
          </value>
          <value t="str">
            <val>-23.31</val>
          </value>
          <value t="str">
            <val>-34.82</val>
          </value>
          <value t="str">
            <val>2022/09</val>
          </value>
          <value t="str">
            <val>13.23</val>
          </value>
          <value t="str">
            <val>-15.02</val>
          </value>
          <value t="str">
            <val>2022/11</val>
          </value>
        </values>
      </ddeItem>
      <ddeItem name="4555.TW-OperatingProfitRatio,Price,PriceChangeRatio,InOutRatioNumber,Value,YearReturn,MonthReturn,WeekReturn,FinanceBalanceDif,ChipsField2" advise="1">
        <values cols="10">
          <value t="str">
            <val>11.65</val>
          </value>
          <value>
            <val>49.2</val>
          </value>
          <value>
            <val>-0.2</val>
          </value>
          <value t="str">
            <val>0.00%</val>
          </value>
          <value t="str">
            <val>4.92萬</val>
          </value>
          <value t="str">
            <val>-1.40</val>
          </value>
          <value t="str">
            <val>-2.19</val>
          </value>
          <value t="str">
            <val>-1.99</val>
          </value>
          <value>
            <val>-5</val>
          </value>
          <value>
            <val>0</val>
          </value>
        </values>
      </ddeItem>
      <ddeItem name="455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</val>
          </value>
          <value t="str">
            <val>2022/06/27</val>
          </value>
          <value t="str">
            <val>4.50</val>
          </value>
          <value>
            <val>4.43</val>
          </value>
          <value t="str">
            <val>12.42</val>
          </value>
          <value t="str">
            <val>4.98</val>
          </value>
          <value t="str">
            <val>永新-KY</val>
          </value>
          <value t="str">
            <val>上市汽車</val>
          </value>
          <value t="str">
            <val>北美最大AM汽車?車總分泵之零件供應商</val>
          </value>
        </values>
      </ddeItem>
      <ddeItem name="4557.TW-CName,InvestorConferenceDate,DateofMeetingofShareHolders,TradingDate" advise="1">
        <values cols="4">
          <value t="str">
            <val>永新-KY</val>
          </value>
          <value t="str">
            <val>2022/09/07</val>
          </value>
          <value t="str">
            <val>2022/06/08</val>
          </value>
          <value t="str">
            <val>2022/12/22</val>
          </value>
        </values>
      </ddeItem>
      <ddeItem name="4557.TW-ID,Name,MarketValue,Capital,NetIncomeGrowthRate,OperIncomeGrowthRate,FinancialStatementsTime,TFXRatio,MonthlyNetSalesYoY,RevenueMonth" advise="1">
        <values cols="10">
          <value t="str">
            <val>4557</val>
          </value>
          <value t="str">
            <val>永新-KY</val>
          </value>
          <value t="str">
            <val>42.6</val>
          </value>
          <value t="str">
            <val>4.20</val>
          </value>
          <value t="str">
            <val>268.51</val>
          </value>
          <value t="str">
            <val>178.07</val>
          </value>
          <value t="str">
            <val>2022/09</val>
          </value>
          <value t="str">
            <val>-0.07</val>
          </value>
          <value t="str">
            <val>-12.11</val>
          </value>
          <value t="str">
            <val>2022/11</val>
          </value>
        </values>
      </ddeItem>
      <ddeItem name="4557.TW-OperatingProfitRatio,Price,PriceChangeRatio,InOutRatioNumber,Value,YearReturn,MonthReturn,WeekReturn,FinanceBalanceDif,ChipsField2" advise="1">
        <values cols="10">
          <value t="str">
            <val>17.50</val>
          </value>
          <value>
            <val>101.5</val>
          </value>
          <value>
            <val>1</val>
          </value>
          <value t="str">
            <val>67.86%</val>
          </value>
          <value t="str">
            <val>293萬</val>
          </value>
          <value t="str">
            <val>+44.02</val>
          </value>
          <value t="str">
            <val>0.00</val>
          </value>
          <value t="str">
            <val>0.00</val>
          </value>
          <value>
            <val>-5</val>
          </value>
          <value>
            <val>0</val>
          </value>
        </values>
      </ddeItem>
      <ddeItem name="456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2022/05/26</val>
          </value>
          <value t="str">
            <val>1.80</val>
          </value>
          <value>
            <val>4.6900000000000004</val>
          </value>
          <value t="str">
            <val>3.97</val>
          </value>
          <value t="str">
            <val>1.02</val>
          </value>
          <value t="str">
            <val>強信-KY</val>
          </value>
          <value t="str">
            <val>上市電機機械</val>
          </value>
          <value t="str">
            <val>全球工業縫紉機零配件大廠</val>
          </value>
        </values>
      </ddeItem>
      <ddeItem name="4560.TW-CName,InvestorConferenceDate,DateofMeetingofShareHolders,TradingDate" advise="1">
        <values cols="4">
          <value t="str">
            <val>強信-KY</val>
          </value>
          <value t="str">
            <val>2022/12/16</val>
          </value>
          <value t="str">
            <val>2022/04/21</val>
          </value>
          <value t="str">
            <val>2022/12/22</val>
          </value>
        </values>
      </ddeItem>
      <ddeItem name="4560.TW-ID,Name,MarketValue,Capital,NetIncomeGrowthRate,OperIncomeGrowthRate,FinancialStatementsTime,TFXRatio,MonthlyNetSalesYoY,RevenueMonth" advise="1">
        <values cols="10">
          <value t="str">
            <val>4560</val>
          </value>
          <value t="str">
            <val>強信-KY</val>
          </value>
          <value t="str">
            <val>26.1</val>
          </value>
          <value t="str">
            <val>6.81</val>
          </value>
          <value t="str">
            <val>51.65</val>
          </value>
          <value t="str">
            <val>46.21</val>
          </value>
          <value t="str">
            <val>2022/09</val>
          </value>
          <value t="str">
            <val>-19.29</val>
          </value>
          <value t="str">
            <val>-31.17</val>
          </value>
          <value t="str">
            <val>2022/11</val>
          </value>
        </values>
      </ddeItem>
      <ddeItem name="4560.TW-OperatingProfitRatio,Price,PriceChangeRatio,InOutRatioNumber,Value,YearReturn,MonthReturn,WeekReturn,FinanceBalanceDif,ChipsField2" advise="1">
        <values cols="10">
          <value t="str">
            <val>17.64</val>
          </value>
          <value>
            <val>38.35</val>
          </value>
          <value>
            <val>-0.13</val>
          </value>
          <value t="str">
            <val>36.67%</val>
          </value>
          <value t="str">
            <val>119萬</val>
          </value>
          <value t="str">
            <val>-4.37</val>
          </value>
          <value t="str">
            <val>-0.39</val>
          </value>
          <value t="str">
            <val>-0.90</val>
          </value>
          <value>
            <val>3</val>
          </value>
          <value>
            <val>0</val>
          </value>
        </values>
      </ddeItem>
      <ddeItem name="456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</val>
          </value>
          <value t="str">
            <val>--</val>
          </value>
          <value t="str">
            <val>0.00</val>
          </value>
          <value>
            <val>0</val>
          </value>
          <value t="str">
            <val>-0.83</val>
          </value>
          <value t="str">
            <val>0.07</val>
          </value>
          <value t="str">
            <val>穎漢</val>
          </value>
          <value t="str">
            <val>上市電機機械</val>
          </value>
          <value t="str">
            <val>全球第一大金屬彎管機製造商</val>
          </value>
        </values>
      </ddeItem>
      <ddeItem name="4562.TW-CName,InvestorConferenceDate,DateofMeetingofShareHolders,TradingDate" advise="1">
        <values cols="4">
          <value t="str">
            <val>穎漢</val>
          </value>
          <value t="str">
            <val>2022/12/01</val>
          </value>
          <value t="str">
            <val>2022/06/14</val>
          </value>
          <value t="str">
            <val>2022/12/22</val>
          </value>
        </values>
      </ddeItem>
      <ddeItem name="4562.TW-ID,Name,MarketValue,Capital,NetIncomeGrowthRate,OperIncomeGrowthRate,FinancialStatementsTime,TFXRatio,MonthlyNetSalesYoY,RevenueMonth" advise="1">
        <values cols="10">
          <value t="str">
            <val>4562</val>
          </value>
          <value t="str">
            <val>穎漢</val>
          </value>
          <value t="str">
            <val>13.4</val>
          </value>
          <value t="str">
            <val>8.75</val>
          </value>
          <value t="str">
            <val>70.03</val>
          </value>
          <value t="str">
            <val>4.69</val>
          </value>
          <value t="str">
            <val>2022/09</val>
          </value>
          <value t="str">
            <val>-29.22</val>
          </value>
          <value t="str">
            <val>-16.64</val>
          </value>
          <value t="str">
            <val>2022/11</val>
          </value>
        </values>
      </ddeItem>
      <ddeItem name="4562.TW-OperatingProfitRatio,Price,PriceChangeRatio,InOutRatioNumber,Value,YearReturn,MonthReturn,WeekReturn,FinanceBalanceDif,ChipsField2" advise="1">
        <values cols="10">
          <value t="str">
            <val>-12.84</val>
          </value>
          <value>
            <val>15.25</val>
          </value>
          <value>
            <val>0.99</val>
          </value>
          <value t="str">
            <val>52.08%</val>
          </value>
          <value t="str">
            <val>72.5萬</val>
          </value>
          <value t="str">
            <val>-9.50</val>
          </value>
          <value t="str">
            <val>-4.69</val>
          </value>
          <value t="str">
            <val>-1.93</val>
          </value>
          <value>
            <val>-12</val>
          </value>
          <value>
            <val>0</val>
          </value>
        </values>
      </ddeItem>
      <ddeItem name="4564.TW-ChipsField3,ChipsField1,ChipsField25,CashAndStockDividend,CashDividendYieldRate,ProfitFourSeason,ProfitSingle,CName,ExchangeIndustry,CompanyPos" advise="1">
        <values cols="10">
          <value>
            <val>-13</val>
          </value>
          <value>
            <val>18</val>
          </value>
          <value t="str">
            <val>2022/07/25</val>
          </value>
          <value t="str">
            <val>1.30</val>
          </value>
          <value>
            <val>5.44</val>
          </value>
          <value t="str">
            <val>0.77</val>
          </value>
          <value t="str">
            <val>-0.02</val>
          </value>
          <value t="str">
            <val>元翎</val>
          </value>
          <value t="str">
            <val>上市電機機械</val>
          </value>
          <value t="str">
            <val>全球前二大迷你高壓氣體鋼瓶製造廠</val>
          </value>
        </values>
      </ddeItem>
      <ddeItem name="4564.TW-CName,InvestorConferenceDate,DateofMeetingofShareHolders,TradingDate" advise="1">
        <values cols="4">
          <value t="str">
            <val>元翎</val>
          </value>
          <value t="str">
            <val>2022/11/18</val>
          </value>
          <value t="str">
            <val>2022/05/26</val>
          </value>
          <value t="str">
            <val>2022/12/22</val>
          </value>
        </values>
      </ddeItem>
      <ddeItem name="4564.TW-ID,Name,MarketValue,Capital,NetIncomeGrowthRate,OperIncomeGrowthRate,FinancialStatementsTime,TFXRatio,MonthlyNetSalesYoY,RevenueMonth" advise="1">
        <values cols="10">
          <value t="str">
            <val>4564</val>
          </value>
          <value t="str">
            <val>元翎</val>
          </value>
          <value t="str">
            <val>43.7</val>
          </value>
          <value t="str">
            <val>18.28</val>
          </value>
          <value t="str">
            <val>-68.85</val>
          </value>
          <value t="str">
            <val>-80.21</val>
          </value>
          <value t="str">
            <val>2022/09</val>
          </value>
          <value t="str">
            <val>-30.32</val>
          </value>
          <value t="str">
            <val>-49.09</val>
          </value>
          <value t="str">
            <val>2022/11</val>
          </value>
        </values>
      </ddeItem>
      <ddeItem name="4564.TW-OperatingProfitRatio,Price,PriceChangeRatio,InOutRatioNumber,Value,YearReturn,MonthReturn,WeekReturn,FinanceBalanceDif,ChipsField2" advise="1">
        <values cols="10">
          <value t="str">
            <val>5.02</val>
          </value>
          <value>
            <val>23.9</val>
          </value>
          <value>
            <val>0.63</val>
          </value>
          <value t="str">
            <val>32.21%</val>
          </value>
          <value t="str">
            <val>354萬</val>
          </value>
          <value t="str">
            <val>-36.74</val>
          </value>
          <value t="str">
            <val>+0.42</val>
          </value>
          <value t="str">
            <val>-0.62</val>
          </value>
          <value>
            <val>45</val>
          </value>
          <value>
            <val>0</val>
          </value>
        </values>
      </ddeItem>
      <ddeItem name="4566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-125</val>
          </value>
          <value t="str">
            <val>2022/07/28</val>
          </value>
          <value t="str">
            <val>1.18</val>
          </value>
          <value>
            <val>2.31</val>
          </value>
          <value t="str">
            <val>5.70</val>
          </value>
          <value t="str">
            <val>2.30</val>
          </value>
          <value t="str">
            <val>時碩工業</val>
          </value>
          <value t="str">
            <val>上市電機機械</val>
          </value>
          <value t="str">
            <val>台灣精密金屬零件加工廠商</val>
          </value>
        </values>
      </ddeItem>
      <ddeItem name="4566.TW-CName,InvestorConferenceDate,DateofMeetingofShareHolders,TradingDate" advise="1">
        <values cols="4">
          <value t="str">
            <val>時碩工業</val>
          </value>
          <value t="str">
            <val>2022/11/23</val>
          </value>
          <value t="str">
            <val>2022/06/23</val>
          </value>
          <value t="str">
            <val>2022/12/22</val>
          </value>
        </values>
      </ddeItem>
      <ddeItem name="4566.TW-ID,Name,MarketValue,Capital,NetIncomeGrowthRate,OperIncomeGrowthRate,FinancialStatementsTime,TFXRatio,MonthlyNetSalesYoY,RevenueMonth" advise="1">
        <values cols="10">
          <value t="str">
            <val>4566</val>
          </value>
          <value t="str">
            <val>時碩工業</val>
          </value>
          <value t="str">
            <val>39.1</val>
          </value>
          <value t="str">
            <val>7.70</val>
          </value>
          <value t="str">
            <val>160.55</val>
          </value>
          <value t="str">
            <val>61.00</val>
          </value>
          <value t="str">
            <val>2022/09</val>
          </value>
          <value t="str">
            <val>11.56</val>
          </value>
          <value t="str">
            <val>28.83</val>
          </value>
          <value t="str">
            <val>2022/11</val>
          </value>
        </values>
      </ddeItem>
      <ddeItem name="4566.TW-OperatingProfitRatio,Price,PriceChangeRatio,InOutRatioNumber,Value,YearReturn,MonthReturn,WeekReturn,FinanceBalanceDif,ChipsField2" advise="1">
        <values cols="10">
          <value t="str">
            <val>8.57</val>
          </value>
          <value>
            <val>51.1</val>
          </value>
          <value>
            <val>-0.57999999999999996</val>
          </value>
          <value t="str">
            <val>32.90%</val>
          </value>
          <value t="str">
            <val>2386萬</val>
          </value>
          <value t="str">
            <val>+13.58</val>
          </value>
          <value t="str">
            <val>-3.40</val>
          </value>
          <value t="str">
            <val>-10.66</val>
          </value>
          <value>
            <val>23</val>
          </value>
          <value>
            <val>0</val>
          </value>
        </values>
      </ddeItem>
      <ddeItem name="4571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0</val>
          </value>
          <value t="str">
            <val>2022/06/09</val>
          </value>
          <value t="str">
            <val>4.50</val>
          </value>
          <value>
            <val>6.09</val>
          </value>
          <value t="str">
            <val>6.98</val>
          </value>
          <value t="str">
            <val>1.87</val>
          </value>
          <value t="str">
            <val>鈞興-KY</val>
          </value>
          <value t="str">
            <val>上市電機機械</val>
          </value>
          <value t="str">
            <val>專業生產客製化齒輪廠商</val>
          </value>
        </values>
      </ddeItem>
      <ddeItem name="4571.TW-CName,InvestorConferenceDate,DateofMeetingofShareHolders,TradingDate" advise="1">
        <values cols="4">
          <value t="str">
            <val>鈞興-KY</val>
          </value>
          <value t="str">
            <val>2022/11/09</val>
          </value>
          <value t="str">
            <val>2022/05/20</val>
          </value>
          <value t="str">
            <val>2022/12/22</val>
          </value>
        </values>
      </ddeItem>
      <ddeItem name="4571.TW-ID,Name,MarketValue,Capital,NetIncomeGrowthRate,OperIncomeGrowthRate,FinancialStatementsTime,TFXRatio,MonthlyNetSalesYoY,RevenueMonth" advise="1">
        <values cols="10">
          <value t="str">
            <val>4571</val>
          </value>
          <value t="str">
            <val>鈞興-KY</val>
          </value>
          <value t="str">
            <val>39.4</val>
          </value>
          <value t="str">
            <val>5.33</val>
          </value>
          <value t="str">
            <val>-9.94</val>
          </value>
          <value t="str">
            <val>-47.82</val>
          </value>
          <value t="str">
            <val>2022/09</val>
          </value>
          <value t="str">
            <val>36.52</val>
          </value>
          <value t="str">
            <val>15.47</val>
          </value>
          <value t="str">
            <val>2022/11</val>
          </value>
        </values>
      </ddeItem>
      <ddeItem name="4571.TW-OperatingProfitRatio,Price,PriceChangeRatio,InOutRatioNumber,Value,YearReturn,MonthReturn,WeekReturn,FinanceBalanceDif,ChipsField2" advise="1">
        <values cols="10">
          <value t="str">
            <val>10.61</val>
          </value>
          <value>
            <val>73.900000000000006</val>
          </value>
          <value>
            <val>-0.54</val>
          </value>
          <value t="str">
            <val>11.11%</val>
          </value>
          <value t="str">
            <val>66.5萬</val>
          </value>
          <value t="str">
            <val>-22.34</val>
          </value>
          <value t="str">
            <val>+3.65</val>
          </value>
          <value t="str">
            <val>-1.99</val>
          </value>
          <value>
            <val>0</val>
          </value>
          <value>
            <val>0</val>
          </value>
        </values>
      </ddeItem>
      <ddeItem name="4572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73</val>
          </value>
          <value t="str">
            <val>2022/07/14</val>
          </value>
          <value t="str">
            <val>5.00</val>
          </value>
          <value>
            <val>4.24</val>
          </value>
          <value t="str">
            <val>4.93</val>
          </value>
          <value t="str">
            <val>1.90</val>
          </value>
          <value t="str">
            <val>駐龍</val>
          </value>
          <value t="str">
            <val>上市電機機械</val>
          </value>
          <value t="str">
            <val>鋁合金全製程的飛機結構與引擎組件製造廠</val>
          </value>
        </values>
      </ddeItem>
      <ddeItem name="4572.TW-CName,InvestorConferenceDate,DateofMeetingofShareHolders,TradingDate" advise="1">
        <values cols="4">
          <value t="str">
            <val>駐龍</val>
          </value>
          <value t="str">
            <val>2021/11/17</val>
          </value>
          <value t="str">
            <val>2022/06/15</val>
          </value>
          <value t="str">
            <val>2022/12/22</val>
          </value>
        </values>
      </ddeItem>
      <ddeItem name="4572.TW-ID,Name,MarketValue,Capital,NetIncomeGrowthRate,OperIncomeGrowthRate,FinancialStatementsTime,TFXRatio,MonthlyNetSalesYoY,RevenueMonth" advise="1">
        <values cols="10">
          <value t="str">
            <val>4572</val>
          </value>
          <value t="str">
            <val>駐龍</val>
          </value>
          <value t="str">
            <val>42.2</val>
          </value>
          <value t="str">
            <val>3.58</val>
          </value>
          <value t="str">
            <val>317.79</val>
          </value>
          <value t="str">
            <val>212.94</val>
          </value>
          <value t="str">
            <val>2022/09</val>
          </value>
          <value t="str">
            <val>-9.99</val>
          </value>
          <value t="str">
            <val>56.70</val>
          </value>
          <value t="str">
            <val>2022/11</val>
          </value>
        </values>
      </ddeItem>
      <ddeItem name="4572.TW-OperatingProfitRatio,Price,PriceChangeRatio,InOutRatioNumber,Value,YearReturn,MonthReturn,WeekReturn,FinanceBalanceDif,ChipsField2" advise="1">
        <values cols="10">
          <value t="str">
            <val>30.93</val>
          </value>
          <value>
            <val>118</val>
          </value>
          <value>
            <val>2.61</val>
          </value>
          <value t="str">
            <val>59.87%</val>
          </value>
          <value t="str">
            <val>3758萬</val>
          </value>
          <value t="str">
            <val>+24.90</val>
          </value>
          <value t="str">
            <val>+4.42</val>
          </value>
          <value t="str">
            <val>-1.67</val>
          </value>
          <value>
            <val>-65</val>
          </value>
          <value>
            <val>10</val>
          </value>
        </values>
      </ddeItem>
      <ddeItem name="457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-8</val>
          </value>
          <value t="str">
            <val>2022/07/20</val>
          </value>
          <value t="str">
            <val>1.00</val>
          </value>
          <value>
            <val>1.43</val>
          </value>
          <value t="str">
            <val>2.96</val>
          </value>
          <value t="str">
            <val>0.55</val>
          </value>
          <value t="str">
            <val>大銀微系統</val>
          </value>
          <value t="str">
            <val>上市電機機械</val>
          </value>
          <value t="str">
            <val>為全球最大之半導體奈米級精密定位系統製造商</val>
          </value>
        </values>
      </ddeItem>
      <ddeItem name="4576.TW-CName,InvestorConferenceDate,DateofMeetingofShareHolders,TradingDate" advise="1">
        <values cols="4">
          <value t="str">
            <val>大銀微系統</val>
          </value>
          <value t="str">
            <val>2022/11/18</val>
          </value>
          <value t="str">
            <val>2022/05/31</val>
          </value>
          <value t="str">
            <val>2022/12/22</val>
          </value>
        </values>
      </ddeItem>
      <ddeItem name="4576.TW-ID,Name,MarketValue,Capital,NetIncomeGrowthRate,OperIncomeGrowthRate,FinancialStatementsTime,TFXRatio,MonthlyNetSalesYoY,RevenueMonth" advise="1">
        <values cols="10">
          <value t="str">
            <val>4576</val>
          </value>
          <value t="str">
            <val>大銀微系統</val>
          </value>
          <value t="str">
            <val>83.7</val>
          </value>
          <value t="str">
            <val>11.98</val>
          </value>
          <value t="str">
            <val>35.83</val>
          </value>
          <value t="str">
            <val>11.20</val>
          </value>
          <value t="str">
            <val>2022/09</val>
          </value>
          <value t="str">
            <val>2.74</val>
          </value>
          <value t="str">
            <val>-23.61</val>
          </value>
          <value t="str">
            <val>2022/11</val>
          </value>
        </values>
      </ddeItem>
      <ddeItem name="4576.TW-OperatingProfitRatio,Price,PriceChangeRatio,InOutRatioNumber,Value,YearReturn,MonthReturn,WeekReturn,FinanceBalanceDif,ChipsField2" advise="1">
        <values cols="10">
          <value t="str">
            <val>12.64</val>
          </value>
          <value>
            <val>69.900000000000006</val>
          </value>
          <value>
            <val>0.72</val>
          </value>
          <value t="str">
            <val>25.00%</val>
          </value>
          <value t="str">
            <val>83.9萬</val>
          </value>
          <value t="str">
            <val>-34.85</val>
          </value>
          <value t="str">
            <val>+1.16</val>
          </value>
          <value t="str">
            <val>-4.90</val>
          </value>
          <value>
            <val>1</val>
          </value>
          <value>
            <val>0</val>
          </value>
        </values>
      </ddeItem>
      <ddeItem name="458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2022/07/21</val>
          </value>
          <value t="str">
            <val>1.50</val>
          </value>
          <value>
            <val>4.22</val>
          </value>
          <value t="str">
            <val>3.07</val>
          </value>
          <value t="str">
            <val>1.13</val>
          </value>
          <value t="str">
            <val>光隆精密-KY</val>
          </value>
          <value t="str">
            <val>上市汽車</val>
          </value>
          <value t="str">
            <val>台灣商用車零組件鑄件公司</val>
          </value>
        </values>
      </ddeItem>
      <ddeItem name="4581.TW-CName,InvestorConferenceDate,DateofMeetingofShareHolders,TradingDate" advise="1">
        <values cols="4">
          <value t="str">
            <val>光隆精密-KY</val>
          </value>
          <value t="str">
            <val>2022/09/20</val>
          </value>
          <value t="str">
            <val>2022/06/29</val>
          </value>
          <value t="str">
            <val>2022/12/22</val>
          </value>
        </values>
      </ddeItem>
      <ddeItem name="4581.TW-ID,Name,MarketValue,Capital,NetIncomeGrowthRate,OperIncomeGrowthRate,FinancialStatementsTime,TFXRatio,MonthlyNetSalesYoY,RevenueMonth" advise="1">
        <values cols="10">
          <value t="str">
            <val>4581</val>
          </value>
          <value t="str">
            <val>光隆精密-KY</val>
          </value>
          <value t="str">
            <val>12.1</val>
          </value>
          <value t="str">
            <val>3.39</val>
          </value>
          <value t="str">
            <val>38.21</val>
          </value>
          <value t="str">
            <val>2.33</val>
          </value>
          <value t="str">
            <val>2022/09</val>
          </value>
          <value t="str">
            <val>11.06</val>
          </value>
          <value t="str">
            <val>13.76</val>
          </value>
          <value t="str">
            <val>2022/11</val>
          </value>
        </values>
      </ddeItem>
      <ddeItem name="4581.TW-OperatingProfitRatio,Price,PriceChangeRatio,InOutRatioNumber,Value,YearReturn,MonthReturn,WeekReturn,FinanceBalanceDif,ChipsField2" advise="1">
        <values cols="10">
          <value t="str">
            <val>10.46</val>
          </value>
          <value>
            <val>35.549999999999997</val>
          </value>
          <value>
            <val>-0.14000000000000001</val>
          </value>
          <value t="str">
            <val>50.00%</val>
          </value>
          <value t="str">
            <val>7.04萬</val>
          </value>
          <value t="str">
            <val>+5.39</val>
          </value>
          <value t="str">
            <val>+7.89</val>
          </value>
          <value t="str">
            <val>-0.14</val>
          </value>
          <value>
            <val>1</val>
          </value>
          <value>
            <val>0</val>
          </value>
        </values>
      </ddeItem>
      <ddeItem name="458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2022/04/15</val>
          </value>
          <value t="str">
            <val>8.00</val>
          </value>
          <value>
            <val>4.3</val>
          </value>
          <value t="str">
            <val>14.80</val>
          </value>
          <value t="str">
            <val>3.75</val>
          </value>
          <value t="str">
            <val>台灣精銳</val>
          </value>
          <value t="str">
            <val>上市電機機械</val>
          </value>
          <value t="str">
            <val>高精密度之伺服用行星式齒輪減速機提供商</val>
          </value>
        </values>
      </ddeItem>
      <ddeItem name="4583.TW-CName,InvestorConferenceDate,DateofMeetingofShareHolders,TradingDate" advise="1">
        <values cols="4">
          <value t="str">
            <val>台灣精銳</val>
          </value>
          <value t="str">
            <val>--</val>
          </value>
          <value t="str">
            <val>2022/06/17</val>
          </value>
          <value t="str">
            <val>2022/12/22</val>
          </value>
        </values>
      </ddeItem>
      <ddeItem name="4583.TW-ID,Name,MarketValue,Capital,NetIncomeGrowthRate,OperIncomeGrowthRate,FinancialStatementsTime,TFXRatio,MonthlyNetSalesYoY,RevenueMonth" advise="1">
        <values cols="10">
          <value t="str">
            <val>4583</val>
          </value>
          <value t="str">
            <val>台灣精銳</val>
          </value>
          <value t="str">
            <val>149.1</val>
          </value>
          <value t="str">
            <val>8.02</val>
          </value>
          <value t="str">
            <val>42.13</val>
          </value>
          <value t="str">
            <val>5.83</val>
          </value>
          <value t="str">
            <val>2022/09</val>
          </value>
          <value t="str">
            <val>33.29</val>
          </value>
          <value t="str">
            <val>0.57</val>
          </value>
          <value t="str">
            <val>2022/11</val>
          </value>
        </values>
      </ddeItem>
      <ddeItem name="4583.TW-OperatingProfitRatio,Price,PriceChangeRatio,InOutRatioNumber,Value,YearReturn,MonthReturn,WeekReturn,FinanceBalanceDif,ChipsField2" advise="1">
        <values cols="10">
          <value t="str">
            <val>33.24</val>
          </value>
          <value>
            <val>186</val>
          </value>
          <value>
            <val>0.54</val>
          </value>
          <value t="str">
            <val>23.08%</val>
          </value>
          <value t="str">
            <val>242萬</val>
          </value>
          <value t="str">
            <val>--</val>
          </value>
          <value t="str">
            <val>+0.54</val>
          </value>
          <value t="str">
            <val>-2.36</val>
          </value>
          <value>
            <val>0</val>
          </value>
          <value>
            <val>0</val>
          </value>
        </values>
      </ddeItem>
      <ddeItem name="472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-47</val>
          </value>
          <value t="str">
            <val>2022/08/01</val>
          </value>
          <value t="str">
            <val>0.20</val>
          </value>
          <value>
            <val>1.43</val>
          </value>
          <value t="str">
            <val>0.36</val>
          </value>
          <value t="str">
            <val>0.15</val>
          </value>
          <value t="str">
            <val>德淵</val>
          </value>
          <value t="str">
            <val>上市化工</val>
          </value>
          <value t="str">
            <val>台灣最大熱熔膠供應商</val>
          </value>
        </values>
      </ddeItem>
      <ddeItem name="4720.TW-CName,InvestorConferenceDate,DateofMeetingofShareHolders,TradingDate" advise="1">
        <values cols="4">
          <value t="str">
            <val>德淵</val>
          </value>
          <value t="str">
            <val>2022/12/29</val>
          </value>
          <value t="str">
            <val>2022/06/27</val>
          </value>
          <value t="str">
            <val>2022/12/22</val>
          </value>
        </values>
      </ddeItem>
      <ddeItem name="4720.TW-ID,Name,MarketValue,Capital,NetIncomeGrowthRate,OperIncomeGrowthRate,FinancialStatementsTime,TFXRatio,MonthlyNetSalesYoY,RevenueMonth" advise="1">
        <values cols="10">
          <value t="str">
            <val>4720</val>
          </value>
          <value t="str">
            <val>德淵</val>
          </value>
          <value t="str">
            <val>14.4</val>
          </value>
          <value t="str">
            <val>10.38</val>
          </value>
          <value t="str">
            <val>47.94</val>
          </value>
          <value t="str">
            <val>-9.16</val>
          </value>
          <value t="str">
            <val>2022/09</val>
          </value>
          <value t="str">
            <val>-4.41</val>
          </value>
          <value t="str">
            <val>-8.91</val>
          </value>
          <value t="str">
            <val>2022/11</val>
          </value>
        </values>
      </ddeItem>
      <ddeItem name="4720.TW-OperatingProfitRatio,Price,PriceChangeRatio,InOutRatioNumber,Value,YearReturn,MonthReturn,WeekReturn,FinanceBalanceDif,ChipsField2" advise="1">
        <values cols="10">
          <value t="str">
            <val>1.43</val>
          </value>
          <value>
            <val>13.95</val>
          </value>
          <value>
            <val>0.72</val>
          </value>
          <value t="str">
            <val>62.00%</val>
          </value>
          <value t="str">
            <val>210萬</val>
          </value>
          <value t="str">
            <val>-7.79</val>
          </value>
          <value t="str">
            <val>-0.36</val>
          </value>
          <value t="str">
            <val>-3.46</val>
          </value>
          <value>
            <val>-53</val>
          </value>
          <value>
            <val>0</val>
          </value>
        </values>
      </ddeItem>
      <ddeItem name="472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</val>
          </value>
          <value t="str">
            <val>2022/06/28</val>
          </value>
          <value t="str">
            <val>2.20</val>
          </value>
          <value>
            <val>6.43</val>
          </value>
          <value t="str">
            <val>4.04</val>
          </value>
          <value t="str">
            <val>0.94</val>
          </value>
          <value t="str">
            <val>國精化</val>
          </value>
          <value t="str">
            <val>上市化工</val>
          </value>
          <value t="str">
            <val>台灣不飽和聚酯樹脂大廠</val>
          </value>
        </values>
      </ddeItem>
      <ddeItem name="4722.TW-CName,InvestorConferenceDate,DateofMeetingofShareHolders,TradingDate" advise="1">
        <values cols="4">
          <value t="str">
            <val>國精化</val>
          </value>
          <value t="str">
            <val>2022/05/10</val>
          </value>
          <value t="str">
            <val>2022/05/30</val>
          </value>
          <value t="str">
            <val>2022/12/22</val>
          </value>
        </values>
      </ddeItem>
      <ddeItem name="4722.TW-ID,Name,MarketValue,Capital,NetIncomeGrowthRate,OperIncomeGrowthRate,FinancialStatementsTime,TFXRatio,MonthlyNetSalesYoY,RevenueMonth" advise="1">
        <values cols="10">
          <value t="str">
            <val>4722</val>
          </value>
          <value t="str">
            <val>國精化</val>
          </value>
          <value t="str">
            <val>34.2</val>
          </value>
          <value t="str">
            <val>10.00</val>
          </value>
          <value t="str">
            <val>11.98</val>
          </value>
          <value t="str">
            <val>-7.41</val>
          </value>
          <value t="str">
            <val>2022/09</val>
          </value>
          <value t="str">
            <val>-1.03</val>
          </value>
          <value t="str">
            <val>-47.33</val>
          </value>
          <value t="str">
            <val>2022/11</val>
          </value>
        </values>
      </ddeItem>
      <ddeItem name="4722.TW-OperatingProfitRatio,Price,PriceChangeRatio,InOutRatioNumber,Value,YearReturn,MonthReturn,WeekReturn,FinanceBalanceDif,ChipsField2" advise="1">
        <values cols="10">
          <value t="str">
            <val>9.56</val>
          </value>
          <value>
            <val>34.200000000000003</val>
          </value>
          <value>
            <val>0.59</val>
          </value>
          <value t="str">
            <val>100.00%</val>
          </value>
          <value t="str">
            <val>23.9萬</val>
          </value>
          <value t="str">
            <val>-14.32</val>
          </value>
          <value t="str">
            <val>+2.40</val>
          </value>
          <value t="str">
            <val>-0.29</val>
          </value>
          <value>
            <val>0</val>
          </value>
          <value>
            <val>0</val>
          </value>
        </values>
      </ddeItem>
      <ddeItem name="473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2022/07/21</val>
          </value>
          <value t="str">
            <val>2.00</val>
          </value>
          <value>
            <val>2.61</val>
          </value>
          <value t="str">
            <val>1.57</val>
          </value>
          <value t="str">
            <val>0.17</val>
          </value>
          <value t="str">
            <val>華廣</val>
          </value>
          <value t="str">
            <val>上市生技醫療</val>
          </value>
          <value t="str">
            <val>以Bionime為自有品牌生產居家醫療用血糖機及測試片廠商</val>
          </value>
        </values>
      </ddeItem>
      <ddeItem name="4737.TW-CName,InvestorConferenceDate,DateofMeetingofShareHolders,TradingDate" advise="1">
        <values cols="4">
          <value t="str">
            <val>華廣</val>
          </value>
          <value t="str">
            <val>2021/12/09</val>
          </value>
          <value t="str">
            <val>2022/06/22</val>
          </value>
          <value t="str">
            <val>2022/12/22</val>
          </value>
        </values>
      </ddeItem>
      <ddeItem name="4737.TW-ID,Name,MarketValue,Capital,NetIncomeGrowthRate,OperIncomeGrowthRate,FinancialStatementsTime,TFXRatio,MonthlyNetSalesYoY,RevenueMonth" advise="1">
        <values cols="10">
          <value t="str">
            <val>4737</val>
          </value>
          <value t="str">
            <val>華廣</val>
          </value>
          <value t="str">
            <val>46.4</val>
          </value>
          <value t="str">
            <val>6.07</val>
          </value>
          <value t="str">
            <val>10.18</val>
          </value>
          <value t="str">
            <val>84.09</val>
          </value>
          <value t="str">
            <val>2022/09</val>
          </value>
          <value t="str">
            <val>-18.92</val>
          </value>
          <value t="str">
            <val>22.43</val>
          </value>
          <value t="str">
            <val>2022/11</val>
          </value>
        </values>
      </ddeItem>
      <ddeItem name="4737.TW-OperatingProfitRatio,Price,PriceChangeRatio,InOutRatioNumber,Value,YearReturn,MonthReturn,WeekReturn,FinanceBalanceDif,ChipsField2" advise="1">
        <values cols="10">
          <value t="str">
            <val>5.34</val>
          </value>
          <value>
            <val>76.5</val>
          </value>
          <value>
            <val>-0.65</val>
          </value>
          <value t="str">
            <val>55.56%</val>
          </value>
          <value t="str">
            <val>69.2萬</val>
          </value>
          <value t="str">
            <val>+6.98</val>
          </value>
          <value t="str">
            <val>-1.16</val>
          </value>
          <value t="str">
            <val>-1.67</val>
          </value>
          <value>
            <val>0</val>
          </value>
          <value>
            <val>0</val>
          </value>
        </values>
      </ddeItem>
      <ddeItem name="4739.TW-ChipsField3,ChipsField1,ChipsField25,CashAndStockDividend,CashDividendYieldRate,ProfitFourSeason,ProfitSingle,CName,ExchangeIndustry,CompanyPos" advise="1">
        <values cols="10">
          <value>
            <val>-55</val>
          </value>
          <value>
            <val>-128</val>
          </value>
          <value t="str">
            <val>2022/06/24</val>
          </value>
          <value t="str">
            <val>3.00</val>
          </value>
          <value>
            <val>3.13</val>
          </value>
          <value t="str">
            <val>5.74</val>
          </value>
          <value t="str">
            <val>1.04</val>
          </value>
          <value t="str">
            <val>康普</val>
          </value>
          <value t="str">
            <val>上市化工</val>
          </value>
          <value t="str">
            <val>台灣特用化學材、電池材料、PTA氧化觸媒大廠</val>
          </value>
        </values>
      </ddeItem>
      <ddeItem name="4739.TW-CName,InvestorConferenceDate,DateofMeetingofShareHolders,TradingDate" advise="1">
        <values cols="4">
          <value t="str">
            <val>康普</val>
          </value>
          <value t="str">
            <val>2022/09/26</val>
          </value>
          <value t="str">
            <val>2022/05/27</val>
          </value>
          <value t="str">
            <val>2022/12/22</val>
          </value>
        </values>
      </ddeItem>
      <ddeItem name="4739.TW-ID,Name,MarketValue,Capital,NetIncomeGrowthRate,OperIncomeGrowthRate,FinancialStatementsTime,TFXRatio,MonthlyNetSalesYoY,RevenueMonth" advise="1">
        <values cols="10">
          <value t="str">
            <val>4739</val>
          </value>
          <value t="str">
            <val>康普</val>
          </value>
          <value t="str">
            <val>102.7</val>
          </value>
          <value t="str">
            <val>10.70</val>
          </value>
          <value t="str">
            <val>50.49</val>
          </value>
          <value t="str">
            <val>37.57</val>
          </value>
          <value t="str">
            <val>2022/09</val>
          </value>
          <value t="str">
            <val>1.13</val>
          </value>
          <value t="str">
            <val>-15.84</val>
          </value>
          <value t="str">
            <val>2022/11</val>
          </value>
        </values>
      </ddeItem>
      <ddeItem name="4739.TW-OperatingProfitRatio,Price,PriceChangeRatio,InOutRatioNumber,Value,YearReturn,MonthReturn,WeekReturn,FinanceBalanceDif,ChipsField2" advise="1">
        <values cols="10">
          <value t="str">
            <val>7.91</val>
          </value>
          <value>
            <val>96</val>
          </value>
          <value>
            <val>0</val>
          </value>
          <value t="str">
            <val>41.81%</val>
          </value>
          <value t="str">
            <val>9528萬</val>
          </value>
          <value t="str">
            <val>-30.97</val>
          </value>
          <value t="str">
            <val>+0.42</val>
          </value>
          <value t="str">
            <val>-5.42</val>
          </value>
          <value>
            <val>50</val>
          </value>
          <value>
            <val>0</val>
          </value>
        </values>
      </ddeItem>
      <ddeItem name="4746.TW-ChipsField3,ChipsField1,ChipsField25,CashAndStockDividend,CashDividendYieldRate,ProfitFourSeason,ProfitSingle,CName,ExchangeIndustry,CompanyPos" advise="1">
        <values cols="10">
          <value>
            <val>-14</val>
          </value>
          <value>
            <val>-3450</val>
          </value>
          <value t="str">
            <val>2022/07/27</val>
          </value>
          <value t="str">
            <val>2.00</val>
          </value>
          <value>
            <val>2.66</val>
          </value>
          <value t="str">
            <val>-0.79</val>
          </value>
          <value t="str">
            <val>4.09</val>
          </value>
          <value t="str">
            <val>台耀</val>
          </value>
          <value t="str">
            <val>上市生技醫療</val>
          </value>
          <value t="str">
            <val>全球前三大維他命D衍生物製造商</val>
          </value>
        </values>
      </ddeItem>
      <ddeItem name="4746.TW-CName,InvestorConferenceDate,DateofMeetingofShareHolders,TradingDate" advise="1">
        <values cols="4">
          <value t="str">
            <val>台耀</val>
          </value>
          <value t="str">
            <val>2022/03/14</val>
          </value>
          <value t="str">
            <val>2022/06/23</val>
          </value>
          <value t="str">
            <val>2022/12/22</val>
          </value>
        </values>
      </ddeItem>
      <ddeItem name="4746.TW-ID,Name,MarketValue,Capital,NetIncomeGrowthRate,OperIncomeGrowthRate,FinancialStatementsTime,TFXRatio,MonthlyNetSalesYoY,RevenueMonth" advise="1">
        <values cols="10">
          <value t="str">
            <val>4746</val>
          </value>
          <value t="str">
            <val>台耀</val>
          </value>
          <value t="str">
            <val>90.4</val>
          </value>
          <value t="str">
            <val>12.03</val>
          </value>
          <value t="str">
            <val>-104.33</val>
          </value>
          <value t="str">
            <val>133.47</val>
          </value>
          <value t="str">
            <val>2022/09</val>
          </value>
          <value t="str">
            <val>-3.23</val>
          </value>
          <value t="str">
            <val>9.92</val>
          </value>
          <value t="str">
            <val>2022/11</val>
          </value>
        </values>
      </ddeItem>
      <ddeItem name="4746.TW-OperatingProfitRatio,Price,PriceChangeRatio,InOutRatioNumber,Value,YearReturn,MonthReturn,WeekReturn,FinanceBalanceDif,ChipsField2" advise="1">
        <values cols="10">
          <value t="str">
            <val>2.18</val>
          </value>
          <value>
            <val>75.2</val>
          </value>
          <value>
            <val>-1.96</val>
          </value>
          <value t="str">
            <val>47.17%</val>
          </value>
          <value t="str">
            <val>13.3億</val>
          </value>
          <value t="str">
            <val>+33.63</val>
          </value>
          <value t="str">
            <val>+30.56</val>
          </value>
          <value t="str">
            <val>+22.28</val>
          </value>
          <value>
            <val>1344</val>
          </value>
          <value>
            <val>0</val>
          </value>
        </values>
      </ddeItem>
      <ddeItem name="4755.TW-ChipsField3,ChipsField1,ChipsField25,CashAndStockDividend,CashDividendYieldRate,ProfitFourSeason,ProfitSingle,CName,ExchangeIndustry,CompanyPos" advise="1">
        <values cols="10">
          <value>
            <val>-11</val>
          </value>
          <value>
            <val>-70</val>
          </value>
          <value t="str">
            <val>2022/07/05</val>
          </value>
          <value t="str">
            <val>5.00</val>
          </value>
          <value>
            <val>4.2</val>
          </value>
          <value t="str">
            <val>10.62</val>
          </value>
          <value t="str">
            <val>1.62</val>
          </value>
          <value t="str">
            <val>三福化</val>
          </value>
          <value t="str">
            <val>上市化工</val>
          </value>
          <value t="str">
            <val>台灣半導體特用化學大廠</val>
          </value>
        </values>
      </ddeItem>
      <ddeItem name="4755.TW-CName,InvestorConferenceDate,DateofMeetingofShareHolders,TradingDate" advise="1">
        <values cols="4">
          <value t="str">
            <val>三福化</val>
          </value>
          <value t="str">
            <val>2022/12/15</val>
          </value>
          <value t="str">
            <val>2022/06/17</val>
          </value>
          <value t="str">
            <val>2022/12/22</val>
          </value>
        </values>
      </ddeItem>
      <ddeItem name="4755.TW-ID,Name,MarketValue,Capital,NetIncomeGrowthRate,OperIncomeGrowthRate,FinancialStatementsTime,TFXRatio,MonthlyNetSalesYoY,RevenueMonth" advise="1">
        <values cols="10">
          <value t="str">
            <val>4755</val>
          </value>
          <value t="str">
            <val>三福化</val>
          </value>
          <value t="str">
            <val>119.8</val>
          </value>
          <value t="str">
            <val>10.07</val>
          </value>
          <value t="str">
            <val>106.91</val>
          </value>
          <value t="str">
            <val>121.65</val>
          </value>
          <value t="str">
            <val>2022/09</val>
          </value>
          <value t="str">
            <val>17.46</val>
          </value>
          <value t="str">
            <val>-29.86</val>
          </value>
          <value t="str">
            <val>2022/11</val>
          </value>
        </values>
      </ddeItem>
      <ddeItem name="4755.TW-OperatingProfitRatio,Price,PriceChangeRatio,InOutRatioNumber,Value,YearReturn,MonthReturn,WeekReturn,FinanceBalanceDif,ChipsField2" advise="1">
        <values cols="10">
          <value t="str">
            <val>18.51</val>
          </value>
          <value>
            <val>119</val>
          </value>
          <value>
            <val>0.42</val>
          </value>
          <value t="str">
            <val>37.16%</val>
          </value>
          <value t="str">
            <val>4900萬</val>
          </value>
          <value t="str">
            <val>+5.76</val>
          </value>
          <value t="str">
            <val>+4.39</val>
          </value>
          <value t="str">
            <val>-11.19</val>
          </value>
          <value>
            <val>-5</val>
          </value>
          <value>
            <val>0</val>
          </value>
        </values>
      </ddeItem>
      <ddeItem name="4763.TW-ChipsField3,ChipsField1,ChipsField25,CashAndStockDividend,CashDividendYieldRate,ProfitFourSeason,ProfitSingle,CName,ExchangeIndustry,CompanyPos" advise="1">
        <values cols="10">
          <value>
            <val>-35</val>
          </value>
          <value>
            <val>1313</val>
          </value>
          <value t="str">
            <val>2022/12/19</val>
          </value>
          <value t="str">
            <val>3.96</val>
          </value>
          <value>
            <val>2.71</val>
          </value>
          <value t="str">
            <val>16.67</val>
          </value>
          <value t="str">
            <val>5.23</val>
          </value>
          <value t="str">
            <val>材料-KY</val>
          </value>
          <value t="str">
            <val>上市化工</val>
          </value>
          <value t="str">
            <val>全球第五大醋酸纖維絲束大廠</val>
          </value>
        </values>
      </ddeItem>
      <ddeItem name="4763.TW-CName,InvestorConferenceDate,DateofMeetingofShareHolders,TradingDate" advise="1">
        <values cols="4">
          <value t="str">
            <val>材料-KY</val>
          </value>
          <value t="str">
            <val>2022/11/15</val>
          </value>
          <value t="str">
            <val>2022/05/27</val>
          </value>
          <value t="str">
            <val>2022/12/22</val>
          </value>
        </values>
      </ddeItem>
      <ddeItem name="4763.TW-ID,Name,MarketValue,Capital,NetIncomeGrowthRate,OperIncomeGrowthRate,FinancialStatementsTime,TFXRatio,MonthlyNetSalesYoY,RevenueMonth" advise="1">
        <values cols="10">
          <value t="str">
            <val>4763</val>
          </value>
          <value t="str">
            <val>材料-KY</val>
          </value>
          <value t="str">
            <val>117.8</val>
          </value>
          <value t="str">
            <val>6.66</val>
          </value>
          <value t="str">
            <val>204.77</val>
          </value>
          <value t="str">
            <val>126.47</val>
          </value>
          <value t="str">
            <val>2022/09</val>
          </value>
          <value t="str">
            <val>0.77</val>
          </value>
          <value t="str">
            <val>55.78</val>
          </value>
          <value t="str">
            <val>2022/11</val>
          </value>
        </values>
      </ddeItem>
      <ddeItem name="4763.TW-OperatingProfitRatio,Price,PriceChangeRatio,InOutRatioNumber,Value,YearReturn,MonthReturn,WeekReturn,FinanceBalanceDif,ChipsField2" advise="1">
        <values cols="10">
          <value t="str">
            <val>21.44</val>
          </value>
          <value>
            <val>180</val>
          </value>
          <value>
            <val>-2.7</val>
          </value>
          <value t="str">
            <val>46.44%</val>
          </value>
          <value t="str">
            <val>12.9億</val>
          </value>
          <value t="str">
            <val>+91.62</val>
          </value>
          <value t="str">
            <val>+16.17</val>
          </value>
          <value t="str">
            <val>+4.03</val>
          </value>
          <value>
            <val>-122</val>
          </value>
          <value>
            <val>0</val>
          </value>
        </values>
      </ddeItem>
      <ddeItem name="476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2022/07/20</val>
          </value>
          <value t="str">
            <val>1.00</val>
          </value>
          <value>
            <val>1.99</val>
          </value>
          <value t="str">
            <val>0.98</val>
          </value>
          <value t="str">
            <val>0.08</val>
          </value>
          <value t="str">
            <val>雙鍵</val>
          </value>
          <value t="str">
            <val>上市化工</val>
          </value>
          <value t="str">
            <val>全球第三大光固化起始劑生產商</val>
          </value>
        </values>
      </ddeItem>
      <ddeItem name="4764.TW-CName,InvestorConferenceDate,DateofMeetingofShareHolders,TradingDate" advise="1">
        <values cols="4">
          <value t="str">
            <val>雙鍵</val>
          </value>
          <value t="str">
            <val>2021/12/28</val>
          </value>
          <value t="str">
            <val>2022/06/22</val>
          </value>
          <value t="str">
            <val>2022/12/22</val>
          </value>
        </values>
      </ddeItem>
      <ddeItem name="4764.TW-ID,Name,MarketValue,Capital,NetIncomeGrowthRate,OperIncomeGrowthRate,FinancialStatementsTime,TFXRatio,MonthlyNetSalesYoY,RevenueMonth" advise="1">
        <values cols="10">
          <value t="str">
            <val>4764</val>
          </value>
          <value t="str">
            <val>雙鍵</val>
          </value>
          <value t="str">
            <val>43.0</val>
          </value>
          <value t="str">
            <val>8.55</val>
          </value>
          <value t="str">
            <val>-32.73</val>
          </value>
          <value t="str">
            <val>-88.24</val>
          </value>
          <value t="str">
            <val>2022/09</val>
          </value>
          <value t="str">
            <val>7.39</val>
          </value>
          <value t="str">
            <val>-17.51</val>
          </value>
          <value t="str">
            <val>2022/11</val>
          </value>
        </values>
      </ddeItem>
      <ddeItem name="4764.TW-OperatingProfitRatio,Price,PriceChangeRatio,InOutRatioNumber,Value,YearReturn,MonthReturn,WeekReturn,FinanceBalanceDif,ChipsField2" advise="1">
        <values cols="10">
          <value t="str">
            <val>0.62</val>
          </value>
          <value>
            <val>50.3</val>
          </value>
          <value>
            <val>1.62</val>
          </value>
          <value t="str">
            <val>55.56%</val>
          </value>
          <value t="str">
            <val>44.9萬</val>
          </value>
          <value t="str">
            <val>-10.20</val>
          </value>
          <value t="str">
            <val>+2.97</val>
          </value>
          <value t="str">
            <val>-4.01</val>
          </value>
          <value>
            <val>-1</val>
          </value>
          <value>
            <val>0</val>
          </value>
        </values>
      </ddeItem>
      <ddeItem name="476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2022/08/04</val>
          </value>
          <value t="str">
            <val>6.00</val>
          </value>
          <value>
            <val>4.49</val>
          </value>
          <value t="str">
            <val>13.02</val>
          </value>
          <value t="str">
            <val>3.08</val>
          </value>
          <value t="str">
            <val>南寶</val>
          </value>
          <value t="str">
            <val>上市化工</val>
          </value>
          <value t="str">
            <val>台灣接著劑材料大廠</val>
          </value>
        </values>
      </ddeItem>
      <ddeItem name="4766.TW-CName,InvestorConferenceDate,DateofMeetingofShareHolders,TradingDate" advise="1">
        <values cols="4">
          <value t="str">
            <val>南寶</val>
          </value>
          <value t="str">
            <val>2022/11/16</val>
          </value>
          <value t="str">
            <val>2022/06/23</val>
          </value>
          <value t="str">
            <val>2022/12/22</val>
          </value>
        </values>
      </ddeItem>
      <ddeItem name="4766.TW-ID,Name,MarketValue,Capital,NetIncomeGrowthRate,OperIncomeGrowthRate,FinancialStatementsTime,TFXRatio,MonthlyNetSalesYoY,RevenueMonth" advise="1">
        <values cols="10">
          <value t="str">
            <val>4766</val>
          </value>
          <value t="str">
            <val>南寶</val>
          </value>
          <value t="str">
            <val>161.0</val>
          </value>
          <value t="str">
            <val>12.06</val>
          </value>
          <value t="str">
            <val>99.18</val>
          </value>
          <value t="str">
            <val>49.99</val>
          </value>
          <value t="str">
            <val>2022/09</val>
          </value>
          <value t="str">
            <val>6.54</val>
          </value>
          <value t="str">
            <val>16.37</val>
          </value>
          <value t="str">
            <val>2022/11</val>
          </value>
        </values>
      </ddeItem>
      <ddeItem name="4766.TW-OperatingProfitRatio,Price,PriceChangeRatio,InOutRatioNumber,Value,YearReturn,MonthReturn,WeekReturn,FinanceBalanceDif,ChipsField2" advise="1">
        <values cols="10">
          <value t="str">
            <val>7.77</val>
          </value>
          <value>
            <val>133.5</val>
          </value>
          <value>
            <val>-0.37</val>
          </value>
          <value t="str">
            <val>62.83%</val>
          </value>
          <value t="str">
            <val>1519萬</val>
          </value>
          <value t="str">
            <val>+0.86</val>
          </value>
          <value t="str">
            <val>-0.74</val>
          </value>
          <value t="str">
            <val>-1.11</val>
          </value>
          <value>
            <val>-5</val>
          </value>
          <value>
            <val>0</val>
          </value>
        </values>
      </ddeItem>
      <ddeItem name="4770.TW-ChipsField3,ChipsField1,ChipsField25,CashAndStockDividend,CashDividendYieldRate,ProfitFourSeason,ProfitSingle,CName,ExchangeIndustry,CompanyPos" advise="1">
        <values cols="10">
          <value>
            <val>37</val>
          </value>
          <value>
            <val>-145</val>
          </value>
          <value t="str">
            <val>2022/03/31</val>
          </value>
          <value t="str">
            <val>8.00</val>
          </value>
          <value>
            <val>2.54</val>
          </value>
          <value t="str">
            <val>20.41</val>
          </value>
          <value t="str">
            <val>5.91</val>
          </value>
          <value t="str">
            <val>上品</val>
          </value>
          <value t="str">
            <val>上市化工</val>
          </value>
          <value t="str">
            <val>電子化學品等級鐵氟龍槽車內襯市佔與產能全球第一</val>
          </value>
        </values>
      </ddeItem>
      <ddeItem name="4770.TW-CName,InvestorConferenceDate,DateofMeetingofShareHolders,TradingDate" advise="1">
        <values cols="4">
          <value t="str">
            <val>上品</val>
          </value>
          <value t="str">
            <val>2022/11/11</val>
          </value>
          <value t="str">
            <val>2022/05/31</val>
          </value>
          <value t="str">
            <val>2022/12/22</val>
          </value>
        </values>
      </ddeItem>
      <ddeItem name="4770.TW-ID,Name,MarketValue,Capital,NetIncomeGrowthRate,OperIncomeGrowthRate,FinancialStatementsTime,TFXRatio,MonthlyNetSalesYoY,RevenueMonth" advise="1">
        <values cols="10">
          <value t="str">
            <val>4770</val>
          </value>
          <value t="str">
            <val>上品</val>
          </value>
          <value t="str">
            <val>248.9</val>
          </value>
          <value t="str">
            <val>7.90</val>
          </value>
          <value t="str">
            <val>87.17</val>
          </value>
          <value t="str">
            <val>77.20</val>
          </value>
          <value t="str">
            <val>2022/09</val>
          </value>
          <value t="str">
            <val>19.03</val>
          </value>
          <value t="str">
            <val>18.78</val>
          </value>
          <value t="str">
            <val>2022/11</val>
          </value>
        </values>
      </ddeItem>
      <ddeItem name="4770.TW-OperatingProfitRatio,Price,PriceChangeRatio,InOutRatioNumber,Value,YearReturn,MonthReturn,WeekReturn,FinanceBalanceDif,ChipsField2" advise="1">
        <values cols="10">
          <value t="str">
            <val>34.02</val>
          </value>
          <value>
            <val>315</val>
          </value>
          <value>
            <val>4.4800000000000004</val>
          </value>
          <value t="str">
            <val>48.23%</val>
          </value>
          <value t="str">
            <val>6.52億</val>
          </value>
          <value t="str">
            <val>--</val>
          </value>
          <value t="str">
            <val>+7.33</val>
          </value>
          <value t="str">
            <val>+0.16</val>
          </value>
          <value>
            <val>15</val>
          </value>
          <value>
            <val>160</val>
          </value>
        </values>
      </ddeItem>
      <ddeItem name="480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2022/09/05</val>
          </value>
          <value t="str">
            <val>1.66</val>
          </value>
          <value>
            <val>8.43</val>
          </value>
          <value t="str">
            <val>2.32</val>
          </value>
          <value t="str">
            <val>1.61</val>
          </value>
          <value t="str">
            <val>日成-KY</val>
          </value>
          <value t="str">
            <val>上市貿易百貨</val>
          </value>
          <value t="str">
            <val>泰國前三大珠寶ODM 及OEM廠商</val>
          </value>
        </values>
      </ddeItem>
      <ddeItem name="4807.TW-CName,InvestorConferenceDate,DateofMeetingofShareHolders,TradingDate" advise="1">
        <values cols="4">
          <value t="str">
            <val>日成-KY</val>
          </value>
          <value t="str">
            <val>2022/03/17</val>
          </value>
          <value t="str">
            <val>2022/06/10</val>
          </value>
          <value t="str">
            <val>2022/12/22</val>
          </value>
        </values>
      </ddeItem>
      <ddeItem name="4807.TW-ID,Name,MarketValue,Capital,NetIncomeGrowthRate,OperIncomeGrowthRate,FinancialStatementsTime,TFXRatio,MonthlyNetSalesYoY,RevenueMonth" advise="1">
        <values cols="10">
          <value t="str">
            <val>4807</val>
          </value>
          <value t="str">
            <val>日成-KY</val>
          </value>
          <value t="str">
            <val>7.6</val>
          </value>
          <value t="str">
            <val>3.84</val>
          </value>
          <value t="str">
            <val>-40.20</val>
          </value>
          <value t="str">
            <val>-66.63</val>
          </value>
          <value t="str">
            <val>2022/09</val>
          </value>
          <value t="str">
            <val>-24.27</val>
          </value>
          <value t="str">
            <val>-33.71</val>
          </value>
          <value t="str">
            <val>2022/11</val>
          </value>
        </values>
      </ddeItem>
      <ddeItem name="4807.TW-OperatingProfitRatio,Price,PriceChangeRatio,InOutRatioNumber,Value,YearReturn,MonthReturn,WeekReturn,FinanceBalanceDif,ChipsField2" advise="1">
        <values cols="10">
          <value t="str">
            <val>3.33</val>
          </value>
          <value>
            <val>19.7</val>
          </value>
          <value>
            <val>-0.25</val>
          </value>
          <value t="str">
            <val>25.00%</val>
          </value>
          <value t="str">
            <val>39.8萬</val>
          </value>
          <value t="str">
            <val>-22.38</val>
          </value>
          <value t="str">
            <val>-6.19</val>
          </value>
          <value t="str">
            <val>-10.45</val>
          </value>
          <value>
            <val>0</val>
          </value>
          <value>
            <val>0</val>
          </value>
        </values>
      </ddeItem>
      <ddeItem name="4904.TW-ChipsField3,ChipsField1,ChipsField25,CashAndStockDividend,CashDividendYieldRate,ProfitFourSeason,ProfitSingle,CName,ExchangeIndustry,CompanyPos" advise="1">
        <values cols="10">
          <value>
            <val>-288</val>
          </value>
          <value>
            <val>-463</val>
          </value>
          <value t="str">
            <val>2022/07/14</val>
          </value>
          <value t="str">
            <val>3.25</val>
          </value>
          <value>
            <val>4.93</val>
          </value>
          <value t="str">
            <val>2.77</val>
          </value>
          <value t="str">
            <val>0.74</val>
          </value>
          <value t="str">
            <val>遠傳</val>
          </value>
          <value t="str">
            <val>上市通信網路</val>
          </value>
          <value t="str">
            <val>台灣前三大電信業者之一</val>
          </value>
        </values>
      </ddeItem>
      <ddeItem name="4904.TW-CName,InvestorConferenceDate,DateofMeetingofShareHolders,TradingDate" advise="1">
        <values cols="4">
          <value t="str">
            <val>遠傳</val>
          </value>
          <value t="str">
            <val>2022/11/11</val>
          </value>
          <value t="str">
            <val>2022/06/14</val>
          </value>
          <value t="str">
            <val>2022/12/22</val>
          </value>
        </values>
      </ddeItem>
      <ddeItem name="4904.TW-ID,Name,MarketValue,Capital,NetIncomeGrowthRate,OperIncomeGrowthRate,FinancialStatementsTime,TFXRatio,MonthlyNetSalesYoY,RevenueMonth" advise="1">
        <values cols="10">
          <value t="str">
            <val>4904</val>
          </value>
          <value t="str">
            <val>遠傳</val>
          </value>
          <value t="str">
            <val>2147.4</val>
          </value>
          <value t="str">
            <val>334.03</val>
          </value>
          <value t="str">
            <val>-1.29</val>
          </value>
          <value t="str">
            <val>21.92</val>
          </value>
          <value t="str">
            <val>2022/09</val>
          </value>
          <value t="str">
            <val>-3.63</val>
          </value>
          <value t="str">
            <val>-0.99</val>
          </value>
          <value t="str">
            <val>2022/11</val>
          </value>
        </values>
      </ddeItem>
      <ddeItem name="4904.TW-OperatingProfitRatio,Price,PriceChangeRatio,InOutRatioNumber,Value,YearReturn,MonthReturn,WeekReturn,FinanceBalanceDif,ChipsField2" advise="1">
        <values cols="10">
          <value t="str">
            <val>14.35</val>
          </value>
          <value>
            <val>65.900000000000006</val>
          </value>
          <value>
            <val>-0.45</val>
          </value>
          <value t="str">
            <val>37.27%</val>
          </value>
          <value t="str">
            <val>2.05億</val>
          </value>
          <value t="str">
            <val>+7.50</val>
          </value>
          <value t="str">
            <val>+0.61</val>
          </value>
          <value t="str">
            <val>-2.23</val>
          </value>
          <value>
            <val>-12</val>
          </value>
          <value>
            <val>706</val>
          </value>
        </values>
      </ddeItem>
      <ddeItem name="4906.TW-ChipsField3,ChipsField1,ChipsField25,CashAndStockDividend,CashDividendYieldRate,ProfitFourSeason,ProfitSingle,CName,ExchangeIndustry,CompanyPos" advise="1">
        <values cols="10">
          <value>
            <val>-55</val>
          </value>
          <value>
            <val>156</val>
          </value>
          <value t="str">
            <val>2022/07/04</val>
          </value>
          <value t="str">
            <val>1.54</val>
          </value>
          <value>
            <val>5.64</val>
          </value>
          <value t="str">
            <val>1.61</val>
          </value>
          <value t="str">
            <val>0.57</val>
          </value>
          <value t="str">
            <val>正文</val>
          </value>
          <value t="str">
            <val>上市通信網路</val>
          </value>
          <value t="str">
            <val>台灣無線區域網路代工大廠</val>
          </value>
        </values>
      </ddeItem>
      <ddeItem name="4906.TW-CName,InvestorConferenceDate,DateofMeetingofShareHolders,TradingDate" advise="1">
        <values cols="4">
          <value t="str">
            <val>正文</val>
          </value>
          <value t="str">
            <val>2022/12/29</val>
          </value>
          <value t="str">
            <val>2022/06/09</val>
          </value>
          <value t="str">
            <val>2022/12/22</val>
          </value>
        </values>
      </ddeItem>
      <ddeItem name="4906.TW-ID,Name,MarketValue,Capital,NetIncomeGrowthRate,OperIncomeGrowthRate,FinancialStatementsTime,TFXRatio,MonthlyNetSalesYoY,RevenueMonth" advise="1">
        <values cols="10">
          <value t="str">
            <val>4906</val>
          </value>
          <value t="str">
            <val>正文</val>
          </value>
          <value t="str">
            <val>107.7</val>
          </value>
          <value t="str">
            <val>39.46</val>
          </value>
          <value t="str">
            <val>8.98</val>
          </value>
          <value t="str">
            <val>-41.14</val>
          </value>
          <value t="str">
            <val>2022/09</val>
          </value>
          <value t="str">
            <val>3.04</val>
          </value>
          <value t="str">
            <val>68.65</val>
          </value>
          <value t="str">
            <val>2022/11</val>
          </value>
        </values>
      </ddeItem>
      <ddeItem name="4906.TW-OperatingProfitRatio,Price,PriceChangeRatio,InOutRatioNumber,Value,YearReturn,MonthReturn,WeekReturn,FinanceBalanceDif,ChipsField2" advise="1">
        <values cols="10">
          <value t="str">
            <val>1.10</val>
          </value>
          <value>
            <val>27.3</val>
          </value>
          <value>
            <val>1.49</val>
          </value>
          <value t="str">
            <val>41.53%</val>
          </value>
          <value t="str">
            <val>2177萬</val>
          </value>
          <value t="str">
            <val>-2.71</val>
          </value>
          <value t="str">
            <val>-3.02</val>
          </value>
          <value t="str">
            <val>-3.19</val>
          </value>
          <value>
            <val>-36</val>
          </value>
          <value>
            <val>0</val>
          </value>
        </values>
      </ddeItem>
      <ddeItem name="491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-10</val>
          </value>
          <value t="str">
            <val>2022/12/28</val>
          </value>
          <value t="str">
            <val>0.50</val>
          </value>
          <value>
            <val>4.83</val>
          </value>
          <value t="str">
            <val>6.72</val>
          </value>
          <value t="str">
            <val>1.97</val>
          </value>
          <value t="str">
            <val>聯德控股-K</val>
          </value>
          <value t="str">
            <val>上市電子零組件</val>
          </value>
          <value t="str">
            <val>主要從事消費性電子零件的模組沖壓廠</val>
          </value>
        </values>
      </ddeItem>
      <ddeItem name="4912.TW-CName,InvestorConferenceDate,DateofMeetingofShareHolders,TradingDate" advise="1">
        <values cols="4">
          <value t="str">
            <val>聯德控股-K</val>
          </value>
          <value t="str">
            <val>2022/12/08</val>
          </value>
          <value t="str">
            <val>2022/06/30</val>
          </value>
          <value t="str">
            <val>2022/12/22</val>
          </value>
        </values>
      </ddeItem>
      <ddeItem name="4912.TW-ID,Name,MarketValue,Capital,NetIncomeGrowthRate,OperIncomeGrowthRate,FinancialStatementsTime,TFXRatio,MonthlyNetSalesYoY,RevenueMonth" advise="1">
        <values cols="10">
          <value t="str">
            <val>4912</val>
          </value>
          <value t="str">
            <val>聯德控股-KY</val>
          </value>
          <value t="str">
            <val>49.8</val>
          </value>
          <value t="str">
            <val>6.22</val>
          </value>
          <value t="str">
            <val>-3.92</val>
          </value>
          <value t="str">
            <val>-29.87</val>
          </value>
          <value t="str">
            <val>2022/09</val>
          </value>
          <value t="str">
            <val>-7.07</val>
          </value>
          <value t="str">
            <val>-6.18</val>
          </value>
          <value t="str">
            <val>2022/11</val>
          </value>
        </values>
      </ddeItem>
      <ddeItem name="4912.TW-OperatingProfitRatio,Price,PriceChangeRatio,InOutRatioNumber,Value,YearReturn,MonthReturn,WeekReturn,FinanceBalanceDif,ChipsField2" advise="1">
        <values cols="10">
          <value t="str">
            <val>8.01</val>
          </value>
          <value>
            <val>80.099999999999994</val>
          </value>
          <value>
            <val>1.1399999999999999</val>
          </value>
          <value t="str">
            <val>40.00%</val>
          </value>
          <value t="str">
            <val>201萬</val>
          </value>
          <value t="str">
            <val>-47.84</val>
          </value>
          <value t="str">
            <val>+1.65</val>
          </value>
          <value t="str">
            <val>-3.96</val>
          </value>
          <value>
            <val>0</val>
          </value>
          <value>
            <val>0</val>
          </value>
        </values>
      </ddeItem>
      <ddeItem name="4915.TW-ChipsField3,ChipsField1,ChipsField25,CashAndStockDividend,CashDividendYieldRate,ProfitFourSeason,ProfitSingle,CName,ExchangeIndustry,CompanyPos" advise="1">
        <values cols="10">
          <value>
            <val>29</val>
          </value>
          <value>
            <val>774</val>
          </value>
          <value t="str">
            <val>2022/06/23</val>
          </value>
          <value t="str">
            <val>3.10</val>
          </value>
          <value>
            <val>5.58</val>
          </value>
          <value t="str">
            <val>5.91</val>
          </value>
          <value t="str">
            <val>1.95</val>
          </value>
          <value t="str">
            <val>致伸</val>
          </value>
          <value t="str">
            <val>上市電子零組件</val>
          </value>
          <value t="str">
            <val>台灣電腦週邊及聲學元件製造大廠，並跨入車電領域</val>
          </value>
        </values>
      </ddeItem>
      <ddeItem name="4915.TW-CName,InvestorConferenceDate,DateofMeetingofShareHolders,TradingDate" advise="1">
        <values cols="4">
          <value t="str">
            <val>致伸</val>
          </value>
          <value t="str">
            <val>2022/10/27</val>
          </value>
          <value t="str">
            <val>2022/05/26</val>
          </value>
          <value t="str">
            <val>2022/12/22</val>
          </value>
        </values>
      </ddeItem>
      <ddeItem name="4915.TW-ID,Name,MarketValue,Capital,NetIncomeGrowthRate,OperIncomeGrowthRate,FinancialStatementsTime,TFXRatio,MonthlyNetSalesYoY,RevenueMonth" advise="1">
        <values cols="10">
          <value t="str">
            <val>4915</val>
          </value>
          <value t="str">
            <val>致伸</val>
          </value>
          <value t="str">
            <val>254.8</val>
          </value>
          <value t="str">
            <val>45.83</val>
          </value>
          <value t="str">
            <val>23.42</val>
          </value>
          <value t="str">
            <val>29.76</val>
          </value>
          <value t="str">
            <val>2022/09</val>
          </value>
          <value t="str">
            <val>5.75</val>
          </value>
          <value t="str">
            <val>-2.85</val>
          </value>
          <value t="str">
            <val>2022/11</val>
          </value>
        </values>
      </ddeItem>
      <ddeItem name="4915.TW-OperatingProfitRatio,Price,PriceChangeRatio,InOutRatioNumber,Value,YearReturn,MonthReturn,WeekReturn,FinanceBalanceDif,ChipsField2" advise="1">
        <values cols="10">
          <value t="str">
            <val>4.26</val>
          </value>
          <value>
            <val>55.6</val>
          </value>
          <value>
            <val>-0.54</val>
          </value>
          <value t="str">
            <val>26.29%</val>
          </value>
          <value t="str">
            <val>1.54億</val>
          </value>
          <value t="str">
            <val>+7.11</val>
          </value>
          <value t="str">
            <val>-1.07</val>
          </value>
          <value t="str">
            <val>-3.81</val>
          </value>
          <value>
            <val>-267</val>
          </value>
          <value>
            <val>34</val>
          </value>
        </values>
      </ddeItem>
      <ddeItem name="491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122</val>
          </value>
          <value t="str">
            <val>2022/08/17</val>
          </value>
          <value t="str">
            <val>0.50</val>
          </value>
          <value>
            <val>1.9</val>
          </value>
          <value t="str">
            <val>0.63</val>
          </value>
          <value t="str">
            <val>0.03</val>
          </value>
          <value t="str">
            <val>事欣科</val>
          </value>
          <value t="str">
            <val>上市電腦及週邊設備</val>
          </value>
          <value t="str">
            <val>工業電腦及博弈機台組件事業製造廠商</val>
          </value>
        </values>
      </ddeItem>
      <ddeItem name="4916.TW-CName,InvestorConferenceDate,DateofMeetingofShareHolders,TradingDate" advise="1">
        <values cols="4">
          <value t="str">
            <val>事欣科</val>
          </value>
          <value t="str">
            <val>2022/11/29</val>
          </value>
          <value t="str">
            <val>2022/05/31</val>
          </value>
          <value t="str">
            <val>2022/12/22</val>
          </value>
        </values>
      </ddeItem>
      <ddeItem name="4916.TW-ID,Name,MarketValue,Capital,NetIncomeGrowthRate,OperIncomeGrowthRate,FinancialStatementsTime,TFXRatio,MonthlyNetSalesYoY,RevenueMonth" advise="1">
        <values cols="10">
          <value t="str">
            <val>4916</val>
          </value>
          <value t="str">
            <val>事欣科</val>
          </value>
          <value t="str">
            <val>22.0</val>
          </value>
          <value t="str">
            <val>8.34</val>
          </value>
          <value t="str">
            <val>-56.47</val>
          </value>
          <value t="str">
            <val>103.18</val>
          </value>
          <value t="str">
            <val>2022/09</val>
          </value>
          <value t="str">
            <val>16.90</val>
          </value>
          <value t="str">
            <val>97.72</val>
          </value>
          <value t="str">
            <val>2022/11</val>
          </value>
        </values>
      </ddeItem>
      <ddeItem name="4916.TW-OperatingProfitRatio,Price,PriceChangeRatio,InOutRatioNumber,Value,YearReturn,MonthReturn,WeekReturn,FinanceBalanceDif,ChipsField2" advise="1">
        <values cols="10">
          <value t="str">
            <val>0.06</val>
          </value>
          <value>
            <val>26.35</val>
          </value>
          <value>
            <val>0.38</val>
          </value>
          <value t="str">
            <val>35.39%</val>
          </value>
          <value t="str">
            <val>1133萬</val>
          </value>
          <value t="str">
            <val>-14.45</val>
          </value>
          <value t="str">
            <val>+17.90</val>
          </value>
          <value t="str">
            <val>-6.23</val>
          </value>
          <value>
            <val>-37</val>
          </value>
          <value>
            <val>0</val>
          </value>
        </values>
      </ddeItem>
      <ddeItem name="4919.TW-ChipsField3,ChipsField1,ChipsField25,CashAndStockDividend,CashDividendYieldRate,ProfitFourSeason,ProfitSingle,CName,ExchangeIndustry,CompanyPos" advise="1">
        <values cols="10">
          <value>
            <val>-94</val>
          </value>
          <value>
            <val>-710</val>
          </value>
          <value t="str">
            <val>2022/08/01</val>
          </value>
          <value t="str">
            <val>5.00</val>
          </value>
          <value>
            <val>4.18</val>
          </value>
          <value t="str">
            <val>11.05</val>
          </value>
          <value t="str">
            <val>2.25</val>
          </value>
          <value t="str">
            <val>新唐</val>
          </value>
          <value t="str">
            <val>上市半導體</val>
          </value>
          <value t="str">
            <val>華邦旗下整合元件製造(IDM)廠，提供IC設計與製造服務</val>
          </value>
        </values>
      </ddeItem>
      <ddeItem name="4919.TW-CName,InvestorConferenceDate,DateofMeetingofShareHolders,TradingDate" advise="1">
        <values cols="4">
          <value t="str">
            <val>新唐</val>
          </value>
          <value t="str">
            <val>2022/11/04</val>
          </value>
          <value t="str">
            <val>2022/06/02</val>
          </value>
          <value t="str">
            <val>2022/12/22</val>
          </value>
        </values>
      </ddeItem>
      <ddeItem name="4919.TW-ID,Name,MarketValue,Capital,NetIncomeGrowthRate,OperIncomeGrowthRate,FinancialStatementsTime,TFXRatio,MonthlyNetSalesYoY,RevenueMonth" advise="1">
        <values cols="10">
          <value t="str">
            <val>4919</val>
          </value>
          <value t="str">
            <val>新唐</val>
          </value>
          <value t="str">
            <val>501.6</val>
          </value>
          <value t="str">
            <val>41.98</val>
          </value>
          <value t="str">
            <val>89.40</val>
          </value>
          <value t="str">
            <val>80.92</val>
          </value>
          <value t="str">
            <val>2022/09</val>
          </value>
          <value t="str">
            <val>9.79</val>
          </value>
          <value t="str">
            <val>-1.22</val>
          </value>
          <value t="str">
            <val>2022/11</val>
          </value>
        </values>
      </ddeItem>
      <ddeItem name="4919.TW-OperatingProfitRatio,Price,PriceChangeRatio,InOutRatioNumber,Value,YearReturn,MonthReturn,WeekReturn,FinanceBalanceDif,ChipsField2" advise="1">
        <values cols="10">
          <value t="str">
            <val>11.84</val>
          </value>
          <value>
            <val>119.5</val>
          </value>
          <value>
            <val>-0.42</val>
          </value>
          <value t="str">
            <val>32.72%</val>
          </value>
          <value t="str">
            <val>5.17億</val>
          </value>
          <value t="str">
            <val>-10.60</val>
          </value>
          <value t="str">
            <val>+1.27</val>
          </value>
          <value t="str">
            <val>-4.40</val>
          </value>
          <value>
            <val>-294</val>
          </value>
          <value>
            <val>0</val>
          </value>
        </values>
      </ddeItem>
      <ddeItem name="4927.TW-ChipsField3,ChipsField1,ChipsField25,CashAndStockDividend,CashDividendYieldRate,ProfitFourSeason,ProfitSingle,CName,ExchangeIndustry,CompanyPos" advise="1">
        <values cols="10">
          <value>
            <val>-23</val>
          </value>
          <value>
            <val>-191</val>
          </value>
          <value t="str">
            <val>2022/07/11</val>
          </value>
          <value t="str">
            <val>4.00</val>
          </value>
          <value>
            <val>7.29</val>
          </value>
          <value t="str">
            <val>7.29</val>
          </value>
          <value t="str">
            <val>0.30</val>
          </value>
          <value t="str">
            <val>泰鼎-KY</val>
          </value>
          <value t="str">
            <val>上市電子零組件</val>
          </value>
          <value t="str">
            <val>泰國台商最大印刷電路板公司</val>
          </value>
        </values>
      </ddeItem>
      <ddeItem name="4927.TW-CName,InvestorConferenceDate,DateofMeetingofShareHolders,TradingDate" advise="1">
        <values cols="4">
          <value t="str">
            <val>泰鼎-KY</val>
          </value>
          <value t="str">
            <val>2021/08/20</val>
          </value>
          <value t="str">
            <val>2022/05/24</val>
          </value>
          <value t="str">
            <val>2022/12/22</val>
          </value>
        </values>
      </ddeItem>
      <ddeItem name="4927.TW-ID,Name,MarketValue,Capital,NetIncomeGrowthRate,OperIncomeGrowthRate,FinancialStatementsTime,TFXRatio,MonthlyNetSalesYoY,RevenueMonth" advise="1">
        <values cols="10">
          <value t="str">
            <val>4927</val>
          </value>
          <value t="str">
            <val>泰鼎-KY</val>
          </value>
          <value t="str">
            <val>104.3</val>
          </value>
          <value t="str">
            <val>18.99</val>
          </value>
          <value t="str">
            <val>0.74</val>
          </value>
          <value t="str">
            <val>0.15</val>
          </value>
          <value t="str">
            <val>2022/09</val>
          </value>
          <value t="str">
            <val>-17.86</val>
          </value>
          <value t="str">
            <val>-8.89</val>
          </value>
          <value t="str">
            <val>2022/11</val>
          </value>
        </values>
      </ddeItem>
      <ddeItem name="4927.TW-OperatingProfitRatio,Price,PriceChangeRatio,InOutRatioNumber,Value,YearReturn,MonthReturn,WeekReturn,FinanceBalanceDif,ChipsField2" advise="1">
        <values cols="10">
          <value t="str">
            <val>8.15</val>
          </value>
          <value>
            <val>54.9</val>
          </value>
          <value>
            <val>0.55000000000000004</val>
          </value>
          <value t="str">
            <val>33.33%</val>
          </value>
          <value t="str">
            <val>2312萬</val>
          </value>
          <value t="str">
            <val>-50.46</val>
          </value>
          <value t="str">
            <val>+1.10</val>
          </value>
          <value t="str">
            <val>-8.19</val>
          </value>
          <value>
            <val>1</val>
          </value>
          <value>
            <val>0</val>
          </value>
        </values>
      </ddeItem>
      <ddeItem name="4930.TW-ChipsField3,ChipsField1,ChipsField25,CashAndStockDividend,CashDividendYieldRate,ProfitFourSeason,ProfitSingle,CName,ExchangeIndustry,CompanyPos" advise="1">
        <values cols="10">
          <value>
            <val>-6</val>
          </value>
          <value>
            <val>-8</val>
          </value>
          <value t="str">
            <val>2022/03/30</val>
          </value>
          <value t="str">
            <val>4.80</val>
          </value>
          <value>
            <val>17.84</val>
          </value>
          <value t="str">
            <val>3.15</val>
          </value>
          <value t="str">
            <val>1.12</val>
          </value>
          <value t="str">
            <val>燦星網</val>
          </value>
          <value t="str">
            <val>上市電器電纜</val>
          </value>
          <value t="str">
            <val>由燦坤集團分割之小家電製造業</val>
          </value>
        </values>
      </ddeItem>
      <ddeItem name="4930.TW-CName,InvestorConferenceDate,DateofMeetingofShareHolders,TradingDate" advise="1">
        <values cols="4">
          <value t="str">
            <val>燦星網</val>
          </value>
          <value t="str">
            <val>2022/12/14</val>
          </value>
          <value t="str">
            <val>2022/06/22</val>
          </value>
          <value t="str">
            <val>2022/12/22</val>
          </value>
        </values>
      </ddeItem>
      <ddeItem name="4930.TW-ID,Name,MarketValue,Capital,NetIncomeGrowthRate,OperIncomeGrowthRate,FinancialStatementsTime,TFXRatio,MonthlyNetSalesYoY,RevenueMonth" advise="1">
        <values cols="10">
          <value t="str">
            <val>4930</val>
          </value>
          <value t="str">
            <val>燦星網</val>
          </value>
          <value t="str">
            <val>21.5</val>
          </value>
          <value t="str">
            <val>8.00</val>
          </value>
          <value t="str">
            <val>-32.56</val>
          </value>
          <value t="str">
            <val>-45.65</val>
          </value>
          <value t="str">
            <val>2022/09</val>
          </value>
          <value t="str">
            <val>-4.83</val>
          </value>
          <value t="str">
            <val>-32.55</val>
          </value>
          <value t="str">
            <val>2022/11</val>
          </value>
        </values>
      </ddeItem>
      <ddeItem name="4930.TW-OperatingProfitRatio,Price,PriceChangeRatio,InOutRatioNumber,Value,YearReturn,MonthReturn,WeekReturn,FinanceBalanceDif,ChipsField2" advise="1">
        <values cols="10">
          <value t="str">
            <val>5.22</val>
          </value>
          <value>
            <val>26.9</val>
          </value>
          <value>
            <val>1.51</val>
          </value>
          <value t="str">
            <val>39.68%</val>
          </value>
          <value t="str">
            <val>169萬</val>
          </value>
          <value t="str">
            <val>-13.54</val>
          </value>
          <value t="str">
            <val>+3.07</val>
          </value>
          <value t="str">
            <val>-1.47</val>
          </value>
          <value>
            <val>-6</val>
          </value>
          <value>
            <val>0</val>
          </value>
        </values>
      </ddeItem>
      <ddeItem name="493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-42</val>
          </value>
          <value t="str">
            <val>--</val>
          </value>
          <value t="str">
            <val>0.00</val>
          </value>
          <value>
            <val>0</val>
          </value>
          <value t="str">
            <val>-2.32</val>
          </value>
          <value t="str">
            <val>0.11</val>
          </value>
          <value t="str">
            <val>太極</val>
          </value>
          <value t="str">
            <val>上市光電</val>
          </value>
          <value t="str">
            <val>廣運轉投資之太陽能電池廠</val>
          </value>
        </values>
      </ddeItem>
      <ddeItem name="4934.TW-CName,InvestorConferenceDate,DateofMeetingofShareHolders,TradingDate" advise="1">
        <values cols="4">
          <value t="str">
            <val>太極</val>
          </value>
          <value t="str">
            <val>2021/11/17</val>
          </value>
          <value t="str">
            <val>2022/06/23</val>
          </value>
          <value t="str">
            <val>2022/12/22</val>
          </value>
        </values>
      </ddeItem>
      <ddeItem name="4934.TW-ID,Name,MarketValue,Capital,NetIncomeGrowthRate,OperIncomeGrowthRate,FinancialStatementsTime,TFXRatio,MonthlyNetSalesYoY,RevenueMonth" advise="1">
        <values cols="10">
          <value t="str">
            <val>4934</val>
          </value>
          <value t="str">
            <val>太極</val>
          </value>
          <value t="str">
            <val>61.9</val>
          </value>
          <value t="str">
            <val>22.50</val>
          </value>
          <value t="str">
            <val>71.43</val>
          </value>
          <value t="str">
            <val>71.42</val>
          </value>
          <value t="str">
            <val>2022/09</val>
          </value>
          <value t="str">
            <val>10.23</val>
          </value>
          <value t="str">
            <val>107.28</val>
          </value>
          <value t="str">
            <val>2022/11</val>
          </value>
        </values>
      </ddeItem>
      <ddeItem name="4934.TW-OperatingProfitRatio,Price,PriceChangeRatio,InOutRatioNumber,Value,YearReturn,MonthReturn,WeekReturn,FinanceBalanceDif,ChipsField2" advise="1">
        <values cols="10">
          <value t="str">
            <val>-8.37</val>
          </value>
          <value>
            <val>27.5</val>
          </value>
          <value>
            <val>3.77</val>
          </value>
          <value t="str">
            <val>56.91%</val>
          </value>
          <value t="str">
            <val>1694萬</val>
          </value>
          <value t="str">
            <val>-18.64</val>
          </value>
          <value t="str">
            <val>+1.85</val>
          </value>
          <value t="str">
            <val>-5.66</val>
          </value>
          <value>
            <val>0</val>
          </value>
          <value>
            <val>0</val>
          </value>
        </values>
      </ddeItem>
      <ddeItem name="4935.TW-ChipsField3,ChipsField1,ChipsField25,CashAndStockDividend,CashDividendYieldRate,ProfitFourSeason,ProfitSingle,CName,ExchangeIndustry,CompanyPos" advise="1">
        <values cols="10">
          <value>
            <val>-5</val>
          </value>
          <value>
            <val>-4</val>
          </value>
          <value t="str">
            <val>2022/07/26</val>
          </value>
          <value t="str">
            <val>5.00</val>
          </value>
          <value>
            <val>8.7899999999999991</val>
          </value>
          <value t="str">
            <val>8.52</val>
          </value>
          <value t="str">
            <val>3.84</val>
          </value>
          <value t="str">
            <val>茂林-KY</val>
          </value>
          <value t="str">
            <val>上市光電</val>
          </value>
          <value t="str">
            <val>台灣導光板大廠</val>
          </value>
        </values>
      </ddeItem>
      <ddeItem name="4935.TW-CName,InvestorConferenceDate,DateofMeetingofShareHolders,TradingDate" advise="1">
        <values cols="4">
          <value t="str">
            <val>茂林-KY</val>
          </value>
          <value t="str">
            <val>2022/09/08</val>
          </value>
          <value t="str">
            <val>2022/05/26</val>
          </value>
          <value t="str">
            <val>2022/12/22</val>
          </value>
        </values>
      </ddeItem>
      <ddeItem name="4935.TW-ID,Name,MarketValue,Capital,NetIncomeGrowthRate,OperIncomeGrowthRate,FinancialStatementsTime,TFXRatio,MonthlyNetSalesYoY,RevenueMonth" advise="1">
        <values cols="10">
          <value t="str">
            <val>4935</val>
          </value>
          <value t="str">
            <val>茂林-KY</val>
          </value>
          <value t="str">
            <val>73.3</val>
          </value>
          <value t="str">
            <val>12.89</val>
          </value>
          <value t="str">
            <val>-17.74</val>
          </value>
          <value t="str">
            <val>-25.64</val>
          </value>
          <value t="str">
            <val>2022/09</val>
          </value>
          <value t="str">
            <val>-21.41</val>
          </value>
          <value t="str">
            <val>-24.36</val>
          </value>
          <value t="str">
            <val>2022/11</val>
          </value>
        </values>
      </ddeItem>
      <ddeItem name="4935.TW-OperatingProfitRatio,Price,PriceChangeRatio,InOutRatioNumber,Value,YearReturn,MonthReturn,WeekReturn,FinanceBalanceDif,ChipsField2" advise="1">
        <values cols="10">
          <value t="str">
            <val>9.76</val>
          </value>
          <value>
            <val>56.9</val>
          </value>
          <value>
            <val>0.35</val>
          </value>
          <value t="str">
            <val>51.92%</val>
          </value>
          <value t="str">
            <val>358萬</val>
          </value>
          <value t="str">
            <val>-21.66</val>
          </value>
          <value t="str">
            <val>-10.95</val>
          </value>
          <value t="str">
            <val>-3.56</val>
          </value>
          <value>
            <val>0</val>
          </value>
          <value>
            <val>0</val>
          </value>
        </values>
      </ddeItem>
      <ddeItem name="4938.TW-ChipsField3,ChipsField1,ChipsField25,CashAndStockDividend,CashDividendYieldRate,ProfitFourSeason,ProfitSingle,CName,ExchangeIndustry,CompanyPos" advise="1">
        <values cols="10">
          <value>
            <val>-42</val>
          </value>
          <value>
            <val>11460</val>
          </value>
          <value t="str">
            <val>2022/06/30</val>
          </value>
          <value t="str">
            <val>5.00</val>
          </value>
          <value>
            <val>7.81</val>
          </value>
          <value t="str">
            <val>6.71</val>
          </value>
          <value t="str">
            <val>1.97</val>
          </value>
          <value t="str">
            <val>和碩</val>
          </value>
          <value t="str">
            <val>上市電腦及週邊設備</val>
          </value>
          <value t="str">
            <val>全球前五大NB代工廠</val>
          </value>
        </values>
      </ddeItem>
      <ddeItem name="4938.TW-CName,InvestorConferenceDate,DateofMeetingofShareHolders,TradingDate" advise="1">
        <values cols="4">
          <value t="str">
            <val>和碩</val>
          </value>
          <value t="str">
            <val>2021/03/25</val>
          </value>
          <value t="str">
            <val>2022/06/15</val>
          </value>
          <value t="str">
            <val>2022/12/22</val>
          </value>
        </values>
      </ddeItem>
      <ddeItem name="4938.TW-ID,Name,MarketValue,Capital,NetIncomeGrowthRate,OperIncomeGrowthRate,FinancialStatementsTime,TFXRatio,MonthlyNetSalesYoY,RevenueMonth" advise="1">
        <values cols="10">
          <value t="str">
            <val>4938</val>
          </value>
          <value t="str">
            <val>和碩</val>
          </value>
          <value t="str">
            <val>1707.5</val>
          </value>
          <value t="str">
            <val>266.76</val>
          </value>
          <value t="str">
            <val>-4.26</val>
          </value>
          <value t="str">
            <val>102.58</val>
          </value>
          <value t="str">
            <val>2022/09</val>
          </value>
          <value t="str">
            <val>-13.90</val>
          </value>
          <value t="str">
            <val>-28.29</val>
          </value>
          <value t="str">
            <val>2022/11</val>
          </value>
        </values>
      </ddeItem>
      <ddeItem name="4938.TW-OperatingProfitRatio,Price,PriceChangeRatio,InOutRatioNumber,Value,YearReturn,MonthReturn,WeekReturn,FinanceBalanceDif,ChipsField2" advise="1">
        <values cols="10">
          <value t="str">
            <val>1.92</val>
          </value>
          <value>
            <val>64</val>
          </value>
          <value>
            <val>0.47</val>
          </value>
          <value t="str">
            <val>26.53%</val>
          </value>
          <value t="str">
            <val>10.8億</val>
          </value>
          <value t="str">
            <val>+0.70</val>
          </value>
          <value t="str">
            <val>+7.74</val>
          </value>
          <value t="str">
            <val>+1.11</val>
          </value>
          <value>
            <val>-44</val>
          </value>
          <value>
            <val>-10914</val>
          </value>
        </values>
      </ddeItem>
      <ddeItem name="4942.TW-ChipsField3,ChipsField1,ChipsField25,CashAndStockDividend,CashDividendYieldRate,ProfitFourSeason,ProfitSingle,CName,ExchangeIndustry,CompanyPos" advise="1">
        <values cols="10">
          <value>
            <val>-5</val>
          </value>
          <value>
            <val>-16</val>
          </value>
          <value t="str">
            <val>2022/08/25</val>
          </value>
          <value t="str">
            <val>3.00</val>
          </value>
          <value>
            <val>8.4</val>
          </value>
          <value t="str">
            <val>5.68</val>
          </value>
          <value t="str">
            <val>1.54</val>
          </value>
          <value t="str">
            <val>嘉彰</val>
          </value>
          <value t="str">
            <val>上市光電</val>
          </value>
          <value t="str">
            <val>台灣TFT框架、背板等零組件沖壓廠</val>
          </value>
        </values>
      </ddeItem>
      <ddeItem name="4942.TW-CName,InvestorConferenceDate,DateofMeetingofShareHolders,TradingDate" advise="1">
        <values cols="4">
          <value t="str">
            <val>嘉彰</val>
          </value>
          <value t="str">
            <val>2022/09/14</val>
          </value>
          <value t="str">
            <val>2022/06/22</val>
          </value>
          <value t="str">
            <val>2022/12/22</val>
          </value>
        </values>
      </ddeItem>
      <ddeItem name="4942.TW-ID,Name,MarketValue,Capital,NetIncomeGrowthRate,OperIncomeGrowthRate,FinancialStatementsTime,TFXRatio,MonthlyNetSalesYoY,RevenueMonth" advise="1">
        <values cols="10">
          <value t="str">
            <val>4942</val>
          </value>
          <value t="str">
            <val>嘉彰</val>
          </value>
          <value t="str">
            <val>50.8</val>
          </value>
          <value t="str">
            <val>14.24</val>
          </value>
          <value t="str">
            <val>-14.20</val>
          </value>
          <value t="str">
            <val>-23.20</val>
          </value>
          <value t="str">
            <val>2022/09</val>
          </value>
          <value t="str">
            <val>9.60</val>
          </value>
          <value t="str">
            <val>-27.35</val>
          </value>
          <value t="str">
            <val>2022/11</val>
          </value>
        </values>
      </ddeItem>
      <ddeItem name="4942.TW-OperatingProfitRatio,Price,PriceChangeRatio,InOutRatioNumber,Value,YearReturn,MonthReturn,WeekReturn,FinanceBalanceDif,ChipsField2" advise="1">
        <values cols="10">
          <value t="str">
            <val>10.93</val>
          </value>
          <value>
            <val>35.700000000000003</val>
          </value>
          <value>
            <val>0.28000000000000003</val>
          </value>
          <value t="str">
            <val>39.02%</val>
          </value>
          <value t="str">
            <val>147萬</val>
          </value>
          <value t="str">
            <val>-17.97</val>
          </value>
          <value t="str">
            <val>-0.28</val>
          </value>
          <value t="str">
            <val>-1.24</val>
          </value>
          <value>
            <val>-7</val>
          </value>
          <value>
            <val>0</val>
          </value>
        </values>
      </ddeItem>
      <ddeItem name="494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-9.85</val>
          </value>
          <value t="str">
            <val>-1.68</val>
          </value>
          <value t="str">
            <val>康控-KY</val>
          </value>
          <value t="str">
            <val>上市電子零組件</val>
          </value>
          <value t="str">
            <val>轉型以客製化聲學元件及汽車零組件</val>
          </value>
        </values>
      </ddeItem>
      <ddeItem name="4943.TW-CName,InvestorConferenceDate,DateofMeetingofShareHolders,TradingDate" advise="1">
        <values cols="4">
          <value t="str">
            <val>康控-KY</val>
          </value>
          <value t="str">
            <val>2022/12/19</val>
          </value>
          <value t="str">
            <val>2023/01/09</val>
          </value>
          <value t="str">
            <val>2022/12/22</val>
          </value>
        </values>
      </ddeItem>
      <ddeItem name="4943.TW-ID,Name,MarketValue,Capital,NetIncomeGrowthRate,OperIncomeGrowthRate,FinancialStatementsTime,TFXRatio,MonthlyNetSalesYoY,RevenueMonth" advise="1">
        <values cols="10">
          <value t="str">
            <val>4943</val>
          </value>
          <value t="str">
            <val>康控-KY</val>
          </value>
          <value t="str">
            <val>15.2</val>
          </value>
          <value t="str">
            <val>15.64</val>
          </value>
          <value t="str">
            <val>70.69</val>
          </value>
          <value t="str">
            <val>69.39</val>
          </value>
          <value t="str">
            <val>2022/09</val>
          </value>
          <value t="str">
            <val>12.78</val>
          </value>
          <value t="str">
            <val>-41.23</val>
          </value>
          <value t="str">
            <val>2022/11</val>
          </value>
        </values>
      </ddeItem>
      <ddeItem name="4943.TW-OperatingProfitRatio,Price,PriceChangeRatio,InOutRatioNumber,Value,YearReturn,MonthReturn,WeekReturn,FinanceBalanceDif,ChipsField2" advise="1">
        <values cols="10">
          <value t="str">
            <val>-72.99</val>
          </value>
          <value>
            <val>9.7100000000000009</val>
          </value>
          <value>
            <val>9.9700000000000006</val>
          </value>
          <value t="str">
            <val>100.00%</val>
          </value>
          <value t="str">
            <val>165萬</val>
          </value>
          <value t="str">
            <val>-70.75</val>
          </value>
          <value t="str">
            <val>+27.93</val>
          </value>
          <value t="str">
            <val>+38.71</val>
          </value>
          <value>
            <val>0</val>
          </value>
          <value>
            <val>0</val>
          </value>
        </values>
      </ddeItem>
      <ddeItem name="4952.TW-ChipsField3,ChipsField1,ChipsField25,CashAndStockDividend,CashDividendYieldRate,ProfitFourSeason,ProfitSingle,CName,ExchangeIndustry,CompanyPos" advise="1">
        <values cols="10">
          <value>
            <val>-6</val>
          </value>
          <value>
            <val>-43</val>
          </value>
          <value t="str">
            <val>2022/06/22</val>
          </value>
          <value t="str">
            <val>5.40</val>
          </value>
          <value>
            <val>11.3</val>
          </value>
          <value t="str">
            <val>6.63</val>
          </value>
          <value t="str">
            <val>1.07</val>
          </value>
          <value t="str">
            <val>凌通</val>
          </value>
          <value t="str">
            <val>上市半導體</val>
          </value>
          <value t="str">
            <val>凌陽轉投資的消費性IC廠</val>
          </value>
        </values>
      </ddeItem>
      <ddeItem name="4952.TW-CName,InvestorConferenceDate,DateofMeetingofShareHolders,TradingDate" advise="1">
        <values cols="4">
          <value t="str">
            <val>凌通</val>
          </value>
          <value t="str">
            <val>2022/08/17</val>
          </value>
          <value t="str">
            <val>2022/05/27</val>
          </value>
          <value t="str">
            <val>2022/12/22</val>
          </value>
        </values>
      </ddeItem>
      <ddeItem name="4952.TW-ID,Name,MarketValue,Capital,NetIncomeGrowthRate,OperIncomeGrowthRate,FinancialStatementsTime,TFXRatio,MonthlyNetSalesYoY,RevenueMonth" advise="1">
        <values cols="10">
          <value t="str">
            <val>4952</val>
          </value>
          <value t="str">
            <val>凌通</val>
          </value>
          <value t="str">
            <val>52.0</val>
          </value>
          <value t="str">
            <val>10.88</val>
          </value>
          <value t="str">
            <val>12.63</val>
          </value>
          <value t="str">
            <val>1.27</val>
          </value>
          <value t="str">
            <val>2022/09</val>
          </value>
          <value t="str">
            <val>-13.45</val>
          </value>
          <value t="str">
            <val>-42.95</val>
          </value>
          <value t="str">
            <val>2022/11</val>
          </value>
        </values>
      </ddeItem>
      <ddeItem name="4952.TW-OperatingProfitRatio,Price,PriceChangeRatio,InOutRatioNumber,Value,YearReturn,MonthReturn,WeekReturn,FinanceBalanceDif,ChipsField2" advise="1">
        <values cols="10">
          <value t="str">
            <val>22.17</val>
          </value>
          <value>
            <val>47.8</val>
          </value>
          <value>
            <val>1.59</val>
          </value>
          <value t="str">
            <val>40.36%</val>
          </value>
          <value t="str">
            <val>3929萬</val>
          </value>
          <value t="str">
            <val>-22.92</val>
          </value>
          <value t="str">
            <val>-0.21</val>
          </value>
          <value t="str">
            <val>-1.44</val>
          </value>
          <value>
            <val>25</val>
          </value>
          <value>
            <val>0</val>
          </value>
        </values>
      </ddeItem>
      <ddeItem name="495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</val>
          </value>
          <value t="str">
            <val>2022/08/24</val>
          </value>
          <value t="str">
            <val>0.40</val>
          </value>
          <value>
            <val>2.77</val>
          </value>
          <value t="str">
            <val>0.25</val>
          </value>
          <value t="str">
            <val>-0.16</val>
          </value>
          <value t="str">
            <val>光鋐</val>
          </value>
          <value t="str">
            <val>上市光電</val>
          </value>
          <value t="str">
            <val>鴻海集團轉投資的LED磊晶廠</val>
          </value>
        </values>
      </ddeItem>
      <ddeItem name="4956.TW-CName,InvestorConferenceDate,DateofMeetingofShareHolders,TradingDate" advise="1">
        <values cols="4">
          <value t="str">
            <val>光鋐</val>
          </value>
          <value t="str">
            <val>2022/11/17</val>
          </value>
          <value t="str">
            <val>2022/06/16</val>
          </value>
          <value t="str">
            <val>2022/12/22</val>
          </value>
        </values>
      </ddeItem>
      <ddeItem name="4956.TW-ID,Name,MarketValue,Capital,NetIncomeGrowthRate,OperIncomeGrowthRate,FinancialStatementsTime,TFXRatio,MonthlyNetSalesYoY,RevenueMonth" advise="1">
        <values cols="10">
          <value t="str">
            <val>4956</val>
          </value>
          <value t="str">
            <val>光鋐</val>
          </value>
          <value t="str">
            <val>14.5</val>
          </value>
          <value t="str">
            <val>10.04</val>
          </value>
          <value t="str">
            <val>-103.96</val>
          </value>
          <value t="str">
            <val>-125.44</val>
          </value>
          <value t="str">
            <val>2022/09</val>
          </value>
          <value t="str">
            <val>-10.17</val>
          </value>
          <value t="str">
            <val>-31.97</val>
          </value>
          <value t="str">
            <val>2022/11</val>
          </value>
        </values>
      </ddeItem>
      <ddeItem name="4956.TW-OperatingProfitRatio,Price,PriceChangeRatio,InOutRatioNumber,Value,YearReturn,MonthReturn,WeekReturn,FinanceBalanceDif,ChipsField2" advise="1">
        <values cols="10">
          <value t="str">
            <val>-3.46</val>
          </value>
          <value>
            <val>14.45</val>
          </value>
          <value>
            <val>1.76</val>
          </value>
          <value t="str">
            <val>66.83%</val>
          </value>
          <value t="str">
            <val>300萬</val>
          </value>
          <value t="str">
            <val>-43.10</val>
          </value>
          <value t="str">
            <val>+0.35</val>
          </value>
          <value t="str">
            <val>-3.02</val>
          </value>
          <value>
            <val>9</val>
          </value>
          <value>
            <val>0</val>
          </value>
        </values>
      </ddeItem>
      <ddeItem name="4958.TW-ChipsField3,ChipsField1,ChipsField25,CashAndStockDividend,CashDividendYieldRate,ProfitFourSeason,ProfitSingle,CName,ExchangeIndustry,CompanyPos" advise="1">
        <values cols="10">
          <value>
            <val>-375</val>
          </value>
          <value>
            <val>-5963</val>
          </value>
          <value t="str">
            <val>2022/06/20</val>
          </value>
          <value t="str">
            <val>5.00</val>
          </value>
          <value>
            <val>4.57</val>
          </value>
          <value t="str">
            <val>15.20</val>
          </value>
          <value t="str">
            <val>5.27</val>
          </value>
          <value t="str">
            <val>臻鼎-KY</val>
          </value>
          <value t="str">
            <val>上市電子零組件</val>
          </value>
          <value t="str">
            <val>鴻海轉投資的全球第一大PCB廠</val>
          </value>
        </values>
      </ddeItem>
      <ddeItem name="4958.TW-CName,InvestorConferenceDate,DateofMeetingofShareHolders,TradingDate" advise="1">
        <values cols="4">
          <value t="str">
            <val>臻鼎-KY</val>
          </value>
          <value t="str">
            <val>2022/08/09</val>
          </value>
          <value t="str">
            <val>2022/05/31</val>
          </value>
          <value t="str">
            <val>2022/12/22</val>
          </value>
        </values>
      </ddeItem>
      <ddeItem name="4958.TW-ID,Name,MarketValue,Capital,NetIncomeGrowthRate,OperIncomeGrowthRate,FinancialStatementsTime,TFXRatio,MonthlyNetSalesYoY,RevenueMonth" advise="1">
        <values cols="10">
          <value t="str">
            <val>4958</val>
          </value>
          <value t="str">
            <val>臻鼎-KY</val>
          </value>
          <value t="str">
            <val>1037.0</val>
          </value>
          <value t="str">
            <val>94.70</val>
          </value>
          <value t="str">
            <val>100.15</val>
          </value>
          <value t="str">
            <val>83.92</val>
          </value>
          <value t="str">
            <val>2022/09</val>
          </value>
          <value t="str">
            <val>-29.11</val>
          </value>
          <value t="str">
            <val>-22.39</val>
          </value>
          <value t="str">
            <val>2022/11</val>
          </value>
        </values>
      </ddeItem>
      <ddeItem name="4958.TW-OperatingProfitRatio,Price,PriceChangeRatio,InOutRatioNumber,Value,YearReturn,MonthReturn,WeekReturn,FinanceBalanceDif,ChipsField2" advise="1">
        <values cols="10">
          <value t="str">
            <val>11.61</val>
          </value>
          <value>
            <val>109.5</val>
          </value>
          <value>
            <val>0.46</val>
          </value>
          <value t="str">
            <val>69.14%</val>
          </value>
          <value t="str">
            <val>11.1億</val>
          </value>
          <value t="str">
            <val>+17.12</val>
          </value>
          <value t="str">
            <val>-7.98</val>
          </value>
          <value t="str">
            <val>-6.01</val>
          </value>
          <value>
            <val>134</val>
          </value>
          <value>
            <val>5638</val>
          </value>
        </values>
      </ddeItem>
      <ddeItem name="4960.TW-ChipsField3,ChipsField1,ChipsField25,CashAndStockDividend,CashDividendYieldRate,ProfitFourSeason,ProfitSingle,CName,ExchangeIndustry,CompanyPos" advise="1">
        <values cols="10">
          <value>
            <val>-6</val>
          </value>
          <value>
            <val>54</val>
          </value>
          <value t="str">
            <val>2022/07/15</val>
          </value>
          <value t="str">
            <val>0.50</val>
          </value>
          <value>
            <val>5.12</val>
          </value>
          <value t="str">
            <val>0.93</val>
          </value>
          <value t="str">
            <val>0.36</val>
          </value>
          <value t="str">
            <val>誠美材</val>
          </value>
          <value t="str">
            <val>上市光電</val>
          </value>
          <value t="str">
            <val>台灣第二大偏光板供應商</val>
          </value>
        </values>
      </ddeItem>
      <ddeItem name="4960.TW-CName,InvestorConferenceDate,DateofMeetingofShareHolders,TradingDate" advise="1">
        <values cols="4">
          <value t="str">
            <val>誠美材</val>
          </value>
          <value t="str">
            <val>2022/12/19</val>
          </value>
          <value t="str">
            <val>2022/12/30</val>
          </value>
          <value t="str">
            <val>2022/12/22</val>
          </value>
        </values>
      </ddeItem>
      <ddeItem name="4960.TW-ID,Name,MarketValue,Capital,NetIncomeGrowthRate,OperIncomeGrowthRate,FinancialStatementsTime,TFXRatio,MonthlyNetSalesYoY,RevenueMonth" advise="1">
        <values cols="10">
          <value t="str">
            <val>4960</val>
          </value>
          <value t="str">
            <val>誠美材</val>
          </value>
          <value t="str">
            <val>65.9</val>
          </value>
          <value t="str">
            <val>67.51</val>
          </value>
          <value t="str">
            <val>-20.01</val>
          </value>
          <value t="str">
            <val>-35.81</val>
          </value>
          <value t="str">
            <val>2022/09</val>
          </value>
          <value t="str">
            <val>20.73</val>
          </value>
          <value t="str">
            <val>-31.23</val>
          </value>
          <value t="str">
            <val>2022/11</val>
          </value>
        </values>
      </ddeItem>
      <ddeItem name="4960.TW-OperatingProfitRatio,Price,PriceChangeRatio,InOutRatioNumber,Value,YearReturn,MonthReturn,WeekReturn,FinanceBalanceDif,ChipsField2" advise="1">
        <values cols="10">
          <value t="str">
            <val>1.32</val>
          </value>
          <value>
            <val>9.76</val>
          </value>
          <value>
            <val>1.1399999999999999</val>
          </value>
          <value t="str">
            <val>61.54%</val>
          </value>
          <value t="str">
            <val>540萬</val>
          </value>
          <value t="str">
            <val>-20.22</val>
          </value>
          <value t="str">
            <val>-1.41</val>
          </value>
          <value t="str">
            <val>-2.40</val>
          </value>
          <value>
            <val>22</val>
          </value>
          <value>
            <val>0</val>
          </value>
        </values>
      </ddeItem>
      <ddeItem name="4961.TW-ChipsField3,ChipsField1,ChipsField25,CashAndStockDividend,CashDividendYieldRate,ProfitFourSeason,ProfitSingle,CName,ExchangeIndustry,CompanyPos" advise="1">
        <values cols="10">
          <value>
            <val>-4</val>
          </value>
          <value>
            <val>-114</val>
          </value>
          <value t="str">
            <val>2022/08/04</val>
          </value>
          <value t="str">
            <val>17.00</val>
          </value>
          <value>
            <val>14.66</val>
          </value>
          <value t="str">
            <val>22.53</val>
          </value>
          <value t="str">
            <val>2.48</val>
          </value>
          <value t="str">
            <val>天鈺</val>
          </value>
          <value t="str">
            <val>上市半導體</val>
          </value>
          <value t="str">
            <val>鴻海旗下顯示器驅動IC設計廠</val>
          </value>
        </values>
      </ddeItem>
      <ddeItem name="4961.TW-CName,InvestorConferenceDate,DateofMeetingofShareHolders,TradingDate" advise="1">
        <values cols="4">
          <value t="str">
            <val>天鈺</val>
          </value>
          <value t="str">
            <val>2022/11/04</val>
          </value>
          <value t="str">
            <val>2022/06/22</val>
          </value>
          <value t="str">
            <val>2022/12/22</val>
          </value>
        </values>
      </ddeItem>
      <ddeItem name="4961.TW-ID,Name,MarketValue,Capital,NetIncomeGrowthRate,OperIncomeGrowthRate,FinancialStatementsTime,TFXRatio,MonthlyNetSalesYoY,RevenueMonth" advise="1">
        <values cols="10">
          <value t="str">
            <val>4961</val>
          </value>
          <value t="str">
            <val>天鈺</val>
          </value>
          <value t="str">
            <val>216.4</val>
          </value>
          <value t="str">
            <val>18.65</val>
          </value>
          <value t="str">
            <val>-39.24</val>
          </value>
          <value t="str">
            <val>-38.29</val>
          </value>
          <value t="str">
            <val>2022/09</val>
          </value>
          <value t="str">
            <val>14.97</val>
          </value>
          <value t="str">
            <val>-32.04</val>
          </value>
          <value t="str">
            <val>2022/11</val>
          </value>
        </values>
      </ddeItem>
      <ddeItem name="4961.TW-OperatingProfitRatio,Price,PriceChangeRatio,InOutRatioNumber,Value,YearReturn,MonthReturn,WeekReturn,FinanceBalanceDif,ChipsField2" advise="1">
        <values cols="10">
          <value t="str">
            <val>22.75</val>
          </value>
          <value>
            <val>116</val>
          </value>
          <value>
            <val>1.75</val>
          </value>
          <value t="str">
            <val>56.19%</val>
          </value>
          <value t="str">
            <val>1.61億</val>
          </value>
          <value t="str">
            <val>-52.79</val>
          </value>
          <value t="str">
            <val>-3.33</val>
          </value>
          <value t="str">
            <val>-3.33</val>
          </value>
          <value>
            <val>-26</val>
          </value>
          <value>
            <val>0</val>
          </value>
        </values>
      </ddeItem>
      <ddeItem name="496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-6</val>
          </value>
          <value t="str">
            <val>--</val>
          </value>
          <value t="str">
            <val>0.00</val>
          </value>
          <value>
            <val>0</val>
          </value>
          <value t="str">
            <val>-2.99</val>
          </value>
          <value t="str">
            <val>-1.12</val>
          </value>
          <value t="str">
            <val>十銓</val>
          </value>
          <value t="str">
            <val>上市半導體</val>
          </value>
          <value t="str">
            <val>全球知名DRAM模組廠</val>
          </value>
        </values>
      </ddeItem>
      <ddeItem name="4967.TW-CName,InvestorConferenceDate,DateofMeetingofShareHolders,TradingDate" advise="1">
        <values cols="4">
          <value t="str">
            <val>十銓</val>
          </value>
          <value t="str">
            <val>2022/12/15</val>
          </value>
          <value t="str">
            <val>2022/06/30</val>
          </value>
          <value t="str">
            <val>2022/12/22</val>
          </value>
        </values>
      </ddeItem>
      <ddeItem name="4967.TW-ID,Name,MarketValue,Capital,NetIncomeGrowthRate,OperIncomeGrowthRate,FinancialStatementsTime,TFXRatio,MonthlyNetSalesYoY,RevenueMonth" advise="1">
        <values cols="10">
          <value t="str">
            <val>4967</val>
          </value>
          <value t="str">
            <val>十銓</val>
          </value>
          <value t="str">
            <val>21.6</val>
          </value>
          <value t="str">
            <val>7.15</val>
          </value>
          <value t="str">
            <val>-170.52</val>
          </value>
          <value t="str">
            <val>-272.77</val>
          </value>
          <value t="str">
            <val>2022/09</val>
          </value>
          <value t="str">
            <val>17.51</val>
          </value>
          <value t="str">
            <val>-20.81</val>
          </value>
          <value t="str">
            <val>2022/11</val>
          </value>
        </values>
      </ddeItem>
      <ddeItem name="4967.TW-OperatingProfitRatio,Price,PriceChangeRatio,InOutRatioNumber,Value,YearReturn,MonthReturn,WeekReturn,FinanceBalanceDif,ChipsField2" advise="1">
        <values cols="10">
          <value t="str">
            <val>-2.92</val>
          </value>
          <value>
            <val>30.2</val>
          </value>
          <value>
            <val>1.34</val>
          </value>
          <value t="str">
            <val>50.56%</val>
          </value>
          <value t="str">
            <val>271萬</val>
          </value>
          <value t="str">
            <val>-49.81</val>
          </value>
          <value t="str">
            <val>-2.89</val>
          </value>
          <value t="str">
            <val>-1.31</val>
          </value>
          <value>
            <val>1</val>
          </value>
          <value>
            <val>0</val>
          </value>
        </values>
      </ddeItem>
      <ddeItem name="4968.TW-ChipsField3,ChipsField1,ChipsField25,CashAndStockDividend,CashDividendYieldRate,ProfitFourSeason,ProfitSingle,CName,ExchangeIndustry,CompanyPos" advise="1">
        <values cols="10">
          <value>
            <val>-47</val>
          </value>
          <value>
            <val>-18</val>
          </value>
          <value t="str">
            <val>2022/07/04</val>
          </value>
          <value t="str">
            <val>3.50</val>
          </value>
          <value>
            <val>3.15</val>
          </value>
          <value t="str">
            <val>0.76</val>
          </value>
          <value t="str">
            <val>1.10</val>
          </value>
          <value t="str">
            <val>立積</val>
          </value>
          <value t="str">
            <val>上市半導體</val>
          </value>
          <value t="str">
            <val>台灣採用矽及砷化鎵技術的RF射頻前端IC廠</val>
          </value>
        </values>
      </ddeItem>
      <ddeItem name="4968.TW-CName,InvestorConferenceDate,DateofMeetingofShareHolders,TradingDate" advise="1">
        <values cols="4">
          <value t="str">
            <val>立積</val>
          </value>
          <value t="str">
            <val>2022/10/27</val>
          </value>
          <value t="str">
            <val>2022/05/26</val>
          </value>
          <value t="str">
            <val>2022/12/22</val>
          </value>
        </values>
      </ddeItem>
      <ddeItem name="4968.TW-ID,Name,MarketValue,Capital,NetIncomeGrowthRate,OperIncomeGrowthRate,FinancialStatementsTime,TFXRatio,MonthlyNetSalesYoY,RevenueMonth" advise="1">
        <values cols="10">
          <value t="str">
            <val>4968</val>
          </value>
          <value t="str">
            <val>立積</val>
          </value>
          <value t="str">
            <val>100.1</val>
          </value>
          <value t="str">
            <val>9.02</val>
          </value>
          <value t="str">
            <val>-74.23</val>
          </value>
          <value t="str">
            <val>-96.54</val>
          </value>
          <value t="str">
            <val>2022/09</val>
          </value>
          <value t="str">
            <val>-9.01</val>
          </value>
          <value t="str">
            <val>16.14</val>
          </value>
          <value t="str">
            <val>2022/11</val>
          </value>
        </values>
      </ddeItem>
      <ddeItem name="4968.TW-OperatingProfitRatio,Price,PriceChangeRatio,InOutRatioNumber,Value,YearReturn,MonthReturn,WeekReturn,FinanceBalanceDif,ChipsField2" advise="1">
        <values cols="10">
          <value t="str">
            <val>0.82</val>
          </value>
          <value>
            <val>111</val>
          </value>
          <value>
            <val>1.37</val>
          </value>
          <value t="str">
            <val>44.47%</val>
          </value>
          <value t="str">
            <val>1.29億</val>
          </value>
          <value t="str">
            <val>-60.42</val>
          </value>
          <value t="str">
            <val>0.00</val>
          </value>
          <value t="str">
            <val>-9.76</val>
          </value>
          <value>
            <val>55</val>
          </value>
          <value>
            <val>-32</val>
          </value>
        </values>
      </ddeItem>
      <ddeItem name="4976.TW-ChipsField3,ChipsField1,ChipsField25,CashAndStockDividend,CashDividendYieldRate,ProfitFourSeason,ProfitSingle,CName,ExchangeIndustry,CompanyPos" advise="1">
        <values cols="10">
          <value>
            <val>-6</val>
          </value>
          <value>
            <val>25</val>
          </value>
          <value t="str">
            <val>--</val>
          </value>
          <value t="str">
            <val>0.00</val>
          </value>
          <value>
            <val>0</val>
          </value>
          <value t="str">
            <val>-0.22</val>
          </value>
          <value t="str">
            <val>0.21</val>
          </value>
          <value t="str">
            <val>佳凌</val>
          </value>
          <value t="str">
            <val>上市光電</val>
          </value>
          <value t="str">
            <val>台灣光學鏡片及鏡頭機構組裝供應商</val>
          </value>
        </values>
      </ddeItem>
      <ddeItem name="4976.TW-CName,InvestorConferenceDate,DateofMeetingofShareHolders,TradingDate" advise="1">
        <values cols="4">
          <value t="str">
            <val>佳凌</val>
          </value>
          <value t="str">
            <val>2022/10/25</val>
          </value>
          <value t="str">
            <val>2022/06/21</val>
          </value>
          <value t="str">
            <val>2022/12/22</val>
          </value>
        </values>
      </ddeItem>
      <ddeItem name="4976.TW-ID,Name,MarketValue,Capital,NetIncomeGrowthRate,OperIncomeGrowthRate,FinancialStatementsTime,TFXRatio,MonthlyNetSalesYoY,RevenueMonth" advise="1">
        <values cols="10">
          <value t="str">
            <val>4976</val>
          </value>
          <value t="str">
            <val>佳凌</val>
          </value>
          <value t="str">
            <val>52.9</val>
          </value>
          <value t="str">
            <val>13.87</val>
          </value>
          <value t="str">
            <val>-139.21</val>
          </value>
          <value t="str">
            <val>-499.34</val>
          </value>
          <value t="str">
            <val>2022/09</val>
          </value>
          <value t="str">
            <val>1.77</val>
          </value>
          <value t="str">
            <val>-25.51</val>
          </value>
          <value t="str">
            <val>2022/11</val>
          </value>
        </values>
      </ddeItem>
      <ddeItem name="4976.TW-OperatingProfitRatio,Price,PriceChangeRatio,InOutRatioNumber,Value,YearReturn,MonthReturn,WeekReturn,FinanceBalanceDif,ChipsField2" advise="1">
        <values cols="10">
          <value t="str">
            <val>-12.30</val>
          </value>
          <value>
            <val>38.15</val>
          </value>
          <value>
            <val>2.2799999999999998</val>
          </value>
          <value t="str">
            <val>68.33%</val>
          </value>
          <value t="str">
            <val>467萬</val>
          </value>
          <value t="str">
            <val>-45.96</val>
          </value>
          <value t="str">
            <val>-1.42</val>
          </value>
          <value t="str">
            <val>-2.80</val>
          </value>
          <value>
            <val>-16</val>
          </value>
          <value>
            <val>0</val>
          </value>
        </values>
      </ddeItem>
      <ddeItem name="4977.TW-ChipsField3,ChipsField1,ChipsField25,CashAndStockDividend,CashDividendYieldRate,ProfitFourSeason,ProfitSingle,CName,ExchangeIndustry,CompanyPos" advise="1">
        <values cols="10">
          <value>
            <val>-50</val>
          </value>
          <value>
            <val>116</val>
          </value>
          <value t="str">
            <val>2022/07/14</val>
          </value>
          <value t="str">
            <val>3.22</val>
          </value>
          <value>
            <val>3.26</val>
          </value>
          <value t="str">
            <val>4.13</val>
          </value>
          <value t="str">
            <val>2.02</val>
          </value>
          <value t="str">
            <val>眾達-KY</val>
          </value>
          <value t="str">
            <val>上市通信網路</val>
          </value>
          <value t="str">
            <val>光收發模組封裝及代工廠商</val>
          </value>
        </values>
      </ddeItem>
      <ddeItem name="4977.TW-CName,InvestorConferenceDate,DateofMeetingofShareHolders,TradingDate" advise="1">
        <values cols="4">
          <value t="str">
            <val>眾達-KY</val>
          </value>
          <value t="str">
            <val>2022/10/26</val>
          </value>
          <value t="str">
            <val>2022/06/24</val>
          </value>
          <value t="str">
            <val>2022/12/22</val>
          </value>
        </values>
      </ddeItem>
      <ddeItem name="4977.TW-ID,Name,MarketValue,Capital,NetIncomeGrowthRate,OperIncomeGrowthRate,FinancialStatementsTime,TFXRatio,MonthlyNetSalesYoY,RevenueMonth" advise="1">
        <values cols="10">
          <value t="str">
            <val>4977</val>
          </value>
          <value t="str">
            <val>眾達-KY</val>
          </value>
          <value t="str">
            <val>77.8</val>
          </value>
          <value t="str">
            <val>7.87</val>
          </value>
          <value t="str">
            <val>13.10</val>
          </value>
          <value t="str">
            <val>110.22</val>
          </value>
          <value t="str">
            <val>2022/09</val>
          </value>
          <value t="str">
            <val>8.55</val>
          </value>
          <value t="str">
            <val>98.55</val>
          </value>
          <value t="str">
            <val>2022/11</val>
          </value>
        </values>
      </ddeItem>
      <ddeItem name="4977.TW-OperatingProfitRatio,Price,PriceChangeRatio,InOutRatioNumber,Value,YearReturn,MonthReturn,WeekReturn,FinanceBalanceDif,ChipsField2" advise="1">
        <values cols="10">
          <value t="str">
            <val>17.71</val>
          </value>
          <value>
            <val>98.9</val>
          </value>
          <value>
            <val>-2.08</val>
          </value>
          <value t="str">
            <val>50.62%</val>
          </value>
          <value t="str">
            <val>4.88億</val>
          </value>
          <value t="str">
            <val>+21.01</val>
          </value>
          <value t="str">
            <val>+6.57</val>
          </value>
          <value t="str">
            <val>-10.50</val>
          </value>
          <value>
            <val>-66</val>
          </value>
          <value>
            <val>0</val>
          </value>
        </values>
      </ddeItem>
      <ddeItem name="4989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-26</val>
          </value>
          <value t="str">
            <val>2022/07/28</val>
          </value>
          <value t="str">
            <val>1.50</val>
          </value>
          <value>
            <val>5.98</val>
          </value>
          <value t="str">
            <val>2.59</val>
          </value>
          <value t="str">
            <val>0.03</val>
          </value>
          <value t="str">
            <val>榮科</val>
          </value>
          <value t="str">
            <val>上市電子零組件</val>
          </value>
          <value t="str">
            <val>榮化轉投資的電解銅箔廠</val>
          </value>
        </values>
      </ddeItem>
      <ddeItem name="4989.TW-CName,InvestorConferenceDate,DateofMeetingofShareHolders,TradingDate" advise="1">
        <values cols="4">
          <value t="str">
            <val>榮科</val>
          </value>
          <value t="str">
            <val>2022/10/28</val>
          </value>
          <value t="str">
            <val>2022/06/23</val>
          </value>
          <value t="str">
            <val>2022/12/22</val>
          </value>
        </values>
      </ddeItem>
      <ddeItem name="4989.TW-ID,Name,MarketValue,Capital,NetIncomeGrowthRate,OperIncomeGrowthRate,FinancialStatementsTime,TFXRatio,MonthlyNetSalesYoY,RevenueMonth" advise="1">
        <values cols="10">
          <value t="str">
            <val>4989</val>
          </value>
          <value t="str">
            <val>榮科</val>
          </value>
          <value t="str">
            <val>34.6</val>
          </value>
          <value t="str">
            <val>13.78</val>
          </value>
          <value t="str">
            <val>-47.01</val>
          </value>
          <value t="str">
            <val>-73.37</val>
          </value>
          <value t="str">
            <val>2022/09</val>
          </value>
          <value t="str">
            <val>10.67</val>
          </value>
          <value t="str">
            <val>-8.33</val>
          </value>
          <value t="str">
            <val>2022/11</val>
          </value>
        </values>
      </ddeItem>
      <ddeItem name="4989.TW-OperatingProfitRatio,Price,PriceChangeRatio,InOutRatioNumber,Value,YearReturn,MonthReturn,WeekReturn,FinanceBalanceDif,ChipsField2" advise="1">
        <values cols="10">
          <value t="str">
            <val>4.65</val>
          </value>
          <value>
            <val>25.1</val>
          </value>
          <value>
            <val>0</val>
          </value>
          <value t="str">
            <val>26.63%</val>
          </value>
          <value t="str">
            <val>428萬</val>
          </value>
          <value t="str">
            <val>-38.24</val>
          </value>
          <value t="str">
            <val>-2.71</val>
          </value>
          <value t="str">
            <val>-4.38</val>
          </value>
          <value>
            <val>-7</val>
          </value>
          <value>
            <val>0</val>
          </value>
        </values>
      </ddeItem>
      <ddeItem name="4994.TW-ChipsField3,ChipsField1,ChipsField25,CashAndStockDividend,CashDividendYieldRate,ProfitFourSeason,ProfitSingle,CName,ExchangeIndustry,CompanyPos" advise="1">
        <values cols="10">
          <value>
            <val>-6</val>
          </value>
          <value>
            <val>-3</val>
          </value>
          <value t="str">
            <val>2022/07/12</val>
          </value>
          <value t="str">
            <val>1.50</val>
          </value>
          <value>
            <val>3.69</val>
          </value>
          <value t="str">
            <val>0.66</val>
          </value>
          <value t="str">
            <val>0.08</val>
          </value>
          <value t="str">
            <val>傳奇</val>
          </value>
          <value t="str">
            <val>上市資訊服務</val>
          </value>
          <value t="str">
            <val>台灣知名遊戲開發商</val>
          </value>
        </values>
      </ddeItem>
      <ddeItem name="4994.TW-CName,InvestorConferenceDate,DateofMeetingofShareHolders,TradingDate" advise="1">
        <values cols="4">
          <value t="str">
            <val>傳奇</val>
          </value>
          <value t="str">
            <val>2022/12/16</val>
          </value>
          <value t="str">
            <val>2022/06/15</val>
          </value>
          <value t="str">
            <val>2022/12/22</val>
          </value>
        </values>
      </ddeItem>
      <ddeItem name="4994.TW-ID,Name,MarketValue,Capital,NetIncomeGrowthRate,OperIncomeGrowthRate,FinancialStatementsTime,TFXRatio,MonthlyNetSalesYoY,RevenueMonth" advise="1">
        <values cols="10">
          <value t="str">
            <val>4994</val>
          </value>
          <value t="str">
            <val>傳奇</val>
          </value>
          <value t="str">
            <val>44.9</val>
          </value>
          <value t="str">
            <val>11.06</val>
          </value>
          <value t="str">
            <val>-49.64</val>
          </value>
          <value t="str">
            <val>-53.60</val>
          </value>
          <value t="str">
            <val>2022/09</val>
          </value>
          <value t="str">
            <val>-5.46</val>
          </value>
          <value t="str">
            <val>-51.57</val>
          </value>
          <value t="str">
            <val>2022/11</val>
          </value>
        </values>
      </ddeItem>
      <ddeItem name="4994.TW-OperatingProfitRatio,Price,PriceChangeRatio,InOutRatioNumber,Value,YearReturn,MonthReturn,WeekReturn,FinanceBalanceDif,ChipsField2" advise="1">
        <values cols="10">
          <value t="str">
            <val>8.40</val>
          </value>
          <value>
            <val>40.6</val>
          </value>
          <value>
            <val>0.62</val>
          </value>
          <value t="str">
            <val>46.67%</val>
          </value>
          <value t="str">
            <val>252萬</val>
          </value>
          <value t="str">
            <val>-34.95</val>
          </value>
          <value t="str">
            <val>-3.33</val>
          </value>
          <value t="str">
            <val>-0.61</val>
          </value>
          <value>
            <val>-7</val>
          </value>
          <value>
            <val>0</val>
          </value>
        </values>
      </ddeItem>
      <ddeItem name="4999.TW-ChipsField3,ChipsField1,ChipsField25,CashAndStockDividend,CashDividendYieldRate,ProfitFourSeason,ProfitSingle,CName,ExchangeIndustry,CompanyPos" advise="1">
        <values cols="10">
          <value>
            <val>-2</val>
          </value>
          <value>
            <val>1</val>
          </value>
          <value t="str">
            <val>2022/07/08</val>
          </value>
          <value t="str">
            <val>2.00</val>
          </value>
          <value>
            <val>5.42</val>
          </value>
          <value t="str">
            <val>4.18</val>
          </value>
          <value t="str">
            <val>1.24</val>
          </value>
          <value t="str">
            <val>鑫禾</val>
          </value>
          <value t="str">
            <val>上市電子零組件</val>
          </value>
          <value t="str">
            <val>全球前三大筆電樞紐製造商</val>
          </value>
        </values>
      </ddeItem>
      <ddeItem name="4999.TW-CName,InvestorConferenceDate,DateofMeetingofShareHolders,TradingDate" advise="1">
        <values cols="4">
          <value t="str">
            <val>鑫禾</val>
          </value>
          <value t="str">
            <val>2022/11/17</val>
          </value>
          <value t="str">
            <val>2022/06/23</val>
          </value>
          <value t="str">
            <val>2022/12/22</val>
          </value>
        </values>
      </ddeItem>
      <ddeItem name="4999.TW-ID,Name,MarketValue,Capital,NetIncomeGrowthRate,OperIncomeGrowthRate,FinancialStatementsTime,TFXRatio,MonthlyNetSalesYoY,RevenueMonth" advise="1">
        <values cols="10">
          <value t="str">
            <val>4999</val>
          </value>
          <value t="str">
            <val>鑫禾</val>
          </value>
          <value t="str">
            <val>27.5</val>
          </value>
          <value t="str">
            <val>7.44</val>
          </value>
          <value t="str">
            <val>123.66</val>
          </value>
          <value t="str">
            <val>-61.81</val>
          </value>
          <value t="str">
            <val>2022/09</val>
          </value>
          <value t="str">
            <val>-27.07</val>
          </value>
          <value t="str">
            <val>-38.79</val>
          </value>
          <value t="str">
            <val>2022/11</val>
          </value>
        </values>
      </ddeItem>
      <ddeItem name="4999.TW-OperatingProfitRatio,Price,PriceChangeRatio,InOutRatioNumber,Value,YearReturn,MonthReturn,WeekReturn,FinanceBalanceDif,ChipsField2" advise="1">
        <values cols="10">
          <value t="str">
            <val>4.38</val>
          </value>
          <value>
            <val>36.9</val>
          </value>
          <value>
            <val>0.14000000000000001</val>
          </value>
          <value t="str">
            <val>35.29%</val>
          </value>
          <value t="str">
            <val>66.4萬</val>
          </value>
          <value t="str">
            <val>-3.89</val>
          </value>
          <value t="str">
            <val>+0.54</val>
          </value>
          <value t="str">
            <val>-0.27</val>
          </value>
          <value>
            <val>-3</val>
          </value>
          <value>
            <val>0</val>
          </value>
        </values>
      </ddeItem>
      <ddeItem name="5007.TW-ChipsField3,ChipsField1,ChipsField25,CashAndStockDividend,CashDividendYieldRate,ProfitFourSeason,ProfitSingle,CName,ExchangeIndustry,CompanyPos" advise="1">
        <values cols="10">
          <value>
            <val>-5</val>
          </value>
          <value>
            <val>-3</val>
          </value>
          <value t="str">
            <val>2022/07/04</val>
          </value>
          <value t="str">
            <val>3.00</val>
          </value>
          <value>
            <val>5.89</val>
          </value>
          <value t="str">
            <val>3.49</val>
          </value>
          <value t="str">
            <val>0.91</val>
          </value>
          <value t="str">
            <val>三星</val>
          </value>
          <value t="str">
            <val>上市鋼鐵</val>
          </value>
          <value t="str">
            <val>全球最大鋼鐵螺帽製造商</val>
          </value>
        </values>
      </ddeItem>
      <ddeItem name="5007.TW-CName,InvestorConferenceDate,DateofMeetingofShareHolders,TradingDate" advise="1">
        <values cols="4">
          <value t="str">
            <val>三星</val>
          </value>
          <value t="str">
            <val>2022/11/18</val>
          </value>
          <value t="str">
            <val>2022/06/16</val>
          </value>
          <value t="str">
            <val>2022/12/22</val>
          </value>
        </values>
      </ddeItem>
      <ddeItem name="5007.TW-ID,Name,MarketValue,Capital,NetIncomeGrowthRate,OperIncomeGrowthRate,FinancialStatementsTime,TFXRatio,MonthlyNetSalesYoY,RevenueMonth" advise="1">
        <values cols="10">
          <value t="str">
            <val>5007</val>
          </value>
          <value t="str">
            <val>三星</val>
          </value>
          <value t="str">
            <val>150.1</val>
          </value>
          <value t="str">
            <val>29.49</val>
          </value>
          <value t="str">
            <val>7.14</val>
          </value>
          <value t="str">
            <val>-2.23</val>
          </value>
          <value t="str">
            <val>2022/09</val>
          </value>
          <value t="str">
            <val>-2.94</val>
          </value>
          <value t="str">
            <val>-1.26</val>
          </value>
          <value t="str">
            <val>2022/11</val>
          </value>
        </values>
      </ddeItem>
      <ddeItem name="5007.TW-OperatingProfitRatio,Price,PriceChangeRatio,InOutRatioNumber,Value,YearReturn,MonthReturn,WeekReturn,FinanceBalanceDif,ChipsField2" advise="1">
        <values cols="10">
          <value t="str">
            <val>17.27</val>
          </value>
          <value>
            <val>50.9</val>
          </value>
          <value>
            <val>0.39</val>
          </value>
          <value t="str">
            <val>77.78%</val>
          </value>
          <value t="str">
            <val>45.8萬</val>
          </value>
          <value t="str">
            <val>-4.64</val>
          </value>
          <value t="str">
            <val>-2.49</val>
          </value>
          <value t="str">
            <val>-1.17</val>
          </value>
          <value>
            <val>-1</val>
          </value>
          <value>
            <val>0</val>
          </value>
        </values>
      </ddeItem>
      <ddeItem name="5203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1</val>
          </value>
          <value t="str">
            <val>2022/08/11</val>
          </value>
          <value t="str">
            <val>1.71</val>
          </value>
          <value>
            <val>2.0499999999999998</val>
          </value>
          <value t="str">
            <val>-6.10</val>
          </value>
          <value t="str">
            <val>1.10</val>
          </value>
          <value t="str">
            <val>訊連</val>
          </value>
          <value t="str">
            <val>上市資訊服務</val>
          </value>
          <value t="str">
            <val>全球知名多媒體影音軟體公司</val>
          </value>
        </values>
      </ddeItem>
      <ddeItem name="5203.TW-CName,InvestorConferenceDate,DateofMeetingofShareHolders,TradingDate" advise="1">
        <values cols="4">
          <value t="str">
            <val>訊連</val>
          </value>
          <value t="str">
            <val>2022/11/03</val>
          </value>
          <value t="str">
            <val>2022/06/21</val>
          </value>
          <value t="str">
            <val>2022/12/22</val>
          </value>
        </values>
      </ddeItem>
      <ddeItem name="5203.TW-ID,Name,MarketValue,Capital,NetIncomeGrowthRate,OperIncomeGrowthRate,FinancialStatementsTime,TFXRatio,MonthlyNetSalesYoY,RevenueMonth" advise="1">
        <values cols="10">
          <value t="str">
            <val>5203</val>
          </value>
          <value t="str">
            <val>訊連</val>
          </value>
          <value t="str">
            <val>65.9</val>
          </value>
          <value t="str">
            <val>7.89</val>
          </value>
          <value t="str">
            <val>58.04</val>
          </value>
          <value t="str">
            <val>-8.95</val>
          </value>
          <value t="str">
            <val>2022/09</val>
          </value>
          <value t="str">
            <val>-3.59</val>
          </value>
          <value t="str">
            <val>28.20</val>
          </value>
          <value t="str">
            <val>2022/11</val>
          </value>
        </values>
      </ddeItem>
      <ddeItem name="5203.TW-OperatingProfitRatio,Price,PriceChangeRatio,InOutRatioNumber,Value,YearReturn,MonthReturn,WeekReturn,FinanceBalanceDif,ChipsField2" advise="1">
        <values cols="10">
          <value t="str">
            <val>10.59</val>
          </value>
          <value>
            <val>83.5</val>
          </value>
          <value>
            <val>0.97</val>
          </value>
          <value t="str">
            <val>33.33%</val>
          </value>
          <value t="str">
            <val>309萬</val>
          </value>
          <value t="str">
            <val>-5.01</val>
          </value>
          <value t="str">
            <val>-1.42</val>
          </value>
          <value t="str">
            <val>-2.00</val>
          </value>
          <value>
            <val>-8</val>
          </value>
          <value>
            <val>0</val>
          </value>
        </values>
      </ddeItem>
      <ddeItem name="5215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13</val>
          </value>
          <value t="str">
            <val>2022/07/15</val>
          </value>
          <value t="str">
            <val>5.00</val>
          </value>
          <value>
            <val>11.11</val>
          </value>
          <value t="str">
            <val>5.50</val>
          </value>
          <value t="str">
            <val>2.05</val>
          </value>
          <value t="str">
            <val>科嘉-KY</val>
          </value>
          <value t="str">
            <val>上市電腦及週邊設備</val>
          </value>
          <value t="str">
            <val>全球知名NB薄膜觸控開關製造商</val>
          </value>
        </values>
      </ddeItem>
      <ddeItem name="5215.TW-CName,InvestorConferenceDate,DateofMeetingofShareHolders,TradingDate" advise="1">
        <values cols="4">
          <value t="str">
            <val>科嘉-KY</val>
          </value>
          <value t="str">
            <val>2022/03/31</val>
          </value>
          <value t="str">
            <val>2022/06/28</val>
          </value>
          <value t="str">
            <val>2022/12/22</val>
          </value>
        </values>
      </ddeItem>
      <ddeItem name="5215.TW-ID,Name,MarketValue,Capital,NetIncomeGrowthRate,OperIncomeGrowthRate,FinancialStatementsTime,TFXRatio,MonthlyNetSalesYoY,RevenueMonth" advise="1">
        <values cols="10">
          <value t="str">
            <val>5215</val>
          </value>
          <value t="str">
            <val>科嘉-KY</val>
          </value>
          <value t="str">
            <val>29.0</val>
          </value>
          <value t="str">
            <val>6.43</val>
          </value>
          <value t="str">
            <val>-43.00</val>
          </value>
          <value t="str">
            <val>-62.11</val>
          </value>
          <value t="str">
            <val>2022/09</val>
          </value>
          <value t="str">
            <val>-11.34</val>
          </value>
          <value t="str">
            <val>-48.84</val>
          </value>
          <value t="str">
            <val>2022/11</val>
          </value>
        </values>
      </ddeItem>
      <ddeItem name="5215.TW-OperatingProfitRatio,Price,PriceChangeRatio,InOutRatioNumber,Value,YearReturn,MonthReturn,WeekReturn,FinanceBalanceDif,ChipsField2" advise="1">
        <values cols="10">
          <value t="str">
            <val>12.33</val>
          </value>
          <value>
            <val>45</val>
          </value>
          <value>
            <val>-0.44</val>
          </value>
          <value t="str">
            <val>36.73%</val>
          </value>
          <value t="str">
            <val>444萬</val>
          </value>
          <value t="str">
            <val>-35.31</val>
          </value>
          <value t="str">
            <val>-8.91</val>
          </value>
          <value t="str">
            <val>-5.96</val>
          </value>
          <value>
            <val>-14</val>
          </value>
          <value>
            <val>0</val>
          </value>
        </values>
      </ddeItem>
      <ddeItem name="5222.TW-ChipsField3,ChipsField1,ChipsField25,CashAndStockDividend,CashDividendYieldRate,ProfitFourSeason,ProfitSingle,CName,ExchangeIndustry,CompanyPos" advise="1">
        <values cols="10">
          <value>
            <val>14</val>
          </value>
          <value>
            <val>117</val>
          </value>
          <value t="str">
            <val>2022/04/01</val>
          </value>
          <value t="str">
            <val>3.50</val>
          </value>
          <value>
            <val>2.5499999999999998</val>
          </value>
          <value t="str">
            <val>3.33</val>
          </value>
          <value t="str">
            <val>1.02</val>
          </value>
          <value t="str">
            <val>全訊</val>
          </value>
          <value t="str">
            <val>上市半導體</val>
          </value>
          <value t="str">
            <val>功率放大器及低雜訊放大器微波元件製造商</val>
          </value>
        </values>
      </ddeItem>
      <ddeItem name="5222.TW-CName,InvestorConferenceDate,DateofMeetingofShareHolders,TradingDate" advise="1">
        <values cols="4">
          <value t="str">
            <val>全訊</val>
          </value>
          <value t="str">
            <val>2022/12/22</val>
          </value>
          <value t="str">
            <val>2022/06/28</val>
          </value>
          <value t="str">
            <val>2022/12/22</val>
          </value>
        </values>
      </ddeItem>
      <ddeItem name="5222.TW-ID,Name,MarketValue,Capital,NetIncomeGrowthRate,OperIncomeGrowthRate,FinancialStatementsTime,TFXRatio,MonthlyNetSalesYoY,RevenueMonth" advise="1">
        <values cols="10">
          <value t="str">
            <val>5222</val>
          </value>
          <value t="str">
            <val>全訊</val>
          </value>
          <value t="str">
            <val>93.3</val>
          </value>
          <value t="str">
            <val>6.78</val>
          </value>
          <value t="str">
            <val>-16.77</val>
          </value>
          <value t="str">
            <val>13.39</val>
          </value>
          <value t="str">
            <val>2022/09</val>
          </value>
          <value t="str">
            <val>10.89</val>
          </value>
          <value t="str">
            <val>32.37</val>
          </value>
          <value t="str">
            <val>2022/11</val>
          </value>
        </values>
      </ddeItem>
      <ddeItem name="5222.TW-OperatingProfitRatio,Price,PriceChangeRatio,InOutRatioNumber,Value,YearReturn,MonthReturn,WeekReturn,FinanceBalanceDif,ChipsField2" advise="1">
        <values cols="10">
          <value t="str">
            <val>34.39</val>
          </value>
          <value>
            <val>137.5</val>
          </value>
          <value>
            <val>-1.79</val>
          </value>
          <value t="str">
            <val>22.56%</val>
          </value>
          <value t="str">
            <val>2760萬</val>
          </value>
          <value t="str">
            <val>-31.94</val>
          </value>
          <value t="str">
            <val>+5.36</val>
          </value>
          <value t="str">
            <val>-3.17</val>
          </value>
          <value>
            <val>-12</val>
          </value>
          <value>
            <val>0</val>
          </value>
        </values>
      </ddeItem>
      <ddeItem name="5225.TW-ChipsField3,ChipsField1,ChipsField25,CashAndStockDividend,CashDividendYieldRate,ProfitFourSeason,ProfitSingle,CName,ExchangeIndustry,CompanyPos" advise="1">
        <values cols="10">
          <value>
            <val>-24</val>
          </value>
          <value>
            <val>172</val>
          </value>
          <value t="str">
            <val>2022/03/22</val>
          </value>
          <value t="str">
            <val>0.60</val>
          </value>
          <value>
            <val>1.61</val>
          </value>
          <value t="str">
            <val>10.98</val>
          </value>
          <value t="str">
            <val>4.10</val>
          </value>
          <value t="str">
            <val>東科-KY</val>
          </value>
          <value t="str">
            <val>上市其他電子</val>
          </value>
          <value t="str">
            <val>全球最大影音揚聲器OEM製造商</val>
          </value>
        </values>
      </ddeItem>
      <ddeItem name="5225.TW-CName,InvestorConferenceDate,DateofMeetingofShareHolders,TradingDate" advise="1">
        <values cols="4">
          <value t="str">
            <val>東科-KY</val>
          </value>
          <value t="str">
            <val>2022/12/08</val>
          </value>
          <value t="str">
            <val>2022/06/17</val>
          </value>
          <value t="str">
            <val>2022/12/22</val>
          </value>
        </values>
      </ddeItem>
      <ddeItem name="5225.TW-ID,Name,MarketValue,Capital,NetIncomeGrowthRate,OperIncomeGrowthRate,FinancialStatementsTime,TFXRatio,MonthlyNetSalesYoY,RevenueMonth" advise="1">
        <values cols="10">
          <value t="str">
            <val>5225</val>
          </value>
          <value t="str">
            <val>東科-KY</val>
          </value>
          <value t="str">
            <val>23.2</val>
          </value>
          <value t="str">
            <val>6.28</val>
          </value>
          <value t="str">
            <val>3543.04</val>
          </value>
          <value t="str">
            <val>436.84</val>
          </value>
          <value t="str">
            <val>2022/09</val>
          </value>
          <value t="str">
            <val>-2.82</val>
          </value>
          <value t="str">
            <val>35.84</val>
          </value>
          <value t="str">
            <val>2022/11</val>
          </value>
        </values>
      </ddeItem>
      <ddeItem name="5225.TW-OperatingProfitRatio,Price,PriceChangeRatio,InOutRatioNumber,Value,YearReturn,MonthReturn,WeekReturn,FinanceBalanceDif,ChipsField2" advise="1">
        <values cols="10">
          <value t="str">
            <val>2.27</val>
          </value>
          <value>
            <val>37.200000000000003</val>
          </value>
          <value>
            <val>3.33</val>
          </value>
          <value t="str">
            <val>53.66%</val>
          </value>
          <value t="str">
            <val>4494萬</val>
          </value>
          <value t="str">
            <val>+79.59</val>
          </value>
          <value t="str">
            <val>-5.58</val>
          </value>
          <value t="str">
            <val>-7.12</val>
          </value>
          <value>
            <val>-33</val>
          </value>
          <value>
            <val>97</val>
          </value>
        </values>
      </ddeItem>
      <ddeItem name="5234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-23</val>
          </value>
          <value t="str">
            <val>2022/07/04</val>
          </value>
          <value t="str">
            <val>5.30</val>
          </value>
          <value>
            <val>7.9</val>
          </value>
          <value t="str">
            <val>4.93</val>
          </value>
          <value t="str">
            <val>0.34</val>
          </value>
          <value t="str">
            <val>達興材料</val>
          </value>
          <value t="str">
            <val>上市光電</val>
          </value>
          <value t="str">
            <val>友達為大股東之光電特用化學材料供應商</val>
          </value>
        </values>
      </ddeItem>
      <ddeItem name="5234.TW-CName,InvestorConferenceDate,DateofMeetingofShareHolders,TradingDate" advise="1">
        <values cols="4">
          <value t="str">
            <val>達興材料</val>
          </value>
          <value t="str">
            <val>2022/12/13</val>
          </value>
          <value t="str">
            <val>2022/06/15</val>
          </value>
          <value t="str">
            <val>2022/12/22</val>
          </value>
        </values>
      </ddeItem>
      <ddeItem name="5234.TW-ID,Name,MarketValue,Capital,NetIncomeGrowthRate,OperIncomeGrowthRate,FinancialStatementsTime,TFXRatio,MonthlyNetSalesYoY,RevenueMonth" advise="1">
        <values cols="10">
          <value t="str">
            <val>5234</val>
          </value>
          <value t="str">
            <val>達興材料</val>
          </value>
          <value t="str">
            <val>68.9</val>
          </value>
          <value t="str">
            <val>10.27</val>
          </value>
          <value t="str">
            <val>-33.94</val>
          </value>
          <value t="str">
            <val>-42.47</val>
          </value>
          <value t="str">
            <val>2022/09</val>
          </value>
          <value t="str">
            <val>7.60</val>
          </value>
          <value t="str">
            <val>-22.09</val>
          </value>
          <value t="str">
            <val>2022/11</val>
          </value>
        </values>
      </ddeItem>
      <ddeItem name="5234.TW-OperatingProfitRatio,Price,PriceChangeRatio,InOutRatioNumber,Value,YearReturn,MonthReturn,WeekReturn,FinanceBalanceDif,ChipsField2" advise="1">
        <values cols="10">
          <value t="str">
            <val>11.23</val>
          </value>
          <value>
            <val>67.099999999999994</val>
          </value>
          <value>
            <val>-0.15</val>
          </value>
          <value t="str">
            <val>19.72%</val>
          </value>
          <value t="str">
            <val>478萬</val>
          </value>
          <value t="str">
            <val>-42.44</val>
          </value>
          <value t="str">
            <val>-2.04</val>
          </value>
          <value t="str">
            <val>-8.58</val>
          </value>
          <value>
            <val>-15</val>
          </value>
          <value>
            <val>0</val>
          </value>
        </values>
      </ddeItem>
      <ddeItem name="5243.TW-ChipsField3,ChipsField1,ChipsField25,CashAndStockDividend,CashDividendYieldRate,ProfitFourSeason,ProfitSingle,CName,ExchangeIndustry,CompanyPos" advise="1">
        <values cols="10">
          <value>
            <val>-137</val>
          </value>
          <value>
            <val>-539</val>
          </value>
          <value t="str">
            <val>2022/08/26</val>
          </value>
          <value t="str">
            <val>1.40</val>
          </value>
          <value>
            <val>2.37</val>
          </value>
          <value t="str">
            <val>4.06</val>
          </value>
          <value t="str">
            <val>1.65</val>
          </value>
          <value t="str">
            <val>乙盛-KY</val>
          </value>
          <value t="str">
            <val>上市光電</val>
          </value>
          <value t="str">
            <val>鴻海轉投資的消費性電子機構件廠</val>
          </value>
        </values>
      </ddeItem>
      <ddeItem name="5243.TW-CName,InvestorConferenceDate,DateofMeetingofShareHolders,TradingDate" advise="1">
        <values cols="4">
          <value t="str">
            <val>乙盛-KY</val>
          </value>
          <value t="str">
            <val>2022/11/15</val>
          </value>
          <value t="str">
            <val>2022/06/24</val>
          </value>
          <value t="str">
            <val>2022/12/22</val>
          </value>
        </values>
      </ddeItem>
      <ddeItem name="5243.TW-ID,Name,MarketValue,Capital,NetIncomeGrowthRate,OperIncomeGrowthRate,FinancialStatementsTime,TFXRatio,MonthlyNetSalesYoY,RevenueMonth" advise="1">
        <values cols="10">
          <value t="str">
            <val>5243</val>
          </value>
          <value t="str">
            <val>乙盛-KY</val>
          </value>
          <value t="str">
            <val>99.4</val>
          </value>
          <value t="str">
            <val>16.85</val>
          </value>
          <value t="str">
            <val>60.78</val>
          </value>
          <value t="str">
            <val>9.80</val>
          </value>
          <value t="str">
            <val>2022/09</val>
          </value>
          <value t="str">
            <val>-10.28</val>
          </value>
          <value t="str">
            <val>14.20</val>
          </value>
          <value t="str">
            <val>2022/11</val>
          </value>
        </values>
      </ddeItem>
      <ddeItem name="5243.TW-OperatingProfitRatio,Price,PriceChangeRatio,InOutRatioNumber,Value,YearReturn,MonthReturn,WeekReturn,FinanceBalanceDif,ChipsField2" advise="1">
        <values cols="10">
          <value t="str">
            <val>4.89</val>
          </value>
          <value>
            <val>59</val>
          </value>
          <value>
            <val>1.2</val>
          </value>
          <value t="str">
            <val>49.71%</val>
          </value>
          <value t="str">
            <val>5322萬</val>
          </value>
          <value t="str">
            <val>-6.49</val>
          </value>
          <value t="str">
            <val>+2.08</val>
          </value>
          <value t="str">
            <val>-3.75</val>
          </value>
          <value>
            <val>83</val>
          </value>
          <value>
            <val>0</val>
          </value>
        </values>
      </ddeItem>
      <ddeItem name="524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7</val>
          </value>
          <value t="str">
            <val>2022/06/24</val>
          </value>
          <value t="str">
            <val>3.00</val>
          </value>
          <value>
            <val>10.95</val>
          </value>
          <value t="str">
            <val>3.15</val>
          </value>
          <value t="str">
            <val>0.40</val>
          </value>
          <value t="str">
            <val>弘凱</val>
          </value>
          <value t="str">
            <val>上市光電</val>
          </value>
          <value t="str">
            <val>LED產品主要應用於高端消費及車燈市場</val>
          </value>
        </values>
      </ddeItem>
      <ddeItem name="5244.TW-CName,InvestorConferenceDate,DateofMeetingofShareHolders,TradingDate" advise="1">
        <values cols="4">
          <value t="str">
            <val>弘凱</val>
          </value>
          <value t="str">
            <val>2022/11/25</val>
          </value>
          <value t="str">
            <val>2022/05/27</val>
          </value>
          <value t="str">
            <val>2022/12/22</val>
          </value>
        </values>
      </ddeItem>
      <ddeItem name="5244.TW-ID,Name,MarketValue,Capital,NetIncomeGrowthRate,OperIncomeGrowthRate,FinancialStatementsTime,TFXRatio,MonthlyNetSalesYoY,RevenueMonth" advise="1">
        <values cols="10">
          <value t="str">
            <val>5244</val>
          </value>
          <value t="str">
            <val>弘凱</val>
          </value>
          <value t="str">
            <val>18.6</val>
          </value>
          <value t="str">
            <val>6.79</val>
          </value>
          <value t="str">
            <val>-44.34</val>
          </value>
          <value t="str">
            <val>-49.57</val>
          </value>
          <value t="str">
            <val>2022/09</val>
          </value>
          <value t="str">
            <val>27.45</val>
          </value>
          <value t="str">
            <val>-17.52</val>
          </value>
          <value t="str">
            <val>2022/11</val>
          </value>
        </values>
      </ddeItem>
      <ddeItem name="5244.TW-OperatingProfitRatio,Price,PriceChangeRatio,InOutRatioNumber,Value,YearReturn,MonthReturn,WeekReturn,FinanceBalanceDif,ChipsField2" advise="1">
        <values cols="10">
          <value t="str">
            <val>18.84</val>
          </value>
          <value>
            <val>27.4</val>
          </value>
          <value>
            <val>1.67</val>
          </value>
          <value t="str">
            <val>31.76%</val>
          </value>
          <value t="str">
            <val>231萬</val>
          </value>
          <value t="str">
            <val>--</val>
          </value>
          <value t="str">
            <val>+16.35</val>
          </value>
          <value t="str">
            <val>-0.36</val>
          </value>
          <value>
            <val>-16</val>
          </value>
          <value>
            <val>0</val>
          </value>
        </values>
      </ddeItem>
      <ddeItem name="5258.TW-ChipsField3,ChipsField1,ChipsField25,CashAndStockDividend,CashDividendYieldRate,ProfitFourSeason,ProfitSingle,CName,ExchangeIndustry,CompanyPos" advise="1">
        <values cols="10">
          <value>
            <val>-4</val>
          </value>
          <value>
            <val>67</val>
          </value>
          <value t="str">
            <val>2022/10/21</val>
          </value>
          <value t="str">
            <val>0.54</val>
          </value>
          <value>
            <val>0.84</val>
          </value>
          <value t="str">
            <val>7.06</val>
          </value>
          <value t="str">
            <val>2.49</val>
          </value>
          <value t="str">
            <val>虹堡</val>
          </value>
          <value t="str">
            <val>上市電腦及週邊設備</val>
          </value>
          <value t="str">
            <val>台灣POS設備製造商</val>
          </value>
        </values>
      </ddeItem>
      <ddeItem name="5258.TW-CName,InvestorConferenceDate,DateofMeetingofShareHolders,TradingDate" advise="1">
        <values cols="4">
          <value t="str">
            <val>虹堡</val>
          </value>
          <value t="str">
            <val>2022/11/23</val>
          </value>
          <value t="str">
            <val>2022/06/21</val>
          </value>
          <value t="str">
            <val>2022/12/22</val>
          </value>
        </values>
      </ddeItem>
      <ddeItem name="5258.TW-ID,Name,MarketValue,Capital,NetIncomeGrowthRate,OperIncomeGrowthRate,FinancialStatementsTime,TFXRatio,MonthlyNetSalesYoY,RevenueMonth" advise="1">
        <values cols="10">
          <value t="str">
            <val>5258</val>
          </value>
          <value t="str">
            <val>虹堡</val>
          </value>
          <value t="str">
            <val>64.0</val>
          </value>
          <value t="str">
            <val>9.95</val>
          </value>
          <value t="str">
            <val>351.17</val>
          </value>
          <value t="str">
            <val>316.95</val>
          </value>
          <value t="str">
            <val>2022/09</val>
          </value>
          <value t="str">
            <val>1.85</val>
          </value>
          <value t="str">
            <val>70.28</val>
          </value>
          <value t="str">
            <val>2022/11</val>
          </value>
        </values>
      </ddeItem>
      <ddeItem name="5258.TW-OperatingProfitRatio,Price,PriceChangeRatio,InOutRatioNumber,Value,YearReturn,MonthReturn,WeekReturn,FinanceBalanceDif,ChipsField2" advise="1">
        <values cols="10">
          <value t="str">
            <val>13.65</val>
          </value>
          <value>
            <val>64.3</val>
          </value>
          <value>
            <val>0.31</val>
          </value>
          <value t="str">
            <val>42.74%</val>
          </value>
          <value t="str">
            <val>1.14億</val>
          </value>
          <value t="str">
            <val>+64.12</val>
          </value>
          <value t="str">
            <val>-7.22</val>
          </value>
          <value t="str">
            <val>-5.86</val>
          </value>
          <value>
            <val>-133</val>
          </value>
          <value>
            <val>0</val>
          </value>
        </values>
      </ddeItem>
      <ddeItem name="5269.TW-ChipsField3,ChipsField1,ChipsField25,CashAndStockDividend,CashDividendYieldRate,ProfitFourSeason,ProfitSingle,CName,ExchangeIndustry,CompanyPos" advise="1">
        <values cols="10">
          <value>
            <val>6</val>
          </value>
          <value>
            <val>90</val>
          </value>
          <value t="str">
            <val>2022/08/25</val>
          </value>
          <value t="str">
            <val>26.00</val>
          </value>
          <value>
            <val>3.63</val>
          </value>
          <value t="str">
            <val>43.59</val>
          </value>
          <value t="str">
            <val>10.76</val>
          </value>
          <value t="str">
            <val>祥碩</val>
          </value>
          <value t="str">
            <val>上市半導體</val>
          </value>
          <value t="str">
            <val>華碩旗下高速傳輸介面之控制IC設計廠</val>
          </value>
        </values>
      </ddeItem>
      <ddeItem name="5269.TW-CName,InvestorConferenceDate,DateofMeetingofShareHolders,TradingDate" advise="1">
        <values cols="4">
          <value t="str">
            <val>祥碩</val>
          </value>
          <value t="str">
            <val>2022/05/12</val>
          </value>
          <value t="str">
            <val>2022/06/09</val>
          </value>
          <value t="str">
            <val>2022/12/22</val>
          </value>
        </values>
      </ddeItem>
      <ddeItem name="5269.TW-ID,Name,MarketValue,Capital,NetIncomeGrowthRate,OperIncomeGrowthRate,FinancialStatementsTime,TFXRatio,MonthlyNetSalesYoY,RevenueMonth" advise="1">
        <values cols="10">
          <value t="str">
            <val>5269</val>
          </value>
          <value t="str">
            <val>祥碩</val>
          </value>
          <value t="str">
            <val>496.7</val>
          </value>
          <value t="str">
            <val>6.94</val>
          </value>
          <value t="str">
            <val>-7.26</val>
          </value>
          <value t="str">
            <val>-29.23</val>
          </value>
          <value t="str">
            <val>2022/09</val>
          </value>
          <value t="str">
            <val>-6.51</val>
          </value>
          <value t="str">
            <val>-18.99</val>
          </value>
          <value t="str">
            <val>2022/11</val>
          </value>
        </values>
      </ddeItem>
      <ddeItem name="5269.TW-OperatingProfitRatio,Price,PriceChangeRatio,InOutRatioNumber,Value,YearReturn,MonthReturn,WeekReturn,FinanceBalanceDif,ChipsField2" advise="1">
        <values cols="10">
          <value t="str">
            <val>27.06</val>
          </value>
          <value>
            <val>716</val>
          </value>
          <value>
            <val>1.7</val>
          </value>
          <value t="str">
            <val>61.73%</val>
          </value>
          <value t="str">
            <val>4.98億</val>
          </value>
          <value t="str">
            <val>-58.30</val>
          </value>
          <value t="str">
            <val>-2.98</val>
          </value>
          <value t="str">
            <val>-0.97</val>
          </value>
          <value>
            <val>-4</val>
          </value>
          <value>
            <val>9</val>
          </value>
        </values>
      </ddeItem>
      <ddeItem name="528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-14</val>
          </value>
          <value t="str">
            <val>2023/03/16</val>
          </value>
          <value t="str">
            <val>4.00</val>
          </value>
          <value>
            <val>7.69</val>
          </value>
          <value t="str">
            <val>10.26</val>
          </value>
          <value t="str">
            <val>2.95</val>
          </value>
          <value t="str">
            <val>禾聯碩</val>
          </value>
          <value t="str">
            <val>上市電器電纜</val>
          </value>
          <value t="str">
            <val>台灣智慧家電廠，經營HERAN品牌</val>
          </value>
        </values>
      </ddeItem>
      <ddeItem name="5283.TW-CName,InvestorConferenceDate,DateofMeetingofShareHolders,TradingDate" advise="1">
        <values cols="4">
          <value t="str">
            <val>禾聯碩</val>
          </value>
          <value t="str">
            <val>2022/09/30</val>
          </value>
          <value t="str">
            <val>2022/06/08</val>
          </value>
          <value t="str">
            <val>2022/12/22</val>
          </value>
        </values>
      </ddeItem>
      <ddeItem name="5283.TW-ID,Name,MarketValue,Capital,NetIncomeGrowthRate,OperIncomeGrowthRate,FinancialStatementsTime,TFXRatio,MonthlyNetSalesYoY,RevenueMonth" advise="1">
        <values cols="10">
          <value t="str">
            <val>5283</val>
          </value>
          <value t="str">
            <val>禾聯碩</val>
          </value>
          <value t="str">
            <val>75.9</val>
          </value>
          <value t="str">
            <val>7.30</val>
          </value>
          <value t="str">
            <val>-4.68</val>
          </value>
          <value t="str">
            <val>-14.65</val>
          </value>
          <value t="str">
            <val>2022/09</val>
          </value>
          <value t="str">
            <val>-8.16</val>
          </value>
          <value t="str">
            <val>-15.79</val>
          </value>
          <value t="str">
            <val>2022/11</val>
          </value>
        </values>
      </ddeItem>
      <ddeItem name="5283.TW-OperatingProfitRatio,Price,PriceChangeRatio,InOutRatioNumber,Value,YearReturn,MonthReturn,WeekReturn,FinanceBalanceDif,ChipsField2" advise="1">
        <values cols="10">
          <value t="str">
            <val>11.36</val>
          </value>
          <value>
            <val>104</val>
          </value>
          <value>
            <val>0.48</val>
          </value>
          <value t="str">
            <val>46.94%</val>
          </value>
          <value t="str">
            <val>529萬</val>
          </value>
          <value t="str">
            <val>-5.05</val>
          </value>
          <value t="str">
            <val>+0.97</val>
          </value>
          <value t="str">
            <val>0.00</val>
          </value>
          <value>
            <val>-2</val>
          </value>
          <value>
            <val>0</val>
          </value>
        </values>
      </ddeItem>
      <ddeItem name="528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181</val>
          </value>
          <value t="str">
            <val>2022/07/22</val>
          </value>
          <value t="str">
            <val>2.30</val>
          </value>
          <value>
            <val>3.26</val>
          </value>
          <value t="str">
            <val>4.17</val>
          </value>
          <value t="str">
            <val>1.69</val>
          </value>
          <value t="str">
            <val>jpp-KY</val>
          </value>
          <value t="str">
            <val>上市其他</val>
          </value>
          <value t="str">
            <val>客製化精密金屬機構件供應商</val>
          </value>
        </values>
      </ddeItem>
      <ddeItem name="5284.TW-CName,InvestorConferenceDate,DateofMeetingofShareHolders,TradingDate" advise="1">
        <values cols="4">
          <value t="str">
            <val>jpp-KY</val>
          </value>
          <value t="str">
            <val>2022/09/06</val>
          </value>
          <value t="str">
            <val>2022/06/23</val>
          </value>
          <value t="str">
            <val>2022/12/22</val>
          </value>
        </values>
      </ddeItem>
      <ddeItem name="5284.TW-ID,Name,MarketValue,Capital,NetIncomeGrowthRate,OperIncomeGrowthRate,FinancialStatementsTime,TFXRatio,MonthlyNetSalesYoY,RevenueMonth" advise="1">
        <values cols="10">
          <value t="str">
            <val>5284</val>
          </value>
          <value t="str">
            <val>jpp-KY</val>
          </value>
          <value t="str">
            <val>32.4</val>
          </value>
          <value t="str">
            <val>4.60</val>
          </value>
          <value t="str">
            <val>46.74</val>
          </value>
          <value t="str">
            <val>54.24</val>
          </value>
          <value t="str">
            <val>2022/09</val>
          </value>
          <value t="str">
            <val>8.97</val>
          </value>
          <value t="str">
            <val>59.58</val>
          </value>
          <value t="str">
            <val>2022/11</val>
          </value>
        </values>
      </ddeItem>
      <ddeItem name="5284.TW-OperatingProfitRatio,Price,PriceChangeRatio,InOutRatioNumber,Value,YearReturn,MonthReturn,WeekReturn,FinanceBalanceDif,ChipsField2" advise="1">
        <values cols="10">
          <value t="str">
            <val>17.05</val>
          </value>
          <value>
            <val>70.5</val>
          </value>
          <value>
            <val>2.0299999999999998</val>
          </value>
          <value t="str">
            <val>45.74%</val>
          </value>
          <value t="str">
            <val>4.77億</val>
          </value>
          <value t="str">
            <val>+66.32</val>
          </value>
          <value t="str">
            <val>+19.69</val>
          </value>
          <value t="str">
            <val>+5.07</val>
          </value>
          <value>
            <val>155</val>
          </value>
          <value>
            <val>0</val>
          </value>
        </values>
      </ddeItem>
      <ddeItem name="5285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-57</val>
          </value>
          <value t="str">
            <val>2022/07/12</val>
          </value>
          <value t="str">
            <val>4.00</val>
          </value>
          <value>
            <val>6.54</val>
          </value>
          <value t="str">
            <val>4.87</val>
          </value>
          <value t="str">
            <val>1.02</val>
          </value>
          <value t="str">
            <val>界霖</val>
          </value>
          <value t="str">
            <val>上市半導體</val>
          </value>
          <value t="str">
            <val>台灣功率單體及光電導線架供應商</val>
          </value>
        </values>
      </ddeItem>
      <ddeItem name="5285.TW-CName,InvestorConferenceDate,DateofMeetingofShareHolders,TradingDate" advise="1">
        <values cols="4">
          <value t="str">
            <val>界霖</val>
          </value>
          <value t="str">
            <val>2021/12/14</val>
          </value>
          <value t="str">
            <val>2022/06/21</val>
          </value>
          <value t="str">
            <val>2022/12/22</val>
          </value>
        </values>
      </ddeItem>
      <ddeItem name="5285.TW-ID,Name,MarketValue,Capital,NetIncomeGrowthRate,OperIncomeGrowthRate,FinancialStatementsTime,TFXRatio,MonthlyNetSalesYoY,RevenueMonth" advise="1">
        <values cols="10">
          <value t="str">
            <val>5285</val>
          </value>
          <value t="str">
            <val>界霖</val>
          </value>
          <value t="str">
            <val>62.4</val>
          </value>
          <value t="str">
            <val>10.20</val>
          </value>
          <value t="str">
            <val>6.03</val>
          </value>
          <value t="str">
            <val>-19.73</val>
          </value>
          <value t="str">
            <val>2022/09</val>
          </value>
          <value t="str">
            <val>-2.30</val>
          </value>
          <value t="str">
            <val>-18.37</val>
          </value>
          <value t="str">
            <val>2022/11</val>
          </value>
        </values>
      </ddeItem>
      <ddeItem name="5285.TW-OperatingProfitRatio,Price,PriceChangeRatio,InOutRatioNumber,Value,YearReturn,MonthReturn,WeekReturn,FinanceBalanceDif,ChipsField2" advise="1">
        <values cols="10">
          <value t="str">
            <val>7.86</val>
          </value>
          <value>
            <val>61.2</val>
          </value>
          <value>
            <val>0</val>
          </value>
          <value t="str">
            <val>20.48%</val>
          </value>
          <value t="str">
            <val>524萬</val>
          </value>
          <value t="str">
            <val>-37.97</val>
          </value>
          <value t="str">
            <val>-4.08</val>
          </value>
          <value t="str">
            <val>-5.26</val>
          </value>
          <value>
            <val>-3</val>
          </value>
          <value>
            <val>0</val>
          </value>
        </values>
      </ddeItem>
      <ddeItem name="5288.TW-ChipsField3,ChipsField1,ChipsField25,CashAndStockDividend,CashDividendYieldRate,ProfitFourSeason,ProfitSingle,CName,ExchangeIndustry,CompanyPos" advise="1">
        <values cols="10">
          <value>
            <val>1</val>
          </value>
          <value>
            <val>11</val>
          </value>
          <value t="str">
            <val>2022/09/01</val>
          </value>
          <value t="str">
            <val>4.50</val>
          </value>
          <value>
            <val>2.84</val>
          </value>
          <value t="str">
            <val>11.79</val>
          </value>
          <value t="str">
            <val>4.01</val>
          </value>
          <value t="str">
            <val>豐祥-KY</val>
          </value>
          <value t="str">
            <val>上市電機機械</val>
          </value>
          <value t="str">
            <val>越南主要汽機車零件供應商，跨足醫療器材零件</val>
          </value>
        </values>
      </ddeItem>
      <ddeItem name="5288.TW-CName,InvestorConferenceDate,DateofMeetingofShareHolders,TradingDate" advise="1">
        <values cols="4">
          <value t="str">
            <val>豐祥-KY</val>
          </value>
          <value t="str">
            <val>2022/09/29</val>
          </value>
          <value t="str">
            <val>2022/05/31</val>
          </value>
          <value t="str">
            <val>2022/12/22</val>
          </value>
        </values>
      </ddeItem>
      <ddeItem name="5288.TW-ID,Name,MarketValue,Capital,NetIncomeGrowthRate,OperIncomeGrowthRate,FinancialStatementsTime,TFXRatio,MonthlyNetSalesYoY,RevenueMonth" advise="1">
        <values cols="10">
          <value t="str">
            <val>5288</val>
          </value>
          <value t="str">
            <val>豐祥-KY</val>
          </value>
          <value t="str">
            <val>104.3</val>
          </value>
          <value t="str">
            <val>6.59</val>
          </value>
          <value t="str">
            <val>29.50</val>
          </value>
          <value t="str">
            <val>45.37</val>
          </value>
          <value t="str">
            <val>2022/09</val>
          </value>
          <value t="str">
            <val>-7.38</val>
          </value>
          <value t="str">
            <val>30.72</val>
          </value>
          <value t="str">
            <val>2022/11</val>
          </value>
        </values>
      </ddeItem>
      <ddeItem name="5288.TW-OperatingProfitRatio,Price,PriceChangeRatio,InOutRatioNumber,Value,YearReturn,MonthReturn,WeekReturn,FinanceBalanceDif,ChipsField2" advise="1">
        <values cols="10">
          <value t="str">
            <val>13.44</val>
          </value>
          <value>
            <val>158.5</val>
          </value>
          <value>
            <val>1.28</val>
          </value>
          <value t="str">
            <val>28.78%</val>
          </value>
          <value t="str">
            <val>2182萬</val>
          </value>
          <value t="str">
            <val>+11.17</val>
          </value>
          <value t="str">
            <val>-4.80</val>
          </value>
          <value t="str">
            <val>-5.37</val>
          </value>
          <value>
            <val>5</val>
          </value>
          <value>
            <val>-74</val>
          </value>
        </values>
      </ddeItem>
      <ddeItem name="530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-67</val>
          </value>
          <value t="str">
            <val>2023/03/15</val>
          </value>
          <value t="str">
            <val>2.25</val>
          </value>
          <value>
            <val>6.47</val>
          </value>
          <value t="str">
            <val>17.02</val>
          </value>
          <value t="str">
            <val>4.81</val>
          </value>
          <value t="str">
            <val>桂盟</val>
          </value>
          <value t="str">
            <val>上市其他</val>
          </value>
          <value t="str">
            <val>全球最大規模鏈條製造廠商</val>
          </value>
        </values>
      </ddeItem>
      <ddeItem name="5306.TW-CName,InvestorConferenceDate,DateofMeetingofShareHolders,TradingDate" advise="1">
        <values cols="4">
          <value t="str">
            <val>桂盟</val>
          </value>
          <value t="str">
            <val>2022/09/23</val>
          </value>
          <value t="str">
            <val>2022/06/30</val>
          </value>
          <value t="str">
            <val>2022/12/22</val>
          </value>
        </values>
      </ddeItem>
      <ddeItem name="5306.TW-ID,Name,MarketValue,Capital,NetIncomeGrowthRate,OperIncomeGrowthRate,FinancialStatementsTime,TFXRatio,MonthlyNetSalesYoY,RevenueMonth" advise="1">
        <values cols="10">
          <value t="str">
            <val>5306</val>
          </value>
          <value t="str">
            <val>桂盟</val>
          </value>
          <value t="str">
            <val>175.1</val>
          </value>
          <value t="str">
            <val>12.60</val>
          </value>
          <value t="str">
            <val>9.15</val>
          </value>
          <value t="str">
            <val>3.14</val>
          </value>
          <value t="str">
            <val>2022/09</val>
          </value>
          <value t="str">
            <val>-13.39</val>
          </value>
          <value t="str">
            <val>-30.38</val>
          </value>
          <value t="str">
            <val>2022/11</val>
          </value>
        </values>
      </ddeItem>
      <ddeItem name="5306.TW-OperatingProfitRatio,Price,PriceChangeRatio,InOutRatioNumber,Value,YearReturn,MonthReturn,WeekReturn,FinanceBalanceDif,ChipsField2" advise="1">
        <values cols="10">
          <value t="str">
            <val>34.23</val>
          </value>
          <value>
            <val>139</val>
          </value>
          <value>
            <val>0</val>
          </value>
          <value t="str">
            <val>40.06%</val>
          </value>
          <value t="str">
            <val>4554萬</val>
          </value>
          <value t="str">
            <val>-24.89</val>
          </value>
          <value t="str">
            <val>-3.94</val>
          </value>
          <value t="str">
            <val>-6.17</val>
          </value>
          <value>
            <val>0</val>
          </value>
          <value>
            <val>13</val>
          </value>
        </values>
      </ddeItem>
      <ddeItem name="5388.TW-ChipsField3,ChipsField1,ChipsField25,CashAndStockDividend,CashDividendYieldRate,ProfitFourSeason,ProfitSingle,CName,ExchangeIndustry,CompanyPos" advise="1">
        <values cols="10">
          <value>
            <val>-286</val>
          </value>
          <value>
            <val>-22</val>
          </value>
          <value t="str">
            <val>2022/04/07</val>
          </value>
          <value t="str">
            <val>2.40</val>
          </value>
          <value>
            <val>3.1</val>
          </value>
          <value t="str">
            <val>6.67</val>
          </value>
          <value t="str">
            <val>2.09</val>
          </value>
          <value t="str">
            <val>中磊</val>
          </value>
          <value t="str">
            <val>上市通信網路</val>
          </value>
          <value t="str">
            <val>台灣寬頻及電信設備代工大廠</val>
          </value>
        </values>
      </ddeItem>
      <ddeItem name="5388.TW-CName,InvestorConferenceDate,DateofMeetingofShareHolders,TradingDate" advise="1">
        <values cols="4">
          <value t="str">
            <val>中磊</val>
          </value>
          <value t="str">
            <val>2022/08/05</val>
          </value>
          <value t="str">
            <val>2022/06/08</val>
          </value>
          <value t="str">
            <val>2022/12/22</val>
          </value>
        </values>
      </ddeItem>
      <ddeItem name="5388.TW-ID,Name,MarketValue,Capital,NetIncomeGrowthRate,OperIncomeGrowthRate,FinancialStatementsTime,TFXRatio,MonthlyNetSalesYoY,RevenueMonth" advise="1">
        <values cols="10">
          <value t="str">
            <val>5388</val>
          </value>
          <value t="str">
            <val>中磊</val>
          </value>
          <value t="str">
            <val>195.6</val>
          </value>
          <value t="str">
            <val>25.88</val>
          </value>
          <value t="str">
            <val>164.45</val>
          </value>
          <value t="str">
            <val>170.09</val>
          </value>
          <value t="str">
            <val>2022/09</val>
          </value>
          <value t="str">
            <val>-6.78</val>
          </value>
          <value t="str">
            <val>28.48</val>
          </value>
          <value t="str">
            <val>2022/11</val>
          </value>
        </values>
      </ddeItem>
      <ddeItem name="5388.TW-OperatingProfitRatio,Price,PriceChangeRatio,InOutRatioNumber,Value,YearReturn,MonthReturn,WeekReturn,FinanceBalanceDif,ChipsField2" advise="1">
        <values cols="10">
          <value t="str">
            <val>3.53</val>
          </value>
          <value>
            <val>77.5</val>
          </value>
          <value>
            <val>1.31</val>
          </value>
          <value t="str">
            <val>57.63%</val>
          </value>
          <value t="str">
            <val>1.34億</val>
          </value>
          <value t="str">
            <val>+17.45</val>
          </value>
          <value t="str">
            <val>-2.02</val>
          </value>
          <value t="str">
            <val>-5.72</val>
          </value>
          <value>
            <val>-101</val>
          </value>
          <value>
            <val>0</val>
          </value>
        </values>
      </ddeItem>
      <ddeItem name="5434.TW-ChipsField3,ChipsField1,ChipsField25,CashAndStockDividend,CashDividendYieldRate,ProfitFourSeason,ProfitSingle,CName,ExchangeIndustry,CompanyPos" advise="1">
        <values cols="10">
          <value>
            <val>-7</val>
          </value>
          <value>
            <val>56</val>
          </value>
          <value t="str">
            <val>2022/06/09</val>
          </value>
          <value t="str">
            <val>8.80</val>
          </value>
          <value>
            <val>5.3</val>
          </value>
          <value t="str">
            <val>16.99</val>
          </value>
          <value t="str">
            <val>4.92</val>
          </value>
          <value t="str">
            <val>崇越</val>
          </value>
          <value t="str">
            <val>上市電子通路</val>
          </value>
          <value t="str">
            <val>日本信越晶圓產品在台代理商</val>
          </value>
        </values>
      </ddeItem>
      <ddeItem name="5434.TW-CName,InvestorConferenceDate,DateofMeetingofShareHolders,TradingDate" advise="1">
        <values cols="4">
          <value t="str">
            <val>崇越</val>
          </value>
          <value t="str">
            <val>2022/11/16</val>
          </value>
          <value t="str">
            <val>2022/05/30</val>
          </value>
          <value t="str">
            <val>2022/12/22</val>
          </value>
        </values>
      </ddeItem>
      <ddeItem name="5434.TW-ID,Name,MarketValue,Capital,NetIncomeGrowthRate,OperIncomeGrowthRate,FinancialStatementsTime,TFXRatio,MonthlyNetSalesYoY,RevenueMonth" advise="1">
        <values cols="10">
          <value t="str">
            <val>5434</val>
          </value>
          <value t="str">
            <val>崇越</val>
          </value>
          <value t="str">
            <val>301.6</val>
          </value>
          <value t="str">
            <val>18.17</val>
          </value>
          <value t="str">
            <val>49.86</val>
          </value>
          <value t="str">
            <val>35.70</val>
          </value>
          <value t="str">
            <val>2022/09</val>
          </value>
          <value t="str">
            <val>-4.22</val>
          </value>
          <value t="str">
            <val>17.12</val>
          </value>
          <value t="str">
            <val>2022/11</val>
          </value>
        </values>
      </ddeItem>
      <ddeItem name="5434.TW-OperatingProfitRatio,Price,PriceChangeRatio,InOutRatioNumber,Value,YearReturn,MonthReturn,WeekReturn,FinanceBalanceDif,ChipsField2" advise="1">
        <values cols="10">
          <value t="str">
            <val>6.24</val>
          </value>
          <value>
            <val>166</val>
          </value>
          <value>
            <val>0</val>
          </value>
          <value t="str">
            <val>23.53%</val>
          </value>
          <value t="str">
            <val>1432萬</val>
          </value>
          <value t="str">
            <val>+17.25</val>
          </value>
          <value t="str">
            <val>+0.91</val>
          </value>
          <value t="str">
            <val>-1.78</val>
          </value>
          <value>
            <val>-1</val>
          </value>
          <value>
            <val>13</val>
          </value>
        </values>
      </ddeItem>
      <ddeItem name="5469.TW-ChipsField3,ChipsField1,ChipsField25,CashAndStockDividend,CashDividendYieldRate,ProfitFourSeason,ProfitSingle,CName,ExchangeIndustry,CompanyPos" advise="1">
        <values cols="10">
          <value>
            <val>-34</val>
          </value>
          <value>
            <val>-164</val>
          </value>
          <value t="str">
            <val>2022/08/09</val>
          </value>
          <value t="str">
            <val>2.20</val>
          </value>
          <value>
            <val>6.89</val>
          </value>
          <value t="str">
            <val>6.72</val>
          </value>
          <value t="str">
            <val>2.57</val>
          </value>
          <value t="str">
            <val>瀚宇博</val>
          </value>
          <value t="str">
            <val>上市電子零組件</val>
          </value>
          <value t="str">
            <val>全球前三大NB板與STB板廠之一</val>
          </value>
        </values>
      </ddeItem>
      <ddeItem name="5469.TW-CName,InvestorConferenceDate,DateofMeetingofShareHolders,TradingDate" advise="1">
        <values cols="4">
          <value t="str">
            <val>瀚宇博</val>
          </value>
          <value t="str">
            <val>2022/08/16</val>
          </value>
          <value t="str">
            <val>2022/06/14</val>
          </value>
          <value t="str">
            <val>2022/12/22</val>
          </value>
        </values>
      </ddeItem>
      <ddeItem name="5469.TW-ID,Name,MarketValue,Capital,NetIncomeGrowthRate,OperIncomeGrowthRate,FinancialStatementsTime,TFXRatio,MonthlyNetSalesYoY,RevenueMonth" advise="1">
        <values cols="10">
          <value t="str">
            <val>5469</val>
          </value>
          <value t="str">
            <val>瀚宇博</val>
          </value>
          <value t="str">
            <val>168.8</val>
          </value>
          <value t="str">
            <val>52.84</val>
          </value>
          <value t="str">
            <val>-15.57</val>
          </value>
          <value t="str">
            <val>-29.41</val>
          </value>
          <value t="str">
            <val>2022/09</val>
          </value>
          <value t="str">
            <val>-8.14</val>
          </value>
          <value t="str">
            <val>-20.23</val>
          </value>
          <value t="str">
            <val>2022/11</val>
          </value>
        </values>
      </ddeItem>
      <ddeItem name="5469.TW-OperatingProfitRatio,Price,PriceChangeRatio,InOutRatioNumber,Value,YearReturn,MonthReturn,WeekReturn,FinanceBalanceDif,ChipsField2" advise="1">
        <values cols="10">
          <value t="str">
            <val>10.53</val>
          </value>
          <value>
            <val>31.95</val>
          </value>
          <value>
            <val>0.95</val>
          </value>
          <value t="str">
            <val>43.02%</val>
          </value>
          <value t="str">
            <val>2271萬</val>
          </value>
          <value t="str">
            <val>-22.26</val>
          </value>
          <value t="str">
            <val>-6.44</val>
          </value>
          <value t="str">
            <val>-4.20</val>
          </value>
          <value>
            <val>49</val>
          </value>
          <value>
            <val>0</val>
          </value>
        </values>
      </ddeItem>
      <ddeItem name="5471.TW-ChipsField3,ChipsField1,ChipsField25,CashAndStockDividend,CashDividendYieldRate,ProfitFourSeason,ProfitSingle,CName,ExchangeIndustry,CompanyPos" advise="1">
        <values cols="10">
          <value>
            <val>31</val>
          </value>
          <value>
            <val>-579</val>
          </value>
          <value t="str">
            <val>2022/07/21</val>
          </value>
          <value t="str">
            <val>7.00</val>
          </value>
          <value>
            <val>13.46</val>
          </value>
          <value t="str">
            <val>5.01</val>
          </value>
          <value t="str">
            <val>0.56</val>
          </value>
          <value t="str">
            <val>松翰</val>
          </value>
          <value t="str">
            <val>上市半導體</val>
          </value>
          <value t="str">
            <val>為語音及多媒體IC設計專業廠商</val>
          </value>
        </values>
      </ddeItem>
      <ddeItem name="5471.TW-CName,InvestorConferenceDate,DateofMeetingofShareHolders,TradingDate" advise="1">
        <values cols="4">
          <value t="str">
            <val>松翰</val>
          </value>
          <value t="str">
            <val>2022/11/15</val>
          </value>
          <value t="str">
            <val>2022/06/21</val>
          </value>
          <value t="str">
            <val>2022/12/22</val>
          </value>
        </values>
      </ddeItem>
      <ddeItem name="5471.TW-ID,Name,MarketValue,Capital,NetIncomeGrowthRate,OperIncomeGrowthRate,FinancialStatementsTime,TFXRatio,MonthlyNetSalesYoY,RevenueMonth" advise="1">
        <values cols="10">
          <value t="str">
            <val>5471</val>
          </value>
          <value t="str">
            <val>松翰</val>
          </value>
          <value t="str">
            <val>87.3</val>
          </value>
          <value t="str">
            <val>16.79</val>
          </value>
          <value t="str">
            <val>-52.72</val>
          </value>
          <value t="str">
            <val>-64.86</val>
          </value>
          <value t="str">
            <val>2022/09</val>
          </value>
          <value t="str">
            <val>0.99</val>
          </value>
          <value t="str">
            <val>-54.53</val>
          </value>
          <value t="str">
            <val>2022/11</val>
          </value>
        </values>
      </ddeItem>
      <ddeItem name="5471.TW-OperatingProfitRatio,Price,PriceChangeRatio,InOutRatioNumber,Value,YearReturn,MonthReturn,WeekReturn,FinanceBalanceDif,ChipsField2" advise="1">
        <values cols="10">
          <value t="str">
            <val>18.84</val>
          </value>
          <value>
            <val>52</val>
          </value>
          <value>
            <val>-2.62</val>
          </value>
          <value t="str">
            <val>32.92%</val>
          </value>
          <value t="str">
            <val>1.32億</val>
          </value>
          <value t="str">
            <val>-36.44</val>
          </value>
          <value t="str">
            <val>+7.66</val>
          </value>
          <value t="str">
            <val>+3.17</val>
          </value>
          <value>
            <val>643</val>
          </value>
          <value>
            <val>0</val>
          </value>
        </values>
      </ddeItem>
      <ddeItem name="548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-1.33</val>
          </value>
          <value t="str">
            <val>-0.01</val>
          </value>
          <value t="str">
            <val>慧友</val>
          </value>
          <value t="str">
            <val>上市光電</val>
          </value>
          <value t="str">
            <val>台灣DVR領導廠商</val>
          </value>
        </values>
      </ddeItem>
      <ddeItem name="5484.TW-CName,InvestorConferenceDate,DateofMeetingofShareHolders,TradingDate" advise="1">
        <values cols="4">
          <value t="str">
            <val>慧友</val>
          </value>
          <value t="str">
            <val>2022/11/30</val>
          </value>
          <value t="str">
            <val>2022/06/15</val>
          </value>
          <value t="str">
            <val>2022/12/22</val>
          </value>
        </values>
      </ddeItem>
      <ddeItem name="5484.TW-ID,Name,MarketValue,Capital,NetIncomeGrowthRate,OperIncomeGrowthRate,FinancialStatementsTime,TFXRatio,MonthlyNetSalesYoY,RevenueMonth" advise="1">
        <values cols="10">
          <value t="str">
            <val>5484</val>
          </value>
          <value t="str">
            <val>慧友</val>
          </value>
          <value t="str">
            <val>9.1</val>
          </value>
          <value t="str">
            <val>6.68</val>
          </value>
          <value t="str">
            <val>-143.12</val>
          </value>
          <value t="str">
            <val>-191.75</val>
          </value>
          <value t="str">
            <val>2022/09</val>
          </value>
          <value t="str">
            <val>11.10</val>
          </value>
          <value t="str">
            <val>54.95</val>
          </value>
          <value t="str">
            <val>2022/11</val>
          </value>
        </values>
      </ddeItem>
      <ddeItem name="5484.TW-OperatingProfitRatio,Price,PriceChangeRatio,InOutRatioNumber,Value,YearReturn,MonthReturn,WeekReturn,FinanceBalanceDif,ChipsField2" advise="1">
        <values cols="10">
          <value t="str">
            <val>-21.85</val>
          </value>
          <value>
            <val>13.55</val>
          </value>
          <value>
            <val>1.5</val>
          </value>
          <value t="str">
            <val>100.00%</val>
          </value>
          <value t="str">
            <val>5.41萬</val>
          </value>
          <value t="str">
            <val>-16.10</val>
          </value>
          <value t="str">
            <val>+6.27</val>
          </value>
          <value t="str">
            <val>-0.73</val>
          </value>
          <value>
            <val>0</val>
          </value>
          <value>
            <val>0</val>
          </value>
        </values>
      </ddeItem>
      <ddeItem name="5515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-9</val>
          </value>
          <value t="str">
            <val>2022/08/01</val>
          </value>
          <value t="str">
            <val>1.02</val>
          </value>
          <value>
            <val>9.0299999999999994</val>
          </value>
          <value t="str">
            <val>0.61</val>
          </value>
          <value t="str">
            <val>0.22</val>
          </value>
          <value t="str">
            <val>建國</val>
          </value>
          <value t="str">
            <val>上市建材營造</val>
          </value>
          <value t="str">
            <val>建築統包工程服務商</val>
          </value>
        </values>
      </ddeItem>
      <ddeItem name="5515.TW-CName,InvestorConferenceDate,DateofMeetingofShareHolders,TradingDate" advise="1">
        <values cols="4">
          <value t="str">
            <val>建國</val>
          </value>
          <value t="str">
            <val>2022/08/25</val>
          </value>
          <value t="str">
            <val>2022/06/21</val>
          </value>
          <value t="str">
            <val>2022/12/22</val>
          </value>
        </values>
      </ddeItem>
      <ddeItem name="5515.TW-ID,Name,MarketValue,Capital,NetIncomeGrowthRate,OperIncomeGrowthRate,FinancialStatementsTime,TFXRatio,MonthlyNetSalesYoY,RevenueMonth" advise="1">
        <values cols="10">
          <value t="str">
            <val>5515</val>
          </value>
          <value t="str">
            <val>建國</val>
          </value>
          <value t="str">
            <val>28.5</val>
          </value>
          <value t="str">
            <val>25.20</val>
          </value>
          <value t="str">
            <val>-67.43</val>
          </value>
          <value t="str">
            <val>-17.95</val>
          </value>
          <value t="str">
            <val>2022/09</val>
          </value>
          <value t="str">
            <val>47.08</val>
          </value>
          <value t="str">
            <val>14.74</val>
          </value>
          <value t="str">
            <val>2022/11</val>
          </value>
        </values>
      </ddeItem>
      <ddeItem name="5515.TW-OperatingProfitRatio,Price,PriceChangeRatio,InOutRatioNumber,Value,YearReturn,MonthReturn,WeekReturn,FinanceBalanceDif,ChipsField2" advise="1">
        <values cols="10">
          <value t="str">
            <val>6.36</val>
          </value>
          <value>
            <val>11.3</val>
          </value>
          <value>
            <val>0.44</val>
          </value>
          <value t="str">
            <val>20.00%</val>
          </value>
          <value t="str">
            <val>24.9萬</val>
          </value>
          <value t="str">
            <val>-11.17</val>
          </value>
          <value t="str">
            <val>+2.26</val>
          </value>
          <value t="str">
            <val>-1.31</val>
          </value>
          <value>
            <val>3</val>
          </value>
          <value>
            <val>0</val>
          </value>
        </values>
      </ddeItem>
      <ddeItem name="5519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14</val>
          </value>
          <value t="str">
            <val>2022/08/08</val>
          </value>
          <value t="str">
            <val>2.00</val>
          </value>
          <value>
            <val>8.81</val>
          </value>
          <value t="str">
            <val>4.50</val>
          </value>
          <value t="str">
            <val>2.06</val>
          </value>
          <value t="str">
            <val>隆大</val>
          </value>
          <value t="str">
            <val>上市建材營造</val>
          </value>
          <value t="str">
            <val>綜合營造及住宅大樓開發商</val>
          </value>
        </values>
      </ddeItem>
      <ddeItem name="5519.TW-CName,InvestorConferenceDate,DateofMeetingofShareHolders,TradingDate" advise="1">
        <values cols="4">
          <value t="str">
            <val>隆大</val>
          </value>
          <value t="str">
            <val>2022/03/23</val>
          </value>
          <value t="str">
            <val>2022/06/07</val>
          </value>
          <value t="str">
            <val>2022/12/22</val>
          </value>
        </values>
      </ddeItem>
      <ddeItem name="5519.TW-ID,Name,MarketValue,Capital,NetIncomeGrowthRate,OperIncomeGrowthRate,FinancialStatementsTime,TFXRatio,MonthlyNetSalesYoY,RevenueMonth" advise="1">
        <values cols="10">
          <value t="str">
            <val>5519</val>
          </value>
          <value t="str">
            <val>隆大</val>
          </value>
          <value t="str">
            <val>49.8</val>
          </value>
          <value t="str">
            <val>21.92</val>
          </value>
          <value t="str">
            <val>133.13</val>
          </value>
          <value t="str">
            <val>123.59</val>
          </value>
          <value t="str">
            <val>2022/09</val>
          </value>
          <value t="str">
            <val>-73.94</val>
          </value>
          <value t="str">
            <val>-64.98</val>
          </value>
          <value t="str">
            <val>2022/11</val>
          </value>
        </values>
      </ddeItem>
      <ddeItem name="5519.TW-OperatingProfitRatio,Price,PriceChangeRatio,InOutRatioNumber,Value,YearReturn,MonthReturn,WeekReturn,FinanceBalanceDif,ChipsField2" advise="1">
        <values cols="10">
          <value t="str">
            <val>21.41</val>
          </value>
          <value>
            <val>22.7</val>
          </value>
          <value>
            <val>0.67</val>
          </value>
          <value t="str">
            <val>75.35%</val>
          </value>
          <value t="str">
            <val>324萬</val>
          </value>
          <value t="str">
            <val>+18.00</val>
          </value>
          <value t="str">
            <val>+2.71</val>
          </value>
          <value t="str">
            <val>-0.66</val>
          </value>
          <value>
            <val>1</val>
          </value>
          <value>
            <val>0</val>
          </value>
        </values>
      </ddeItem>
      <ddeItem name="5521.TW-ChipsField3,ChipsField1,ChipsField25,CashAndStockDividend,CashDividendYieldRate,ProfitFourSeason,ProfitSingle,CName,ExchangeIndustry,CompanyPos" advise="1">
        <values cols="10">
          <value>
            <val>-31</val>
          </value>
          <value>
            <val>16</val>
          </value>
          <value t="str">
            <val>--</val>
          </value>
          <value t="str">
            <val>0.00</val>
          </value>
          <value>
            <val>0</val>
          </value>
          <value t="str">
            <val>-0.16</val>
          </value>
          <value t="str">
            <val>0.00</val>
          </value>
          <value t="str">
            <val>工信</val>
          </value>
          <value t="str">
            <val>上市建材營造</val>
          </value>
          <value t="str">
            <val>台灣前十大營造廠</val>
          </value>
        </values>
      </ddeItem>
      <ddeItem name="5521.TW-CName,InvestorConferenceDate,DateofMeetingofShareHolders,TradingDate" advise="1">
        <values cols="4">
          <value t="str">
            <val>工信</val>
          </value>
          <value t="str">
            <val>2022/10/20</val>
          </value>
          <value t="str">
            <val>2022/06/29</val>
          </value>
          <value t="str">
            <val>2022/12/22</val>
          </value>
        </values>
      </ddeItem>
      <ddeItem name="5521.TW-ID,Name,MarketValue,Capital,NetIncomeGrowthRate,OperIncomeGrowthRate,FinancialStatementsTime,TFXRatio,MonthlyNetSalesYoY,RevenueMonth" advise="1">
        <values cols="10">
          <value t="str">
            <val>5521</val>
          </value>
          <value t="str">
            <val>工信</val>
          </value>
          <value t="str">
            <val>33.2</val>
          </value>
          <value t="str">
            <val>49.23</val>
          </value>
          <value t="str">
            <val>-140.12</val>
          </value>
          <value t="str">
            <val>-116.58</val>
          </value>
          <value t="str">
            <val>2022/09</val>
          </value>
          <value t="str">
            <val>46.83</val>
          </value>
          <value t="str">
            <val>37.16</val>
          </value>
          <value t="str">
            <val>2022/11</val>
          </value>
        </values>
      </ddeItem>
      <ddeItem name="5521.TW-OperatingProfitRatio,Price,PriceChangeRatio,InOutRatioNumber,Value,YearReturn,MonthReturn,WeekReturn,FinanceBalanceDif,ChipsField2" advise="1">
        <values cols="10">
          <value t="str">
            <val>-0.51</val>
          </value>
          <value>
            <val>6.75</val>
          </value>
          <value>
            <val>0</val>
          </value>
          <value t="str">
            <val>62.15%</val>
          </value>
          <value t="str">
            <val>144萬</val>
          </value>
          <value t="str">
            <val>-19.64</val>
          </value>
          <value t="str">
            <val>+5.80</val>
          </value>
          <value t="str">
            <val>+0.30</val>
          </value>
          <value>
            <val>-8</val>
          </value>
          <value>
            <val>0</val>
          </value>
        </values>
      </ddeItem>
      <ddeItem name="5522.TW-ChipsField3,ChipsField1,ChipsField25,CashAndStockDividend,CashDividendYieldRate,ProfitFourSeason,ProfitSingle,CName,ExchangeIndustry,CompanyPos" advise="1">
        <values cols="10">
          <value>
            <val>55</val>
          </value>
          <value>
            <val>512</val>
          </value>
          <value t="str">
            <val>2022/10/18</val>
          </value>
          <value t="str">
            <val>2.00</val>
          </value>
          <value>
            <val>9.43</val>
          </value>
          <value t="str">
            <val>8.82</val>
          </value>
          <value t="str">
            <val>1.84</val>
          </value>
          <value t="str">
            <val>遠雄</val>
          </value>
          <value t="str">
            <val>上市建材營造</val>
          </value>
          <value t="str">
            <val>以營建地產、休閒娛樂為核心的企業集團</val>
          </value>
        </values>
      </ddeItem>
      <ddeItem name="5522.TW-CName,InvestorConferenceDate,DateofMeetingofShareHolders,TradingDate" advise="1">
        <values cols="4">
          <value t="str">
            <val>遠雄</val>
          </value>
          <value t="str">
            <val>2022/11/17</val>
          </value>
          <value t="str">
            <val>2022/06/10</val>
          </value>
          <value t="str">
            <val>2022/12/22</val>
          </value>
        </values>
      </ddeItem>
      <ddeItem name="5522.TW-ID,Name,MarketValue,Capital,NetIncomeGrowthRate,OperIncomeGrowthRate,FinancialStatementsTime,TFXRatio,MonthlyNetSalesYoY,RevenueMonth" advise="1">
        <values cols="10">
          <value t="str">
            <val>5522</val>
          </value>
          <value t="str">
            <val>遠雄</val>
          </value>
          <value t="str">
            <val>455.7</val>
          </value>
          <value t="str">
            <val>78.16</val>
          </value>
          <value t="str">
            <val>26.13</val>
          </value>
          <value t="str">
            <val>13.35</val>
          </value>
          <value t="str">
            <val>2022/09</val>
          </value>
          <value t="str">
            <val>-28.53</val>
          </value>
          <value t="str">
            <val>-49.20</val>
          </value>
          <value t="str">
            <val>2022/11</val>
          </value>
        </values>
      </ddeItem>
      <ddeItem name="5522.TW-OperatingProfitRatio,Price,PriceChangeRatio,InOutRatioNumber,Value,YearReturn,MonthReturn,WeekReturn,FinanceBalanceDif,ChipsField2" advise="1">
        <values cols="10">
          <value t="str">
            <val>27.14</val>
          </value>
          <value>
            <val>58.3</val>
          </value>
          <value>
            <val>1.04</val>
          </value>
          <value t="str">
            <val>46.55%</val>
          </value>
          <value t="str">
            <val>1.89億</val>
          </value>
          <value t="str">
            <val>+3.20</val>
          </value>
          <value t="str">
            <val>+10.84</val>
          </value>
          <value t="str">
            <val>+11.69</val>
          </value>
          <value>
            <val>41</val>
          </value>
          <value>
            <val>-635</val>
          </value>
        </values>
      </ddeItem>
      <ddeItem name="5525.TW-ChipsField3,ChipsField1,ChipsField25,CashAndStockDividend,CashDividendYieldRate,ProfitFourSeason,ProfitSingle,CName,ExchangeIndustry,CompanyPos" advise="1">
        <values cols="10">
          <value>
            <val>-2</val>
          </value>
          <value>
            <val>-3</val>
          </value>
          <value t="str">
            <val>2022/07/07</val>
          </value>
          <value t="str">
            <val>0.30</val>
          </value>
          <value>
            <val>1.21</val>
          </value>
          <value t="str">
            <val>2.26</val>
          </value>
          <value t="str">
            <val>0.05</val>
          </value>
          <value t="str">
            <val>順天</val>
          </value>
          <value t="str">
            <val>上市建材營造</val>
          </value>
          <value t="str">
            <val>台中地區建商</val>
          </value>
        </values>
      </ddeItem>
      <ddeItem name="5525.TW-CName,InvestorConferenceDate,DateofMeetingofShareHolders,TradingDate" advise="1">
        <values cols="4">
          <value t="str">
            <val>順天</val>
          </value>
          <value t="str">
            <val>2022/12/14</val>
          </value>
          <value t="str">
            <val>2022/06/08</val>
          </value>
          <value t="str">
            <val>2022/12/22</val>
          </value>
        </values>
      </ddeItem>
      <ddeItem name="5525.TW-ID,Name,MarketValue,Capital,NetIncomeGrowthRate,OperIncomeGrowthRate,FinancialStatementsTime,TFXRatio,MonthlyNetSalesYoY,RevenueMonth" advise="1">
        <values cols="10">
          <value t="str">
            <val>5525</val>
          </value>
          <value t="str">
            <val>順天</val>
          </value>
          <value t="str">
            <val>65.8</val>
          </value>
          <value t="str">
            <val>26.46</val>
          </value>
          <value t="str">
            <val>651.81</val>
          </value>
          <value t="str">
            <val>1042.11</val>
          </value>
          <value t="str">
            <val>2022/09</val>
          </value>
          <value t="str">
            <val>-50.15</val>
          </value>
          <value t="str">
            <val>-45.09</val>
          </value>
          <value t="str">
            <val>2022/11</val>
          </value>
        </values>
      </ddeItem>
      <ddeItem name="5525.TW-OperatingProfitRatio,Price,PriceChangeRatio,InOutRatioNumber,Value,YearReturn,MonthReturn,WeekReturn,FinanceBalanceDif,ChipsField2" advise="1">
        <values cols="10">
          <value t="str">
            <val>14.42</val>
          </value>
          <value>
            <val>24.85</val>
          </value>
          <value>
            <val>0</val>
          </value>
          <value t="str">
            <val>47.06%</val>
          </value>
          <value t="str">
            <val>42.1萬</val>
          </value>
          <value t="str">
            <val>-10.76</val>
          </value>
          <value t="str">
            <val>+5.07</val>
          </value>
          <value t="str">
            <val>+5.30</val>
          </value>
          <value>
            <val>1</val>
          </value>
          <value>
            <val>0</val>
          </value>
        </values>
      </ddeItem>
      <ddeItem name="5531.TW-ChipsField3,ChipsField1,ChipsField25,CashAndStockDividend,CashDividendYieldRate,ProfitFourSeason,ProfitSingle,CName,ExchangeIndustry,CompanyPos" advise="1">
        <values cols="10">
          <value>
            <val>-6</val>
          </value>
          <value>
            <val>10</val>
          </value>
          <value t="str">
            <val>--</val>
          </value>
          <value t="str">
            <val>0.00</val>
          </value>
          <value>
            <val>0</val>
          </value>
          <value t="str">
            <val>-1.03</val>
          </value>
          <value t="str">
            <val>-0.47</val>
          </value>
          <value t="str">
            <val>鄉林</val>
          </value>
          <value t="str">
            <val>上市建材營造</val>
          </value>
          <value t="str">
            <val>推案以中部地區為主之建商，並跨足觀光旅館經營</val>
          </value>
        </values>
      </ddeItem>
      <ddeItem name="5531.TW-CName,InvestorConferenceDate,DateofMeetingofShareHolders,TradingDate" advise="1">
        <values cols="4">
          <value t="str">
            <val>鄉林</val>
          </value>
          <value t="str">
            <val>2021/09/16</val>
          </value>
          <value t="str">
            <val>2022/06/24</val>
          </value>
          <value t="str">
            <val>2022/12/22</val>
          </value>
        </values>
      </ddeItem>
      <ddeItem name="5531.TW-ID,Name,MarketValue,Capital,NetIncomeGrowthRate,OperIncomeGrowthRate,FinancialStatementsTime,TFXRatio,MonthlyNetSalesYoY,RevenueMonth" advise="1">
        <values cols="10">
          <value t="str">
            <val>5531</val>
          </value>
          <value t="str">
            <val>鄉林</val>
          </value>
          <value t="str">
            <val>90.8</val>
          </value>
          <value t="str">
            <val>97.76</val>
          </value>
          <value t="str">
            <val>-53.74</val>
          </value>
          <value t="str">
            <val>0.66</val>
          </value>
          <value t="str">
            <val>2022/09</val>
          </value>
          <value t="str">
            <val>-60.78</val>
          </value>
          <value t="str">
            <val>-79.64</val>
          </value>
          <value t="str">
            <val>2022/11</val>
          </value>
        </values>
      </ddeItem>
      <ddeItem name="5531.TW-OperatingProfitRatio,Price,PriceChangeRatio,InOutRatioNumber,Value,YearReturn,MonthReturn,WeekReturn,FinanceBalanceDif,ChipsField2" advise="1">
        <values cols="10">
          <value t="str">
            <val>-61.18</val>
          </value>
          <value>
            <val>9.2899999999999991</val>
          </value>
          <value>
            <val>0.11</val>
          </value>
          <value t="str">
            <val>44.58%</val>
          </value>
          <value t="str">
            <val>78.8萬</val>
          </value>
          <value t="str">
            <val>-14.38</val>
          </value>
          <value t="str">
            <val>+0.98</val>
          </value>
          <value t="str">
            <val>-1.69</val>
          </value>
          <value>
            <val>14</val>
          </value>
          <value>
            <val>0</val>
          </value>
        </values>
      </ddeItem>
      <ddeItem name="5533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-17</val>
          </value>
          <value t="str">
            <val>2022/06/09</val>
          </value>
          <value t="str">
            <val>1.00</val>
          </value>
          <value>
            <val>5.71</val>
          </value>
          <value t="str">
            <val>5.77</val>
          </value>
          <value t="str">
            <val>0.68</val>
          </value>
          <value t="str">
            <val>皇鼎</val>
          </value>
          <value t="str">
            <val>上市建材營造</val>
          </value>
          <value t="str">
            <val>主要於大台北地區推案的建商</val>
          </value>
        </values>
      </ddeItem>
      <ddeItem name="5533.TW-CName,InvestorConferenceDate,DateofMeetingofShareHolders,TradingDate" advise="1">
        <values cols="4">
          <value t="str">
            <val>皇鼎</val>
          </value>
          <value t="str">
            <val>2022/10/25</val>
          </value>
          <value t="str">
            <val>2022/06/09</val>
          </value>
          <value t="str">
            <val>2022/12/22</val>
          </value>
        </values>
      </ddeItem>
      <ddeItem name="5533.TW-ID,Name,MarketValue,Capital,NetIncomeGrowthRate,OperIncomeGrowthRate,FinancialStatementsTime,TFXRatio,MonthlyNetSalesYoY,RevenueMonth" advise="1">
        <values cols="10">
          <value t="str">
            <val>5533</val>
          </value>
          <value t="str">
            <val>皇鼎</val>
          </value>
          <value t="str">
            <val>49.9</val>
          </value>
          <value t="str">
            <val>28.52</val>
          </value>
          <value t="str">
            <val>140.01</val>
          </value>
          <value t="str">
            <val>110.50</val>
          </value>
          <value t="str">
            <val>2022/09</val>
          </value>
          <value t="str">
            <val>-45.69</val>
          </value>
          <value t="str">
            <val>-52.70</val>
          </value>
          <value t="str">
            <val>2022/11</val>
          </value>
        </values>
      </ddeItem>
      <ddeItem name="5533.TW-OperatingProfitRatio,Price,PriceChangeRatio,InOutRatioNumber,Value,YearReturn,MonthReturn,WeekReturn,FinanceBalanceDif,ChipsField2" advise="1">
        <values cols="10">
          <value t="str">
            <val>22.38</val>
          </value>
          <value>
            <val>17.5</val>
          </value>
          <value>
            <val>0</val>
          </value>
          <value t="str">
            <val>26.42%</val>
          </value>
          <value t="str">
            <val>92.7萬</val>
          </value>
          <value t="str">
            <val>-3.35</val>
          </value>
          <value t="str">
            <val>0.00</val>
          </value>
          <value t="str">
            <val>-0.57</val>
          </value>
          <value>
            <val>-18</val>
          </value>
          <value>
            <val>0</val>
          </value>
        </values>
      </ddeItem>
      <ddeItem name="5534.TW-ChipsField3,ChipsField1,ChipsField25,CashAndStockDividend,CashDividendYieldRate,ProfitFourSeason,ProfitSingle,CName,ExchangeIndustry,CompanyPos" advise="1">
        <values cols="10">
          <value>
            <val>-38</val>
          </value>
          <value>
            <val>-17</val>
          </value>
          <value t="str">
            <val>2022/08/26</val>
          </value>
          <value t="str">
            <val>4.41</val>
          </value>
          <value>
            <val>6.13</val>
          </value>
          <value t="str">
            <val>10.43</val>
          </value>
          <value t="str">
            <val>0.99</val>
          </value>
          <value t="str">
            <val>長虹</val>
          </value>
          <value t="str">
            <val>上市建材營造</val>
          </value>
          <value t="str">
            <val>以廠辦及住宅開發案為主之建商</val>
          </value>
        </values>
      </ddeItem>
      <ddeItem name="5534.TW-CName,InvestorConferenceDate,DateofMeetingofShareHolders,TradingDate" advise="1">
        <values cols="4">
          <value t="str">
            <val>長虹</val>
          </value>
          <value t="str">
            <val>2022/12/22</val>
          </value>
          <value t="str">
            <val>2022/06/28</val>
          </value>
          <value t="str">
            <val>2022/12/22</val>
          </value>
        </values>
      </ddeItem>
      <ddeItem name="5534.TW-ID,Name,MarketValue,Capital,NetIncomeGrowthRate,OperIncomeGrowthRate,FinancialStatementsTime,TFXRatio,MonthlyNetSalesYoY,RevenueMonth" advise="1">
        <values cols="10">
          <value t="str">
            <val>5534</val>
          </value>
          <value t="str">
            <val>長虹</val>
          </value>
          <value t="str">
            <val>209.0</val>
          </value>
          <value t="str">
            <val>29.03</val>
          </value>
          <value t="str">
            <val>780.84</val>
          </value>
          <value t="str">
            <val>813.29</val>
          </value>
          <value t="str">
            <val>2022/09</val>
          </value>
          <value t="str">
            <val>1068.73</val>
          </value>
          <value t="str">
            <val>192.20</val>
          </value>
          <value t="str">
            <val>2022/11</val>
          </value>
        </values>
      </ddeItem>
      <ddeItem name="5534.TW-OperatingProfitRatio,Price,PriceChangeRatio,InOutRatioNumber,Value,YearReturn,MonthReturn,WeekReturn,FinanceBalanceDif,ChipsField2" advise="1">
        <values cols="10">
          <value t="str">
            <val>39.13</val>
          </value>
          <value>
            <val>72</val>
          </value>
          <value>
            <val>0.7</val>
          </value>
          <value t="str">
            <val>46.07%</val>
          </value>
          <value t="str">
            <val>654萬</val>
          </value>
          <value t="str">
            <val>+6.74</val>
          </value>
          <value t="str">
            <val>+1.12</val>
          </value>
          <value t="str">
            <val>+0.98</val>
          </value>
          <value>
            <val>-8</val>
          </value>
          <value>
            <val>0</val>
          </value>
        </values>
      </ddeItem>
      <ddeItem name="553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2022/07/08</val>
          </value>
          <value t="str">
            <val>3.20</val>
          </value>
          <value>
            <val>7.6</val>
          </value>
          <value t="str">
            <val>5.88</val>
          </value>
          <value t="str">
            <val>-0.07</val>
          </value>
          <value t="str">
            <val>東明-KY</val>
          </value>
          <value t="str">
            <val>上市鋼鐵</val>
          </value>
          <value t="str">
            <val>大陸不鏽鋼緊固件龍頭大廠</val>
          </value>
        </values>
      </ddeItem>
      <ddeItem name="5538.TW-CName,InvestorConferenceDate,DateofMeetingofShareHolders,TradingDate" advise="1">
        <values cols="4">
          <value t="str">
            <val>東明-KY</val>
          </value>
          <value t="str">
            <val>2022/10/26</val>
          </value>
          <value t="str">
            <val>2022/06/14</val>
          </value>
          <value t="str">
            <val>2022/12/22</val>
          </value>
        </values>
      </ddeItem>
      <ddeItem name="5538.TW-ID,Name,MarketValue,Capital,NetIncomeGrowthRate,OperIncomeGrowthRate,FinancialStatementsTime,TFXRatio,MonthlyNetSalesYoY,RevenueMonth" advise="1">
        <values cols="10">
          <value t="str">
            <val>5538</val>
          </value>
          <value t="str">
            <val>東明-KY</val>
          </value>
          <value t="str">
            <val>84.7</val>
          </value>
          <value t="str">
            <val>20.12</val>
          </value>
          <value t="str">
            <val>-28.57</val>
          </value>
          <value t="str">
            <val>-30.80</val>
          </value>
          <value t="str">
            <val>2022/09</val>
          </value>
          <value t="str">
            <val>7.01</val>
          </value>
          <value t="str">
            <val>4.47</val>
          </value>
          <value t="str">
            <val>2022/11</val>
          </value>
        </values>
      </ddeItem>
      <ddeItem name="5538.TW-OperatingProfitRatio,Price,PriceChangeRatio,InOutRatioNumber,Value,YearReturn,MonthReturn,WeekReturn,FinanceBalanceDif,ChipsField2" advise="1">
        <values cols="10">
          <value t="str">
            <val>8.20</val>
          </value>
          <value>
            <val>42.1</val>
          </value>
          <value>
            <val>-0.47</val>
          </value>
          <value t="str">
            <val>42.86%</val>
          </value>
          <value t="str">
            <val>29.6萬</val>
          </value>
          <value t="str">
            <val>-15.06</val>
          </value>
          <value t="str">
            <val>+3.95</val>
          </value>
          <value t="str">
            <val>-0.59</val>
          </value>
          <value>
            <val>-3</val>
          </value>
          <value>
            <val>0</val>
          </value>
        </values>
      </ddeItem>
      <ddeItem name="554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2022/07/22</val>
          </value>
          <value t="str">
            <val>5.00</val>
          </value>
          <value>
            <val>10.68</val>
          </value>
          <value t="str">
            <val>2.01</val>
          </value>
          <value t="str">
            <val>-0.51</val>
          </value>
          <value t="str">
            <val>永固-KY</val>
          </value>
          <value t="str">
            <val>上市建材營造</val>
          </value>
          <value t="str">
            <val>大陸重慶地區預拌混凝土領導廠商</val>
          </value>
        </values>
      </ddeItem>
      <ddeItem name="5546.TW-CName,InvestorConferenceDate,DateofMeetingofShareHolders,TradingDate" advise="1">
        <values cols="4">
          <value t="str">
            <val>永固-KY</val>
          </value>
          <value t="str">
            <val>2022/12/02</val>
          </value>
          <value t="str">
            <val>2022/05/30</val>
          </value>
          <value t="str">
            <val>2022/12/22</val>
          </value>
        </values>
      </ddeItem>
      <ddeItem name="5546.TW-ID,Name,MarketValue,Capital,NetIncomeGrowthRate,OperIncomeGrowthRate,FinancialStatementsTime,TFXRatio,MonthlyNetSalesYoY,RevenueMonth" advise="1">
        <values cols="10">
          <value t="str">
            <val>5546</val>
          </value>
          <value t="str">
            <val>永固-KY</val>
          </value>
          <value t="str">
            <val>38.5</val>
          </value>
          <value t="str">
            <val>8.24</val>
          </value>
          <value t="str">
            <val>-55.02</val>
          </value>
          <value t="str">
            <val>-61.66</val>
          </value>
          <value t="str">
            <val>2022/09</val>
          </value>
          <value t="str">
            <val>-46.09</val>
          </value>
          <value t="str">
            <val>-63.70</val>
          </value>
          <value t="str">
            <val>2022/11</val>
          </value>
        </values>
      </ddeItem>
      <ddeItem name="5546.TW-OperatingProfitRatio,Price,PriceChangeRatio,InOutRatioNumber,Value,YearReturn,MonthReturn,WeekReturn,FinanceBalanceDif,ChipsField2" advise="1">
        <values cols="10">
          <value t="str">
            <val>2.49</val>
          </value>
          <value>
            <val>46.8</val>
          </value>
          <value>
            <val>0.65</val>
          </value>
          <value t="str">
            <val>41.67%</val>
          </value>
          <value t="str">
            <val>55.9萬</val>
          </value>
          <value t="str">
            <val>-12.02</val>
          </value>
          <value t="str">
            <val>-4.10</val>
          </value>
          <value t="str">
            <val>-2.40</val>
          </value>
          <value>
            <val>0</val>
          </value>
          <value>
            <val>0</val>
          </value>
        </values>
      </ddeItem>
      <ddeItem name="5607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6</val>
          </value>
          <value t="str">
            <val>2022/08/08</val>
          </value>
          <value t="str">
            <val>1.60</val>
          </value>
          <value>
            <val>3.14</val>
          </value>
          <value t="str">
            <val>3.92</val>
          </value>
          <value t="str">
            <val>0.93</val>
          </value>
          <value t="str">
            <val>遠雄港</val>
          </value>
          <value t="str">
            <val>上市航運業</val>
          </value>
          <value t="str">
            <val>轉型控股公司並經營海、陸、空聯運之自由貿易港區</val>
          </value>
        </values>
      </ddeItem>
      <ddeItem name="5607.TW-CName,InvestorConferenceDate,DateofMeetingofShareHolders,TradingDate" advise="1">
        <values cols="4">
          <value t="str">
            <val>遠雄港</val>
          </value>
          <value t="str">
            <val>2022/10/20</val>
          </value>
          <value t="str">
            <val>2022/06/23</val>
          </value>
          <value t="str">
            <val>2022/12/22</val>
          </value>
        </values>
      </ddeItem>
      <ddeItem name="5607.TW-ID,Name,MarketValue,Capital,NetIncomeGrowthRate,OperIncomeGrowthRate,FinancialStatementsTime,TFXRatio,MonthlyNetSalesYoY,RevenueMonth" advise="1">
        <values cols="10">
          <value t="str">
            <val>5607</val>
          </value>
          <value t="str">
            <val>遠雄港</val>
          </value>
          <value t="str">
            <val>139.5</val>
          </value>
          <value t="str">
            <val>27.40</val>
          </value>
          <value t="str">
            <val>78.70</val>
          </value>
          <value t="str">
            <val>65.92</val>
          </value>
          <value t="str">
            <val>2022/09</val>
          </value>
          <value t="str">
            <val>-3.95</val>
          </value>
          <value t="str">
            <val>-2.66</val>
          </value>
          <value t="str">
            <val>2022/11</val>
          </value>
        </values>
      </ddeItem>
      <ddeItem name="5607.TW-OperatingProfitRatio,Price,PriceChangeRatio,InOutRatioNumber,Value,YearReturn,MonthReturn,WeekReturn,FinanceBalanceDif,ChipsField2" advise="1">
        <values cols="10">
          <value t="str">
            <val>48.80</val>
          </value>
          <value>
            <val>50.9</val>
          </value>
          <value>
            <val>1.6</val>
          </value>
          <value t="str">
            <val>58.54%</val>
          </value>
          <value t="str">
            <val>2746萬</val>
          </value>
          <value t="str">
            <val>-24.65</val>
          </value>
          <value t="str">
            <val>-6.26</val>
          </value>
          <value t="str">
            <val>-1.93</val>
          </value>
          <value>
            <val>-20</val>
          </value>
          <value>
            <val>0</val>
          </value>
        </values>
      </ddeItem>
      <ddeItem name="5608.TW-ChipsField3,ChipsField1,ChipsField25,CashAndStockDividend,CashDividendYieldRate,ProfitFourSeason,ProfitSingle,CName,ExchangeIndustry,CompanyPos" advise="1">
        <values cols="10">
          <value>
            <val>-465</val>
          </value>
          <value>
            <val>1244</val>
          </value>
          <value t="str">
            <val>2022/07/20</val>
          </value>
          <value t="str">
            <val>2.00</val>
          </value>
          <value>
            <val>7.5</val>
          </value>
          <value t="str">
            <val>7.68</val>
          </value>
          <value t="str">
            <val>1.83</val>
          </value>
          <value t="str">
            <val>四維航</val>
          </value>
          <value t="str">
            <val>上市航運業</val>
          </value>
          <value t="str">
            <val>以輕型散裝船為主的散裝航運業者</val>
          </value>
        </values>
      </ddeItem>
      <ddeItem name="5608.TW-CName,InvestorConferenceDate,DateofMeetingofShareHolders,TradingDate" advise="1">
        <values cols="4">
          <value t="str">
            <val>四維航</val>
          </value>
          <value t="str">
            <val>2022/12/13</val>
          </value>
          <value t="str">
            <val>2022/06/21</val>
          </value>
          <value t="str">
            <val>2022/12/22</val>
          </value>
        </values>
      </ddeItem>
      <ddeItem name="5608.TW-ID,Name,MarketValue,Capital,NetIncomeGrowthRate,OperIncomeGrowthRate,FinancialStatementsTime,TFXRatio,MonthlyNetSalesYoY,RevenueMonth" advise="1">
        <values cols="10">
          <value t="str">
            <val>5608</val>
          </value>
          <value t="str">
            <val>四維航</val>
          </value>
          <value t="str">
            <val>98.4</val>
          </value>
          <value t="str">
            <val>36.93</val>
          </value>
          <value t="str">
            <val>33.35</val>
          </value>
          <value t="str">
            <val>90.97</val>
          </value>
          <value t="str">
            <val>2022/09</val>
          </value>
          <value t="str">
            <val>-20.29</val>
          </value>
          <value t="str">
            <val>-36.00</val>
          </value>
          <value t="str">
            <val>2022/11</val>
          </value>
        </values>
      </ddeItem>
      <ddeItem name="5608.TW-OperatingProfitRatio,Price,PriceChangeRatio,InOutRatioNumber,Value,YearReturn,MonthReturn,WeekReturn,FinanceBalanceDif,ChipsField2" advise="1">
        <values cols="10">
          <value t="str">
            <val>47.27</val>
          </value>
          <value>
            <val>26.65</val>
          </value>
          <value>
            <val>1.52</val>
          </value>
          <value t="str">
            <val>44.31%</val>
          </value>
          <value t="str">
            <val>14.4億</val>
          </value>
          <value t="str">
            <val>-41.30</val>
          </value>
          <value t="str">
            <val>+13.16</val>
          </value>
          <value t="str">
            <val>+7.89</val>
          </value>
          <value>
            <val>317</val>
          </value>
          <value>
            <val>0</val>
          </value>
        </values>
      </ddeItem>
      <ddeItem name="570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580</val>
          </value>
          <value t="str">
            <val>2022/07/29</val>
          </value>
          <value t="str">
            <val>2.00</val>
          </value>
          <value>
            <val>3.26</val>
          </value>
          <value t="str">
            <val>-0.26</val>
          </value>
          <value t="str">
            <val>0.17</val>
          </value>
          <value t="str">
            <val>鳳凰</val>
          </value>
          <value t="str">
            <val>上市觀光</val>
          </value>
          <value t="str">
            <val>台灣首家上市旅行社，提供國內外全方位旅遊產品</val>
          </value>
        </values>
      </ddeItem>
      <ddeItem name="5706.TW-CName,InvestorConferenceDate,DateofMeetingofShareHolders,TradingDate" advise="1">
        <values cols="4">
          <value t="str">
            <val>鳳凰</val>
          </value>
          <value t="str">
            <val>2022/12/14</val>
          </value>
          <value t="str">
            <val>2022/06/15</val>
          </value>
          <value t="str">
            <val>2022/12/22</val>
          </value>
        </values>
      </ddeItem>
      <ddeItem name="5706.TW-ID,Name,MarketValue,Capital,NetIncomeGrowthRate,OperIncomeGrowthRate,FinancialStatementsTime,TFXRatio,MonthlyNetSalesYoY,RevenueMonth" advise="1">
        <values cols="10">
          <value t="str">
            <val>5706</val>
          </value>
          <value t="str">
            <val>鳳凰</val>
          </value>
          <value t="str">
            <val>45.3</val>
          </value>
          <value t="str">
            <val>7.38</val>
          </value>
          <value t="str">
            <val>-133.40</val>
          </value>
          <value t="str">
            <val>1.60</val>
          </value>
          <value t="str">
            <val>2022/09</val>
          </value>
          <value t="str">
            <val>316.38</val>
          </value>
          <value t="str">
            <val>421.08</val>
          </value>
          <value t="str">
            <val>2022/11</val>
          </value>
        </values>
      </ddeItem>
      <ddeItem name="5706.TW-OperatingProfitRatio,Price,PriceChangeRatio,InOutRatioNumber,Value,YearReturn,MonthReturn,WeekReturn,FinanceBalanceDif,ChipsField2" advise="1">
        <values cols="10">
          <value t="str">
            <val>-53.67</val>
          </value>
          <value>
            <val>61.4</val>
          </value>
          <value>
            <val>1.49</val>
          </value>
          <value t="str">
            <val>41.63%</val>
          </value>
          <value t="str">
            <val>1.66億</val>
          </value>
          <value t="str">
            <val>+61.83</val>
          </value>
          <value t="str">
            <val>+16.95</val>
          </value>
          <value t="str">
            <val>+4.24</val>
          </value>
          <value>
            <val>-65</val>
          </value>
          <value>
            <val>0</val>
          </value>
        </values>
      </ddeItem>
      <ddeItem name="5871.TW-ChipsField3,ChipsField1,ChipsField25,CashAndStockDividend,CashDividendYieldRate,ProfitFourSeason,ProfitSingle,CName,ExchangeIndustry,CompanyPos" advise="1">
        <values cols="10">
          <value>
            <val>-50</val>
          </value>
          <value>
            <val>2497</val>
          </value>
          <value t="str">
            <val>2022/06/22</val>
          </value>
          <value t="str">
            <val>6.50</val>
          </value>
          <value>
            <val>3.02</val>
          </value>
          <value t="str">
            <val>17.80</val>
          </value>
          <value t="str">
            <val>4.44</val>
          </value>
          <value t="str">
            <val>中租-KY</val>
          </value>
          <value t="str">
            <val>上市其他</val>
          </value>
          <value t="str">
            <val>台灣租賃業龍頭公司</val>
          </value>
        </values>
      </ddeItem>
      <ddeItem name="5871.TW-CName,InvestorConferenceDate,DateofMeetingofShareHolders,TradingDate" advise="1">
        <values cols="4">
          <value t="str">
            <val>中租-KY</val>
          </value>
          <value t="str">
            <val>2022/11/10</val>
          </value>
          <value t="str">
            <val>2022/09/14</val>
          </value>
          <value t="str">
            <val>2022/12/22</val>
          </value>
        </values>
      </ddeItem>
      <ddeItem name="5871.TW-ID,Name,MarketValue,Capital,NetIncomeGrowthRate,OperIncomeGrowthRate,FinancialStatementsTime,TFXRatio,MonthlyNetSalesYoY,RevenueMonth" advise="1">
        <values cols="10">
          <value t="str">
            <val>5871</val>
          </value>
          <value t="str">
            <val>中租-KY</val>
          </value>
          <value t="str">
            <val>3411.2</val>
          </value>
          <value t="str">
            <val>158.29</val>
          </value>
          <value t="str">
            <val>31.14</val>
          </value>
          <value t="str">
            <val>16.77</val>
          </value>
          <value t="str">
            <val>2022/09</val>
          </value>
          <value t="str">
            <val>0.51</val>
          </value>
          <value t="str">
            <val>20.62</val>
          </value>
          <value t="str">
            <val>2022/11</val>
          </value>
        </values>
      </ddeItem>
      <ddeItem name="5871.TW-OperatingProfitRatio,Price,PriceChangeRatio,InOutRatioNumber,Value,YearReturn,MonthReturn,WeekReturn,FinanceBalanceDif,ChipsField2" advise="1">
        <values cols="10">
          <value t="str">
            <val>45.23</val>
          </value>
          <value>
            <val>215.5</val>
          </value>
          <value>
            <val>-1.82</val>
          </value>
          <value t="str">
            <val>37.23%</val>
          </value>
          <value t="str">
            <val>7.56億</val>
          </value>
          <value t="str">
            <val>-7.19</val>
          </value>
          <value t="str">
            <val>+15.86</val>
          </value>
          <value t="str">
            <val>+0.94</val>
          </value>
          <value>
            <val>-113</val>
          </value>
          <value>
            <val>293</val>
          </value>
        </values>
      </ddeItem>
      <ddeItem name="5876.TW-ChipsField3,ChipsField1,ChipsField25,CashAndStockDividend,CashDividendYieldRate,ProfitFourSeason,ProfitSingle,CName,ExchangeIndustry,CompanyPos" advise="1">
        <values cols="10">
          <value>
            <val>6</val>
          </value>
          <value>
            <val>-2890</val>
          </value>
          <value t="str">
            <val>2022/07/07</val>
          </value>
          <value t="str">
            <val>1.80</val>
          </value>
          <value>
            <val>4.05</val>
          </value>
          <value t="str">
            <val>3.66</val>
          </value>
          <value t="str">
            <val>1.28</val>
          </value>
          <value t="str">
            <val>上海商銀</val>
          </value>
          <value t="str">
            <val>上市金融保險</val>
          </value>
          <value t="str">
            <val>唯一自大陸遷台復業的民營銀行</val>
          </value>
        </values>
      </ddeItem>
      <ddeItem name="5876.TW-CName,InvestorConferenceDate,DateofMeetingofShareHolders,TradingDate" advise="1">
        <values cols="4">
          <value t="str">
            <val>上海商銀</val>
          </value>
          <value t="str">
            <val>2022/08/23</val>
          </value>
          <value t="str">
            <val>2022/06/17</val>
          </value>
          <value t="str">
            <val>2022/12/22</val>
          </value>
        </values>
      </ddeItem>
      <ddeItem name="5876.TW-ID,Name,MarketValue,Capital,NetIncomeGrowthRate,OperIncomeGrowthRate,FinancialStatementsTime,TFXRatio,MonthlyNetSalesYoY,RevenueMonth" advise="1">
        <values cols="10">
          <value t="str">
            <val>5876</val>
          </value>
          <value t="str">
            <val>上海商銀</val>
          </value>
          <value t="str">
            <val>2161.0</val>
          </value>
          <value t="str">
            <val>486.16</val>
          </value>
          <value t="str">
            <val>13.09</val>
          </value>
          <value t="str">
            <val>--</val>
          </value>
          <value t="str">
            <val>2022/09</val>
          </value>
          <value t="str">
            <val>-0.18</val>
          </value>
          <value t="str">
            <val>27.48</val>
          </value>
          <value t="str">
            <val>2022/11</val>
          </value>
        </values>
      </ddeItem>
      <ddeItem name="5876.TW-OperatingProfitRatio,Price,PriceChangeRatio,InOutRatioNumber,Value,YearReturn,MonthReturn,WeekReturn,FinanceBalanceDif,ChipsField2" advise="1">
        <values cols="10">
          <value t="str">
            <val>--</val>
          </value>
          <value>
            <val>44.45</val>
          </value>
          <value>
            <val>1.6</val>
          </value>
          <value t="str">
            <val>56.54%</val>
          </value>
          <value t="str">
            <val>1.78億</val>
          </value>
          <value t="str">
            <val>-1.66</val>
          </value>
          <value t="str">
            <val>-1.44</val>
          </value>
          <value t="str">
            <val>-7.78</val>
          </value>
          <value>
            <val>149</val>
          </value>
          <value>
            <val>606</val>
          </value>
        </values>
      </ddeItem>
      <ddeItem name="5880.TW-ChipsField3,ChipsField1,ChipsField25,CashAndStockDividend,CashDividendYieldRate,ProfitFourSeason,ProfitSingle,CName,ExchangeIndustry,CompanyPos" advise="1">
        <values cols="10">
          <value>
            <val>-831</val>
          </value>
          <value>
            <val>217</val>
          </value>
          <value t="str">
            <val>2022/08/10</val>
          </value>
          <value t="str">
            <val>1.30</val>
          </value>
          <value>
            <val>4.97</val>
          </value>
          <value t="str">
            <val>1.41</val>
          </value>
          <value t="str">
            <val>0.41</val>
          </value>
          <value t="str">
            <val>合庫金</val>
          </value>
          <value t="str">
            <val>上市金融保險</val>
          </value>
          <value t="str">
            <val>具有國營背景的金控公司，金融資產規模排名前六大</val>
          </value>
        </values>
      </ddeItem>
      <ddeItem name="5880.TW-CName,InvestorConferenceDate,DateofMeetingofShareHolders,TradingDate" advise="1">
        <values cols="4">
          <value t="str">
            <val>合庫金</val>
          </value>
          <value t="str">
            <val>2022/11/16</val>
          </value>
          <value t="str">
            <val>2022/06/17</val>
          </value>
          <value t="str">
            <val>2022/12/22</val>
          </value>
        </values>
      </ddeItem>
      <ddeItem name="5880.TW-ID,Name,MarketValue,Capital,NetIncomeGrowthRate,OperIncomeGrowthRate,FinancialStatementsTime,TFXRatio,MonthlyNetSalesYoY,RevenueMonth" advise="1">
        <values cols="10">
          <value t="str">
            <val>5880</val>
          </value>
          <value t="str">
            <val>合庫金</val>
          </value>
          <value t="str">
            <val>3663.3</val>
          </value>
          <value t="str">
            <val>1400.89</val>
          </value>
          <value t="str">
            <val>-7.08</val>
          </value>
          <value t="str">
            <val>--</val>
          </value>
          <value t="str">
            <val>2022/09</val>
          </value>
          <value t="str">
            <val>19.58</val>
          </value>
          <value t="str">
            <val>18.60</val>
          </value>
          <value t="str">
            <val>2022/11</val>
          </value>
        </values>
      </ddeItem>
      <ddeItem name="5880.TW-OperatingProfitRatio,Price,PriceChangeRatio,InOutRatioNumber,Value,YearReturn,MonthReturn,WeekReturn,FinanceBalanceDif,ChipsField2" advise="1">
        <values cols="10">
          <value t="str">
            <val>--</val>
          </value>
          <value>
            <val>26.15</val>
          </value>
          <value>
            <val>0.57999999999999996</val>
          </value>
          <value t="str">
            <val>55.97%</val>
          </value>
          <value t="str">
            <val>9856萬</val>
          </value>
          <value t="str">
            <val>+11.66</val>
          </value>
          <value t="str">
            <val>+0.38</val>
          </value>
          <value t="str">
            <val>-1.32</val>
          </value>
          <value>
            <val>5</val>
          </value>
          <value>
            <val>2</val>
          </value>
        </values>
      </ddeItem>
      <ddeItem name="590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2022/06/29</val>
          </value>
          <value t="str">
            <val>1.70</val>
          </value>
          <value>
            <val>5.7</val>
          </value>
          <value t="str">
            <val>3.06</val>
          </value>
          <value t="str">
            <val>0.75</val>
          </value>
          <value t="str">
            <val>台南-KY</val>
          </value>
          <value t="str">
            <val>上市貿易百貨</val>
          </value>
          <value t="str">
            <val>代理FILA品牌</val>
          </value>
        </values>
      </ddeItem>
      <ddeItem name="5906.TW-CName,InvestorConferenceDate,DateofMeetingofShareHolders,TradingDate" advise="1">
        <values cols="4">
          <value t="str">
            <val>台南-KY</val>
          </value>
          <value t="str">
            <val>2022/12/05</val>
          </value>
          <value t="str">
            <val>2022/06/14</val>
          </value>
          <value t="str">
            <val>2022/12/22</val>
          </value>
        </values>
      </ddeItem>
      <ddeItem name="5906.TW-ID,Name,MarketValue,Capital,NetIncomeGrowthRate,OperIncomeGrowthRate,FinancialStatementsTime,TFXRatio,MonthlyNetSalesYoY,RevenueMonth" advise="1">
        <values cols="10">
          <value t="str">
            <val>5906</val>
          </value>
          <value t="str">
            <val>台南-KY</val>
          </value>
          <value t="str">
            <val>9.7</val>
          </value>
          <value t="str">
            <val>3.24</val>
          </value>
          <value t="str">
            <val>-7.12</val>
          </value>
          <value t="str">
            <val>46.32</val>
          </value>
          <value t="str">
            <val>2022/09</val>
          </value>
          <value t="str">
            <val>8.36</val>
          </value>
          <value t="str">
            <val>-4.41</val>
          </value>
          <value t="str">
            <val>2022/11</val>
          </value>
        </values>
      </ddeItem>
      <ddeItem name="5906.TW-OperatingProfitRatio,Price,PriceChangeRatio,InOutRatioNumber,Value,YearReturn,MonthReturn,WeekReturn,FinanceBalanceDif,ChipsField2" advise="1">
        <values cols="10">
          <value t="str">
            <val>8.55</val>
          </value>
          <value>
            <val>29.8</val>
          </value>
          <value>
            <val>0.17</val>
          </value>
          <value t="str">
            <val>25.00%</val>
          </value>
          <value t="str">
            <val>12.0萬</val>
          </value>
          <value t="str">
            <val>-18.21</val>
          </value>
          <value t="str">
            <val>-5.99</val>
          </value>
          <value t="str">
            <val>-0.67</val>
          </value>
          <value>
            <val>0</val>
          </value>
          <value>
            <val>0</val>
          </value>
        </values>
      </ddeItem>
      <ddeItem name="590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--</val>
          </value>
          <value t="str">
            <val>0.00</val>
          </value>
          <value>
            <val>0</val>
          </value>
          <value t="str">
            <val>-2.48</val>
          </value>
          <value t="str">
            <val>-0.84</val>
          </value>
          <value t="str">
            <val>大洋-KY</val>
          </value>
          <value t="str">
            <val>上市貿易百貨</val>
          </value>
          <value t="str">
            <val>益航轉投資在大陸從事百貨零售之台商企業</val>
          </value>
        </values>
      </ddeItem>
      <ddeItem name="5907.TW-CName,InvestorConferenceDate,DateofMeetingofShareHolders,TradingDate" advise="1">
        <values cols="4">
          <value t="str">
            <val>大洋-KY</val>
          </value>
          <value t="str">
            <val>2022/12/02</val>
          </value>
          <value t="str">
            <val>2022/06/23</val>
          </value>
          <value t="str">
            <val>2022/12/22</val>
          </value>
        </values>
      </ddeItem>
      <ddeItem name="5907.TW-ID,Name,MarketValue,Capital,NetIncomeGrowthRate,OperIncomeGrowthRate,FinancialStatementsTime,TFXRatio,MonthlyNetSalesYoY,RevenueMonth" advise="1">
        <values cols="10">
          <value t="str">
            <val>5907</val>
          </value>
          <value t="str">
            <val>大洋-KY</val>
          </value>
          <value t="str">
            <val>34.4</val>
          </value>
          <value t="str">
            <val>19.55</val>
          </value>
          <value t="str">
            <val>-173.11</val>
          </value>
          <value t="str">
            <val>-73.64</val>
          </value>
          <value t="str">
            <val>2022/09</val>
          </value>
          <value t="str">
            <val>-13.54</val>
          </value>
          <value t="str">
            <val>-42.50</val>
          </value>
          <value t="str">
            <val>2022/11</val>
          </value>
        </values>
      </ddeItem>
      <ddeItem name="5907.TW-OperatingProfitRatio,Price,PriceChangeRatio,InOutRatioNumber,Value,YearReturn,MonthReturn,WeekReturn,FinanceBalanceDif,ChipsField2" advise="1">
        <values cols="10">
          <value t="str">
            <val>2.38</val>
          </value>
          <value>
            <val>17.600000000000001</val>
          </value>
          <value>
            <val>0.28000000000000003</val>
          </value>
          <value t="str">
            <val>40.72%</val>
          </value>
          <value t="str">
            <val>845萬</val>
          </value>
          <value t="str">
            <val>-1.40</val>
          </value>
          <value t="str">
            <val>+29.41</val>
          </value>
          <value t="str">
            <val>-0.28</val>
          </value>
          <value>
            <val>15</val>
          </value>
          <value>
            <val>0</val>
          </value>
        </values>
      </ddeItem>
      <ddeItem name="600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38</val>
          </value>
          <value t="str">
            <val>2022/07/14</val>
          </value>
          <value t="str">
            <val>1.65</val>
          </value>
          <value>
            <val>14.86</val>
          </value>
          <value t="str">
            <val>0.77</val>
          </value>
          <value t="str">
            <val>0.11</val>
          </value>
          <value t="str">
            <val>群益證</val>
          </value>
          <value t="str">
            <val>上市金融保險</val>
          </value>
          <value t="str">
            <val>台灣證券經紀市佔排名前五大之獨立券商</val>
          </value>
        </values>
      </ddeItem>
      <ddeItem name="6005.TW-CName,InvestorConferenceDate,DateofMeetingofShareHolders,TradingDate" advise="1">
        <values cols="4">
          <value t="str">
            <val>群益證</val>
          </value>
          <value t="str">
            <val>2022/09/27</val>
          </value>
          <value t="str">
            <val>2022/06/27</val>
          </value>
          <value t="str">
            <val>2022/12/22</val>
          </value>
        </values>
      </ddeItem>
      <ddeItem name="6005.TW-ID,Name,MarketValue,Capital,NetIncomeGrowthRate,OperIncomeGrowthRate,FinancialStatementsTime,TFXRatio,MonthlyNetSalesYoY,RevenueMonth" advise="1">
        <values cols="10">
          <value t="str">
            <val>6005</val>
          </value>
          <value t="str">
            <val>群益證</val>
          </value>
          <value t="str">
            <val>241.0</val>
          </value>
          <value t="str">
            <val>217.09</val>
          </value>
          <value t="str">
            <val>-87.62</val>
          </value>
          <value t="str">
            <val>-96.71</val>
          </value>
          <value t="str">
            <val>2022/09</val>
          </value>
          <value t="str">
            <val>116.41</val>
          </value>
          <value t="str">
            <val>-17.77</val>
          </value>
          <value t="str">
            <val>2022/11</val>
          </value>
        </values>
      </ddeItem>
      <ddeItem name="6005.TW-OperatingProfitRatio,Price,PriceChangeRatio,InOutRatioNumber,Value,YearReturn,MonthReturn,WeekReturn,FinanceBalanceDif,ChipsField2" advise="1">
        <values cols="10">
          <value t="str">
            <val>2.24</val>
          </value>
          <value>
            <val>11.1</val>
          </value>
          <value>
            <val>0.45</val>
          </value>
          <value t="str">
            <val>28.59%</val>
          </value>
          <value t="str">
            <val>1524萬</val>
          </value>
          <value t="str">
            <val>-22.87</val>
          </value>
          <value t="str">
            <val>0.00</val>
          </value>
          <value t="str">
            <val>-3.48</val>
          </value>
          <value>
            <val>32</val>
          </value>
          <value>
            <val>0</val>
          </value>
        </values>
      </ddeItem>
      <ddeItem name="6024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-2</val>
          </value>
          <value t="str">
            <val>2022/07/11</val>
          </value>
          <value t="str">
            <val>1.60</val>
          </value>
          <value>
            <val>4.3099999999999996</val>
          </value>
          <value t="str">
            <val>3.03</val>
          </value>
          <value t="str">
            <val>1.07</val>
          </value>
          <value t="str">
            <val>群益期</val>
          </value>
          <value t="str">
            <val>上市金融保險</val>
          </value>
          <value t="str">
            <val>群益金融集團旗下的期貨公司，台灣市場排名前三大</val>
          </value>
        </values>
      </ddeItem>
      <ddeItem name="6024.TW-CName,InvestorConferenceDate,DateofMeetingofShareHolders,TradingDate" advise="1">
        <values cols="4">
          <value t="str">
            <val>群益期</val>
          </value>
          <value t="str">
            <val>2022/12/15</val>
          </value>
          <value t="str">
            <val>2022/06/21</val>
          </value>
          <value t="str">
            <val>2022/12/22</val>
          </value>
        </values>
      </ddeItem>
      <ddeItem name="6024.TW-ID,Name,MarketValue,Capital,NetIncomeGrowthRate,OperIncomeGrowthRate,FinancialStatementsTime,TFXRatio,MonthlyNetSalesYoY,RevenueMonth" advise="1">
        <values cols="10">
          <value t="str">
            <val>6024</val>
          </value>
          <value t="str">
            <val>群益期</val>
          </value>
          <value t="str">
            <val>78.1</val>
          </value>
          <value t="str">
            <val>21.04</val>
          </value>
          <value t="str">
            <val>37.32</val>
          </value>
          <value t="str">
            <val>9.90</val>
          </value>
          <value t="str">
            <val>2022/09</val>
          </value>
          <value t="str">
            <val>-18.81</val>
          </value>
          <value t="str">
            <val>14.70</val>
          </value>
          <value t="str">
            <val>2022/11</val>
          </value>
        </values>
      </ddeItem>
      <ddeItem name="6024.TW-OperatingProfitRatio,Price,PriceChangeRatio,InOutRatioNumber,Value,YearReturn,MonthReturn,WeekReturn,FinanceBalanceDif,ChipsField2" advise="1">
        <values cols="10">
          <value t="str">
            <val>18.37</val>
          </value>
          <value>
            <val>37.1</val>
          </value>
          <value>
            <val>0</val>
          </value>
          <value t="str">
            <val>52.46%</val>
          </value>
          <value t="str">
            <val>241萬</val>
          </value>
          <value t="str">
            <val>+0.73</val>
          </value>
          <value t="str">
            <val>+3.20</val>
          </value>
          <value t="str">
            <val>-0.27</val>
          </value>
          <value>
            <val>0</val>
          </value>
          <value>
            <val>0</val>
          </value>
        </values>
      </ddeItem>
      <ddeItem name="6108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-10</val>
          </value>
          <value t="str">
            <val>2022/08/25</val>
          </value>
          <value t="str">
            <val>1.05</val>
          </value>
          <value>
            <val>6.31</val>
          </value>
          <value t="str">
            <val>0.74</val>
          </value>
          <value t="str">
            <val>0.39</val>
          </value>
          <value t="str">
            <val>競國</val>
          </value>
          <value t="str">
            <val>上市電子零組件</val>
          </value>
          <value t="str">
            <val>台灣CMOS sensor載板最大供應廠</val>
          </value>
        </values>
      </ddeItem>
      <ddeItem name="6108.TW-CName,InvestorConferenceDate,DateofMeetingofShareHolders,TradingDate" advise="1">
        <values cols="4">
          <value t="str">
            <val>競國</val>
          </value>
          <value t="str">
            <val>2022/09/15</val>
          </value>
          <value t="str">
            <val>2022/06/23</val>
          </value>
          <value t="str">
            <val>2022/12/22</val>
          </value>
        </values>
      </ddeItem>
      <ddeItem name="6108.TW-ID,Name,MarketValue,Capital,NetIncomeGrowthRate,OperIncomeGrowthRate,FinancialStatementsTime,TFXRatio,MonthlyNetSalesYoY,RevenueMonth" advise="1">
        <values cols="10">
          <value t="str">
            <val>6108</val>
          </value>
          <value t="str">
            <val>競國</val>
          </value>
          <value t="str">
            <val>26.6</val>
          </value>
          <value t="str">
            <val>15.99</val>
          </value>
          <value t="str">
            <val>-63.16</val>
          </value>
          <value t="str">
            <val>-122.42</val>
          </value>
          <value t="str">
            <val>2022/09</val>
          </value>
          <value t="str">
            <val>7.01</val>
          </value>
          <value t="str">
            <val>-29.85</val>
          </value>
          <value t="str">
            <val>2022/11</val>
          </value>
        </values>
      </ddeItem>
      <ddeItem name="6108.TW-OperatingProfitRatio,Price,PriceChangeRatio,InOutRatioNumber,Value,YearReturn,MonthReturn,WeekReturn,FinanceBalanceDif,ChipsField2" advise="1">
        <values cols="10">
          <value t="str">
            <val>-1.94</val>
          </value>
          <value>
            <val>16.649999999999999</val>
          </value>
          <value>
            <val>0.3</val>
          </value>
          <value t="str">
            <val>62.07%</val>
          </value>
          <value t="str">
            <val>48.3萬</val>
          </value>
          <value t="str">
            <val>-16.10</val>
          </value>
          <value t="str">
            <val>-0.60</val>
          </value>
          <value t="str">
            <val>-0.30</val>
          </value>
          <value>
            <val>32</val>
          </value>
          <value>
            <val>0</val>
          </value>
        </values>
      </ddeItem>
      <ddeItem name="6112.TW-ChipsField3,ChipsField1,ChipsField25,CashAndStockDividend,CashDividendYieldRate,ProfitFourSeason,ProfitSingle,CName,ExchangeIndustry,CompanyPos" advise="1">
        <values cols="10">
          <value>
            <val>-6</val>
          </value>
          <value>
            <val>-2</val>
          </value>
          <value t="str">
            <val>2022/07/11</val>
          </value>
          <value t="str">
            <val>2.50</val>
          </value>
          <value>
            <val>7.62</val>
          </value>
          <value t="str">
            <val>2.40</val>
          </value>
          <value t="str">
            <val>0.73</val>
          </value>
          <value t="str">
            <val>邁達特</val>
          </value>
          <value t="str">
            <val>上市資訊服務</val>
          </value>
          <value t="str">
            <val>資訊應用軟硬體服務供應中介之加值型通路商</val>
          </value>
        </values>
      </ddeItem>
      <ddeItem name="6112.TW-CName,InvestorConferenceDate,DateofMeetingofShareHolders,TradingDate" advise="1">
        <values cols="4">
          <value t="str">
            <val>邁達特</val>
          </value>
          <value t="str">
            <val>2022/11/09</val>
          </value>
          <value t="str">
            <val>2022/05/26</val>
          </value>
          <value t="str">
            <val>2022/12/22</val>
          </value>
        </values>
      </ddeItem>
      <ddeItem name="6112.TW-ID,Name,MarketValue,Capital,NetIncomeGrowthRate,OperIncomeGrowthRate,FinancialStatementsTime,TFXRatio,MonthlyNetSalesYoY,RevenueMonth" advise="1">
        <values cols="10">
          <value t="str">
            <val>6112</val>
          </value>
          <value t="str">
            <val>邁達特</val>
          </value>
          <value t="str">
            <val>40.1</val>
          </value>
          <value t="str">
            <val>18.84</val>
          </value>
          <value t="str">
            <val>-28.32</val>
          </value>
          <value t="str">
            <val>2.35</val>
          </value>
          <value t="str">
            <val>2022/09</val>
          </value>
          <value t="str">
            <val>6.90</val>
          </value>
          <value t="str">
            <val>-1.24</val>
          </value>
          <value t="str">
            <val>2022/11</val>
          </value>
        </values>
      </ddeItem>
      <ddeItem name="6112.TW-OperatingProfitRatio,Price,PriceChangeRatio,InOutRatioNumber,Value,YearReturn,MonthReturn,WeekReturn,FinanceBalanceDif,ChipsField2" advise="1">
        <values cols="10">
          <value t="str">
            <val>4.10</val>
          </value>
          <value>
            <val>32.799999999999997</val>
          </value>
          <value>
            <val>0.77</val>
          </value>
          <value t="str">
            <val>42.50%</val>
          </value>
          <value t="str">
            <val>131萬</val>
          </value>
          <value t="str">
            <val>-9.25</val>
          </value>
          <value t="str">
            <val>+2.66</val>
          </value>
          <value t="str">
            <val>+0.15</val>
          </value>
          <value>
            <val>-17</val>
          </value>
          <value>
            <val>0</val>
          </value>
        </values>
      </ddeItem>
      <ddeItem name="6115.TW-ChipsField3,ChipsField1,ChipsField25,CashAndStockDividend,CashDividendYieldRate,ProfitFourSeason,ProfitSingle,CName,ExchangeIndustry,CompanyPos" advise="1">
        <values cols="10">
          <value>
            <val>-9</val>
          </value>
          <value>
            <val>-6</val>
          </value>
          <value t="str">
            <val>2022/07/07</val>
          </value>
          <value t="str">
            <val>2.80</val>
          </value>
          <value>
            <val>6.62</val>
          </value>
          <value t="str">
            <val>4.30</val>
          </value>
          <value t="str">
            <val>1.67</val>
          </value>
          <value t="str">
            <val>鎰勝</val>
          </value>
          <value t="str">
            <val>上市電子零組件</val>
          </value>
          <value t="str">
            <val>全球IT產品電源線材大廠</val>
          </value>
        </values>
      </ddeItem>
      <ddeItem name="6115.TW-CName,InvestorConferenceDate,DateofMeetingofShareHolders,TradingDate" advise="1">
        <values cols="4">
          <value t="str">
            <val>鎰勝</val>
          </value>
          <value t="str">
            <val>2022/12/02</val>
          </value>
          <value t="str">
            <val>2022/06/22</val>
          </value>
          <value t="str">
            <val>2022/12/22</val>
          </value>
        </values>
      </ddeItem>
      <ddeItem name="6115.TW-ID,Name,MarketValue,Capital,NetIncomeGrowthRate,OperIncomeGrowthRate,FinancialStatementsTime,TFXRatio,MonthlyNetSalesYoY,RevenueMonth" advise="1">
        <values cols="10">
          <value t="str">
            <val>6115</val>
          </value>
          <value t="str">
            <val>鎰勝</val>
          </value>
          <value t="str">
            <val>79.4</val>
          </value>
          <value t="str">
            <val>18.77</val>
          </value>
          <value t="str">
            <val>82.45</val>
          </value>
          <value t="str">
            <val>-5.96</val>
          </value>
          <value t="str">
            <val>2022/09</val>
          </value>
          <value t="str">
            <val>11.77</val>
          </value>
          <value t="str">
            <val>-17.95</val>
          </value>
          <value t="str">
            <val>2022/11</val>
          </value>
        </values>
      </ddeItem>
      <ddeItem name="6115.TW-OperatingProfitRatio,Price,PriceChangeRatio,InOutRatioNumber,Value,YearReturn,MonthReturn,WeekReturn,FinanceBalanceDif,ChipsField2" advise="1">
        <values cols="10">
          <value t="str">
            <val>8.41</val>
          </value>
          <value>
            <val>42.3</val>
          </value>
          <value>
            <val>-0.12</val>
          </value>
          <value t="str">
            <val>26.47%</val>
          </value>
          <value t="str">
            <val>144萬</val>
          </value>
          <value t="str">
            <val>+6.43</val>
          </value>
          <value t="str">
            <val>+1.93</val>
          </value>
          <value t="str">
            <val>-0.70</val>
          </value>
          <value>
            <val>1</val>
          </value>
          <value>
            <val>0</val>
          </value>
        </values>
      </ddeItem>
      <ddeItem name="6116.TW-ChipsField3,ChipsField1,ChipsField25,CashAndStockDividend,CashDividendYieldRate,ProfitFourSeason,ProfitSingle,CName,ExchangeIndustry,CompanyPos" advise="1">
        <values cols="10">
          <value>
            <val>-7</val>
          </value>
          <value>
            <val>-1226</val>
          </value>
          <value t="str">
            <val>2022/06/16</val>
          </value>
          <value t="str">
            <val>1.00</val>
          </value>
          <value>
            <val>9.09</val>
          </value>
          <value t="str">
            <val>0.12</val>
          </value>
          <value t="str">
            <val>-0.13</val>
          </value>
          <value t="str">
            <val>彩晶</val>
          </value>
          <value t="str">
            <val>上市光電</val>
          </value>
          <value t="str">
            <val>台灣中小尺寸面板供應商，及觸控面板廠商</val>
          </value>
        </values>
      </ddeItem>
      <ddeItem name="6116.TW-CName,InvestorConferenceDate,DateofMeetingofShareHolders,TradingDate" advise="1">
        <values cols="4">
          <value t="str">
            <val>彩晶</val>
          </value>
          <value t="str">
            <val>2022/08/18</val>
          </value>
          <value t="str">
            <val>2022/05/26</val>
          </value>
          <value t="str">
            <val>2022/12/22</val>
          </value>
        </values>
      </ddeItem>
      <ddeItem name="6116.TW-ID,Name,MarketValue,Capital,NetIncomeGrowthRate,OperIncomeGrowthRate,FinancialStatementsTime,TFXRatio,MonthlyNetSalesYoY,RevenueMonth" advise="1">
        <values cols="10">
          <value t="str">
            <val>6116</val>
          </value>
          <value t="str">
            <val>彩晶</val>
          </value>
          <value t="str">
            <val>323.4</val>
          </value>
          <value t="str">
            <val>294.03</val>
          </value>
          <value t="str">
            <val>-110.93</val>
          </value>
          <value t="str">
            <val>-102.52</val>
          </value>
          <value t="str">
            <val>2022/09</val>
          </value>
          <value t="str">
            <val>1.55</val>
          </value>
          <value t="str">
            <val>-30.54</val>
          </value>
          <value t="str">
            <val>2022/11</val>
          </value>
        </values>
      </ddeItem>
      <ddeItem name="6116.TW-OperatingProfitRatio,Price,PriceChangeRatio,InOutRatioNumber,Value,YearReturn,MonthReturn,WeekReturn,FinanceBalanceDif,ChipsField2" advise="1">
        <values cols="10">
          <value t="str">
            <val>-1.41</val>
          </value>
          <value>
            <val>11</val>
          </value>
          <value>
            <val>2.33</val>
          </value>
          <value t="str">
            <val>62.70%</val>
          </value>
          <value t="str">
            <val>5698萬</val>
          </value>
          <value t="str">
            <val>-30.56</val>
          </value>
          <value t="str">
            <val>-3.93</val>
          </value>
          <value t="str">
            <val>-1.35</val>
          </value>
          <value>
            <val>125</val>
          </value>
          <value>
            <val>0</val>
          </value>
        </values>
      </ddeItem>
      <ddeItem name="611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-19</val>
          </value>
          <value t="str">
            <val>--</val>
          </value>
          <value t="str">
            <val>0.00</val>
          </value>
          <value>
            <val>0</val>
          </value>
          <value t="str">
            <val>0.13</val>
          </value>
          <value t="str">
            <val>0.75</val>
          </value>
          <value t="str">
            <val>迎廣</val>
          </value>
          <value t="str">
            <val>上市電腦及週邊設備</val>
          </value>
          <value t="str">
            <val>PC機殼及電源供應器廠</val>
          </value>
        </values>
      </ddeItem>
      <ddeItem name="6117.TW-CName,InvestorConferenceDate,DateofMeetingofShareHolders,TradingDate" advise="1">
        <values cols="4">
          <value t="str">
            <val>迎廣</val>
          </value>
          <value t="str">
            <val>2022/11/24</val>
          </value>
          <value t="str">
            <val>2022/06/24</val>
          </value>
          <value t="str">
            <val>2022/12/22</val>
          </value>
        </values>
      </ddeItem>
      <ddeItem name="6117.TW-ID,Name,MarketValue,Capital,NetIncomeGrowthRate,OperIncomeGrowthRate,FinancialStatementsTime,TFXRatio,MonthlyNetSalesYoY,RevenueMonth" advise="1">
        <values cols="10">
          <value t="str">
            <val>6117</val>
          </value>
          <value t="str">
            <val>迎廣</val>
          </value>
          <value t="str">
            <val>12.4</val>
          </value>
          <value t="str">
            <val>8.87</val>
          </value>
          <value t="str">
            <val>217.79</val>
          </value>
          <value t="str">
            <val>114.84</val>
          </value>
          <value t="str">
            <val>2022/09</val>
          </value>
          <value t="str">
            <val>-26.35</val>
          </value>
          <value t="str">
            <val>-13.72</val>
          </value>
          <value t="str">
            <val>2022/11</val>
          </value>
        </values>
      </ddeItem>
      <ddeItem name="6117.TW-OperatingProfitRatio,Price,PriceChangeRatio,InOutRatioNumber,Value,YearReturn,MonthReturn,WeekReturn,FinanceBalanceDif,ChipsField2" advise="1">
        <values cols="10">
          <value t="str">
            <val>0.30</val>
          </value>
          <value>
            <val>13.95</val>
          </value>
          <value>
            <val>1.45</val>
          </value>
          <value t="str">
            <val>75.00%</val>
          </value>
          <value t="str">
            <val>55.0萬</val>
          </value>
          <value t="str">
            <val>-18.18</val>
          </value>
          <value t="str">
            <val>+1.09</val>
          </value>
          <value t="str">
            <val>-4.12</val>
          </value>
          <value>
            <val>-3</val>
          </value>
          <value>
            <val>0</val>
          </value>
        </values>
      </ddeItem>
      <ddeItem name="612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-265</val>
          </value>
          <value t="str">
            <val>--</val>
          </value>
          <value t="str">
            <val>0.00</val>
          </value>
          <value>
            <val>0</val>
          </value>
          <value t="str">
            <val>-0.28</val>
          </value>
          <value t="str">
            <val>-0.23</val>
          </value>
          <value t="str">
            <val>達運</val>
          </value>
          <value t="str">
            <val>上市光電</val>
          </value>
          <value t="str">
            <val>友達旗下背光模組零組件供應商</val>
          </value>
        </values>
      </ddeItem>
      <ddeItem name="6120.TW-CName,InvestorConferenceDate,DateofMeetingofShareHolders,TradingDate" advise="1">
        <values cols="4">
          <value t="str">
            <val>達運</val>
          </value>
          <value t="str">
            <val>2022/10/04</val>
          </value>
          <value t="str">
            <val>2022/06/15</val>
          </value>
          <value t="str">
            <val>2022/12/22</val>
          </value>
        </values>
      </ddeItem>
      <ddeItem name="6120.TW-ID,Name,MarketValue,Capital,NetIncomeGrowthRate,OperIncomeGrowthRate,FinancialStatementsTime,TFXRatio,MonthlyNetSalesYoY,RevenueMonth" advise="1">
        <values cols="10">
          <value t="str">
            <val>6120</val>
          </value>
          <value t="str">
            <val>達運</val>
          </value>
          <value t="str">
            <val>58.8</val>
          </value>
          <value t="str">
            <val>66.56</val>
          </value>
          <value t="str">
            <val>62.62</val>
          </value>
          <value t="str">
            <val>12.37</val>
          </value>
          <value t="str">
            <val>2022/09</val>
          </value>
          <value t="str">
            <val>33.50</val>
          </value>
          <value t="str">
            <val>-41.82</val>
          </value>
          <value t="str">
            <val>2022/11</val>
          </value>
        </values>
      </ddeItem>
      <ddeItem name="6120.TW-OperatingProfitRatio,Price,PriceChangeRatio,InOutRatioNumber,Value,YearReturn,MonthReturn,WeekReturn,FinanceBalanceDif,ChipsField2" advise="1">
        <values cols="10">
          <value t="str">
            <val>-7.76</val>
          </value>
          <value>
            <val>8.84</val>
          </value>
          <value>
            <val>0.11</val>
          </value>
          <value t="str">
            <val>58.29%</val>
          </value>
          <value t="str">
            <val>331萬</val>
          </value>
          <value t="str">
            <val>-36.63</val>
          </value>
          <value t="str">
            <val>-3.49</val>
          </value>
          <value t="str">
            <val>-2.64</val>
          </value>
          <value>
            <val>232</val>
          </value>
          <value>
            <val>0</val>
          </value>
        </values>
      </ddeItem>
      <ddeItem name="6128.TW-ChipsField3,ChipsField1,ChipsField25,CashAndStockDividend,CashDividendYieldRate,ProfitFourSeason,ProfitSingle,CName,ExchangeIndustry,CompanyPos" advise="1">
        <values cols="10">
          <value>
            <val>-10</val>
          </value>
          <value>
            <val>0</val>
          </value>
          <value t="str">
            <val>2022/07/05</val>
          </value>
          <value t="str">
            <val>2.00</val>
          </value>
          <value>
            <val>6.79</val>
          </value>
          <value t="str">
            <val>5.08</val>
          </value>
          <value t="str">
            <val>2.24</val>
          </value>
          <value t="str">
            <val>上福</val>
          </value>
          <value t="str">
            <val>上市電腦及週邊設備</val>
          </value>
          <value t="str">
            <val>台灣唯一具備雷射印表機之碳粉匣及OPC感光鼓齒輪研發設計廠</val>
          </value>
        </values>
      </ddeItem>
      <ddeItem name="6128.TW-CName,InvestorConferenceDate,DateofMeetingofShareHolders,TradingDate" advise="1">
        <values cols="4">
          <value t="str">
            <val>上福</val>
          </value>
          <value t="str">
            <val>2022/11/22</val>
          </value>
          <value t="str">
            <val>2022/06/16</val>
          </value>
          <value t="str">
            <val>2022/12/22</val>
          </value>
        </values>
      </ddeItem>
      <ddeItem name="6128.TW-ID,Name,MarketValue,Capital,NetIncomeGrowthRate,OperIncomeGrowthRate,FinancialStatementsTime,TFXRatio,MonthlyNetSalesYoY,RevenueMonth" advise="1">
        <values cols="10">
          <value t="str">
            <val>6128</val>
          </value>
          <value t="str">
            <val>上福</val>
          </value>
          <value t="str">
            <val>37.6</val>
          </value>
          <value t="str">
            <val>12.76</val>
          </value>
          <value t="str">
            <val>138.92</val>
          </value>
          <value t="str">
            <val>51.23</val>
          </value>
          <value t="str">
            <val>2022/09</val>
          </value>
          <value t="str">
            <val>4.70</val>
          </value>
          <value t="str">
            <val>-2.19</val>
          </value>
          <value t="str">
            <val>2022/11</val>
          </value>
        </values>
      </ddeItem>
      <ddeItem name="6128.TW-OperatingProfitRatio,Price,PriceChangeRatio,InOutRatioNumber,Value,YearReturn,MonthReturn,WeekReturn,FinanceBalanceDif,ChipsField2" advise="1">
        <values cols="10">
          <value t="str">
            <val>9.36</val>
          </value>
          <value>
            <val>29.45</val>
          </value>
          <value>
            <val>0.17</val>
          </value>
          <value t="str">
            <val>11.63%</val>
          </value>
          <value t="str">
            <val>127萬</val>
          </value>
          <value t="str">
            <val>+10.21</val>
          </value>
          <value t="str">
            <val>+0.34</val>
          </value>
          <value t="str">
            <val>-0.84</val>
          </value>
          <value>
            <val>11</val>
          </value>
          <value>
            <val>0</val>
          </value>
        </values>
      </ddeItem>
      <ddeItem name="613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-69</val>
          </value>
          <value t="str">
            <val>--</val>
          </value>
          <value t="str">
            <val>0.00</val>
          </value>
          <value>
            <val>0</val>
          </value>
          <value t="str">
            <val>0.55</val>
          </value>
          <value t="str">
            <val>0.48</val>
          </value>
          <value t="str">
            <val>金橋</val>
          </value>
          <value t="str">
            <val>上市電子零組件</val>
          </value>
          <value t="str">
            <val>經營電腦週邊及高頻通訊為主的連接線廠</val>
          </value>
        </values>
      </ddeItem>
      <ddeItem name="6133.TW-CName,InvestorConferenceDate,DateofMeetingofShareHolders,TradingDate" advise="1">
        <values cols="4">
          <value t="str">
            <val>金橋</val>
          </value>
          <value t="str">
            <val>2021/12/17</val>
          </value>
          <value t="str">
            <val>2022/06/29</val>
          </value>
          <value t="str">
            <val>2022/12/22</val>
          </value>
        </values>
      </ddeItem>
      <ddeItem name="6133.TW-ID,Name,MarketValue,Capital,NetIncomeGrowthRate,OperIncomeGrowthRate,FinancialStatementsTime,TFXRatio,MonthlyNetSalesYoY,RevenueMonth" advise="1">
        <values cols="10">
          <value t="str">
            <val>6133</val>
          </value>
          <value t="str">
            <val>金橋</val>
          </value>
          <value t="str">
            <val>27.4</val>
          </value>
          <value t="str">
            <val>11.70</val>
          </value>
          <value t="str">
            <val>267.74</val>
          </value>
          <value t="str">
            <val>185.00</val>
          </value>
          <value t="str">
            <val>2022/09</val>
          </value>
          <value t="str">
            <val>-7.36</val>
          </value>
          <value t="str">
            <val>-6.22</val>
          </value>
          <value t="str">
            <val>2022/11</val>
          </value>
        </values>
      </ddeItem>
      <ddeItem name="6133.TW-OperatingProfitRatio,Price,PriceChangeRatio,InOutRatioNumber,Value,YearReturn,MonthReturn,WeekReturn,FinanceBalanceDif,ChipsField2" advise="1">
        <values cols="10">
          <value t="str">
            <val>4.57</val>
          </value>
          <value>
            <val>23.4</val>
          </value>
          <value>
            <val>2.1800000000000002</val>
          </value>
          <value t="str">
            <val>57.95%</val>
          </value>
          <value t="str">
            <val>1.40億</val>
          </value>
          <value t="str">
            <val>+125.00</val>
          </value>
          <value t="str">
            <val>-13.97</val>
          </value>
          <value t="str">
            <val>-6.40</val>
          </value>
          <value>
            <val>-121</val>
          </value>
          <value>
            <val>0</val>
          </value>
        </values>
      </ddeItem>
      <ddeItem name="6136.TW-ChipsField3,ChipsField1,ChipsField25,CashAndStockDividend,CashDividendYieldRate,ProfitFourSeason,ProfitSingle,CName,ExchangeIndustry,CompanyPos" advise="1">
        <values cols="10">
          <value>
            <val>-7</val>
          </value>
          <value>
            <val>-4</val>
          </value>
          <value t="str">
            <val>2022/07/04</val>
          </value>
          <value t="str">
            <val>1.25</val>
          </value>
          <value>
            <val>6.83</val>
          </value>
          <value t="str">
            <val>1.43</val>
          </value>
          <value t="str">
            <val>0.92</val>
          </value>
          <value t="str">
            <val>富爾特</val>
          </value>
          <value t="str">
            <val>上市通信網路</val>
          </value>
          <value t="str">
            <val>經營數位行銷服務及電子軟硬體代理業務</val>
          </value>
        </values>
      </ddeItem>
      <ddeItem name="6136.TW-CName,InvestorConferenceDate,DateofMeetingofShareHolders,TradingDate" advise="1">
        <values cols="4">
          <value t="str">
            <val>富爾特</val>
          </value>
          <value t="str">
            <val>2022/09/13</val>
          </value>
          <value t="str">
            <val>2022/06/16</val>
          </value>
          <value t="str">
            <val>2022/12/22</val>
          </value>
        </values>
      </ddeItem>
      <ddeItem name="6136.TW-ID,Name,MarketValue,Capital,NetIncomeGrowthRate,OperIncomeGrowthRate,FinancialStatementsTime,TFXRatio,MonthlyNetSalesYoY,RevenueMonth" advise="1">
        <values cols="10">
          <value t="str">
            <val>6136</val>
          </value>
          <value t="str">
            <val>富爾特</val>
          </value>
          <value t="str">
            <val>21.1</val>
          </value>
          <value t="str">
            <val>11.55</val>
          </value>
          <value t="str">
            <val>29.28</val>
          </value>
          <value t="str">
            <val>-11.16</val>
          </value>
          <value t="str">
            <val>2022/09</val>
          </value>
          <value t="str">
            <val>-6.60</val>
          </value>
          <value t="str">
            <val>-12.05</val>
          </value>
          <value t="str">
            <val>2022/11</val>
          </value>
        </values>
      </ddeItem>
      <ddeItem name="6136.TW-OperatingProfitRatio,Price,PriceChangeRatio,InOutRatioNumber,Value,YearReturn,MonthReturn,WeekReturn,FinanceBalanceDif,ChipsField2" advise="1">
        <values cols="10">
          <value t="str">
            <val>-10.09</val>
          </value>
          <value>
            <val>18.3</val>
          </value>
          <value>
            <val>0</val>
          </value>
          <value t="str">
            <val>63.64%</val>
          </value>
          <value t="str">
            <val>121萬</val>
          </value>
          <value t="str">
            <val>+4.24</val>
          </value>
          <value t="str">
            <val>+1.67</val>
          </value>
          <value t="str">
            <val>-0.54</val>
          </value>
          <value>
            <val>9</val>
          </value>
          <value>
            <val>0</val>
          </value>
        </values>
      </ddeItem>
      <ddeItem name="6139.TW-ChipsField3,ChipsField1,ChipsField25,CashAndStockDividend,CashDividendYieldRate,ProfitFourSeason,ProfitSingle,CName,ExchangeIndustry,CompanyPos" advise="1">
        <values cols="10">
          <value>
            <val>-9</val>
          </value>
          <value>
            <val>353</val>
          </value>
          <value t="str">
            <val>2022/09/06</val>
          </value>
          <value t="str">
            <val>1.50</val>
          </value>
          <value>
            <val>4.01</val>
          </value>
          <value t="str">
            <val>3.81</val>
          </value>
          <value t="str">
            <val>1.18</val>
          </value>
          <value t="str">
            <val>亞翔</val>
          </value>
          <value t="str">
            <val>上市其他電子</val>
          </value>
          <value t="str">
            <val>台灣無塵室及機電系統整合服務等製造商</val>
          </value>
        </values>
      </ddeItem>
      <ddeItem name="6139.TW-CName,InvestorConferenceDate,DateofMeetingofShareHolders,TradingDate" advise="1">
        <values cols="4">
          <value t="str">
            <val>亞翔</val>
          </value>
          <value t="str">
            <val>2022/12/23</val>
          </value>
          <value t="str">
            <val>2022/06/24</val>
          </value>
          <value t="str">
            <val>2022/12/22</val>
          </value>
        </values>
      </ddeItem>
      <ddeItem name="6139.TW-ID,Name,MarketValue,Capital,NetIncomeGrowthRate,OperIncomeGrowthRate,FinancialStatementsTime,TFXRatio,MonthlyNetSalesYoY,RevenueMonth" advise="1">
        <values cols="10">
          <value t="str">
            <val>6139</val>
          </value>
          <value t="str">
            <val>亞翔</val>
          </value>
          <value t="str">
            <val>84.4</val>
          </value>
          <value t="str">
            <val>22.55</val>
          </value>
          <value t="str">
            <val>568.83</val>
          </value>
          <value t="str">
            <val>2180.27</val>
          </value>
          <value t="str">
            <val>2022/09</val>
          </value>
          <value t="str">
            <val>4.64</val>
          </value>
          <value t="str">
            <val>21.76</val>
          </value>
          <value t="str">
            <val>2022/11</val>
          </value>
        </values>
      </ddeItem>
      <ddeItem name="6139.TW-OperatingProfitRatio,Price,PriceChangeRatio,InOutRatioNumber,Value,YearReturn,MonthReturn,WeekReturn,FinanceBalanceDif,ChipsField2" advise="1">
        <values cols="10">
          <value t="str">
            <val>4.82</val>
          </value>
          <value>
            <val>37.4</val>
          </value>
          <value>
            <val>0.81</val>
          </value>
          <value t="str">
            <val>43.23%</val>
          </value>
          <value t="str">
            <val>3496萬</val>
          </value>
          <value t="str">
            <val>+38.61</val>
          </value>
          <value t="str">
            <val>+16.15</val>
          </value>
          <value t="str">
            <val>-1.32</val>
          </value>
          <value>
            <val>149</val>
          </value>
          <value>
            <val>0</val>
          </value>
        </values>
      </ddeItem>
      <ddeItem name="6141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4</val>
          </value>
          <value t="str">
            <val>2022/07/13</val>
          </value>
          <value t="str">
            <val>1.01</val>
          </value>
          <value>
            <val>5.21</val>
          </value>
          <value t="str">
            <val>0.94</val>
          </value>
          <value t="str">
            <val>-0.17</val>
          </value>
          <value t="str">
            <val>柏承</val>
          </value>
          <value t="str">
            <val>上市電子零組件</val>
          </value>
          <value t="str">
            <val>少量多樣的利基型PCB廠</val>
          </value>
        </values>
      </ddeItem>
      <ddeItem name="6141.TW-CName,InvestorConferenceDate,DateofMeetingofShareHolders,TradingDate" advise="1">
        <values cols="4">
          <value t="str">
            <val>柏承</val>
          </value>
          <value t="str">
            <val>2021/12/16</val>
          </value>
          <value t="str">
            <val>2022/06/17</val>
          </value>
          <value t="str">
            <val>2022/12/22</val>
          </value>
        </values>
      </ddeItem>
      <ddeItem name="6141.TW-ID,Name,MarketValue,Capital,NetIncomeGrowthRate,OperIncomeGrowthRate,FinancialStatementsTime,TFXRatio,MonthlyNetSalesYoY,RevenueMonth" advise="1">
        <values cols="10">
          <value t="str">
            <val>6141</val>
          </value>
          <value t="str">
            <val>柏承</val>
          </value>
          <value t="str">
            <val>22.2</val>
          </value>
          <value t="str">
            <val>11.34</val>
          </value>
          <value t="str">
            <val>-105.18</val>
          </value>
          <value t="str">
            <val>-84.50</val>
          </value>
          <value t="str">
            <val>2022/09</val>
          </value>
          <value t="str">
            <val>-29.07</val>
          </value>
          <value t="str">
            <val>-51.97</val>
          </value>
          <value t="str">
            <val>2022/11</val>
          </value>
        </values>
      </ddeItem>
      <ddeItem name="6141.TW-OperatingProfitRatio,Price,PriceChangeRatio,InOutRatioNumber,Value,YearReturn,MonthReturn,WeekReturn,FinanceBalanceDif,ChipsField2" advise="1">
        <values cols="10">
          <value t="str">
            <val>1.89</val>
          </value>
          <value>
            <val>19.399999999999999</val>
          </value>
          <value>
            <val>-0.51</val>
          </value>
          <value t="str">
            <val>26.42%</val>
          </value>
          <value t="str">
            <val>102萬</val>
          </value>
          <value t="str">
            <val>-29.30</val>
          </value>
          <value t="str">
            <val>+2.11</val>
          </value>
          <value t="str">
            <val>-7.40</val>
          </value>
          <value>
            <val>3</val>
          </value>
          <value>
            <val>0</val>
          </value>
        </values>
      </ddeItem>
      <ddeItem name="614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18</val>
          </value>
          <value t="str">
            <val>--</val>
          </value>
          <value t="str">
            <val>0.00</val>
          </value>
          <value>
            <val>0</val>
          </value>
          <value t="str">
            <val>2.87</val>
          </value>
          <value t="str">
            <val>0.24</val>
          </value>
          <value t="str">
            <val>友勁</val>
          </value>
          <value t="str">
            <val>上市通信網路</val>
          </value>
          <value t="str">
            <val>友訊轉投資無線網路與寬頻產品製造商</val>
          </value>
        </values>
      </ddeItem>
      <ddeItem name="6142.TW-CName,InvestorConferenceDate,DateofMeetingofShareHolders,TradingDate" advise="1">
        <values cols="4">
          <value t="str">
            <val>友勁</val>
          </value>
          <value t="str">
            <val>--</val>
          </value>
          <value t="str">
            <val>2022/05/27</val>
          </value>
          <value t="str">
            <val>2022/12/22</val>
          </value>
        </values>
      </ddeItem>
      <ddeItem name="6142.TW-ID,Name,MarketValue,Capital,NetIncomeGrowthRate,OperIncomeGrowthRate,FinancialStatementsTime,TFXRatio,MonthlyNetSalesYoY,RevenueMonth" advise="1">
        <values cols="10">
          <value t="str">
            <val>6142</val>
          </value>
          <value t="str">
            <val>友勁</val>
          </value>
          <value t="str">
            <val>23.7</val>
          </value>
          <value t="str">
            <val>33.08</val>
          </value>
          <value t="str">
            <val>109.11</val>
          </value>
          <value t="str">
            <val>74.15</val>
          </value>
          <value t="str">
            <val>2022/09</val>
          </value>
          <value t="str">
            <val>-3.69</val>
          </value>
          <value t="str">
            <val>65.52</val>
          </value>
          <value t="str">
            <val>2022/11</val>
          </value>
        </values>
      </ddeItem>
      <ddeItem name="6142.TW-OperatingProfitRatio,Price,PriceChangeRatio,InOutRatioNumber,Value,YearReturn,MonthReturn,WeekReturn,FinanceBalanceDif,ChipsField2" advise="1">
        <values cols="10">
          <value t="str">
            <val>-6.27</val>
          </value>
          <value>
            <val>10.3</val>
          </value>
          <value>
            <val>1.48</val>
          </value>
          <value t="str">
            <val>44.12%</val>
          </value>
          <value t="str">
            <val>1156萬</val>
          </value>
          <value t="str">
            <val>-7.62</val>
          </value>
          <value t="str">
            <val>+7.07</val>
          </value>
          <value t="str">
            <val>+0.98</val>
          </value>
          <value>
            <val>0</val>
          </value>
          <value>
            <val>0</val>
          </value>
        </values>
      </ddeItem>
      <ddeItem name="615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-27</val>
          </value>
          <value t="str">
            <val>--</val>
          </value>
          <value t="str">
            <val>0.00</val>
          </value>
          <value>
            <val>0</val>
          </value>
          <value t="str">
            <val>0.98</val>
          </value>
          <value t="str">
            <val>0.56</val>
          </value>
          <value t="str">
            <val>百一</val>
          </value>
          <value t="str">
            <val>上市通信網路</val>
          </value>
          <value t="str">
            <val>STB、LNB、LTE的ODM大廠</val>
          </value>
        </values>
      </ddeItem>
      <ddeItem name="6152.TW-CName,InvestorConferenceDate,DateofMeetingofShareHolders,TradingDate" advise="1">
        <values cols="4">
          <value t="str">
            <val>百一</val>
          </value>
          <value t="str">
            <val>2022/12/12</val>
          </value>
          <value t="str">
            <val>2022/06/22</val>
          </value>
          <value t="str">
            <val>2022/12/22</val>
          </value>
        </values>
      </ddeItem>
      <ddeItem name="6152.TW-ID,Name,MarketValue,Capital,NetIncomeGrowthRate,OperIncomeGrowthRate,FinancialStatementsTime,TFXRatio,MonthlyNetSalesYoY,RevenueMonth" advise="1">
        <values cols="10">
          <value t="str">
            <val>6152</val>
          </value>
          <value t="str">
            <val>百一</val>
          </value>
          <value t="str">
            <val>16.9</val>
          </value>
          <value t="str">
            <val>16.77</val>
          </value>
          <value t="str">
            <val>425.72</val>
          </value>
          <value t="str">
            <val>61.94</val>
          </value>
          <value t="str">
            <val>2022/09</val>
          </value>
          <value t="str">
            <val>-34.00</val>
          </value>
          <value t="str">
            <val>-15.12</val>
          </value>
          <value t="str">
            <val>2022/11</val>
          </value>
        </values>
      </ddeItem>
      <ddeItem name="6152.TW-OperatingProfitRatio,Price,PriceChangeRatio,InOutRatioNumber,Value,YearReturn,MonthReturn,WeekReturn,FinanceBalanceDif,ChipsField2" advise="1">
        <values cols="10">
          <value t="str">
            <val>-1.12</val>
          </value>
          <value>
            <val>10.050000000000001</val>
          </value>
          <value>
            <val>0</val>
          </value>
          <value t="str">
            <val>15.89%</val>
          </value>
          <value t="str">
            <val>370萬</val>
          </value>
          <value t="str">
            <val>-11.45</val>
          </value>
          <value t="str">
            <val>-9.46</val>
          </value>
          <value t="str">
            <val>-2.90</val>
          </value>
          <value>
            <val>0</val>
          </value>
          <value>
            <val>0</val>
          </value>
        </values>
      </ddeItem>
      <ddeItem name="6153.TW-ChipsField3,ChipsField1,ChipsField25,CashAndStockDividend,CashDividendYieldRate,ProfitFourSeason,ProfitSingle,CName,ExchangeIndustry,CompanyPos" advise="1">
        <values cols="10">
          <value>
            <val>-52</val>
          </value>
          <value>
            <val>-34</val>
          </value>
          <value t="str">
            <val>--</val>
          </value>
          <value t="str">
            <val>0.00</val>
          </value>
          <value>
            <val>0</val>
          </value>
          <value t="str">
            <val>0.25</val>
          </value>
          <value t="str">
            <val>1.35</val>
          </value>
          <value t="str">
            <val>嘉聯益</val>
          </value>
          <value t="str">
            <val>上市電子零組件</val>
          </value>
          <value t="str">
            <val>台灣前三大軟板廠之一</val>
          </value>
        </values>
      </ddeItem>
      <ddeItem name="6153.TW-CName,InvestorConferenceDate,DateofMeetingofShareHolders,TradingDate" advise="1">
        <values cols="4">
          <value t="str">
            <val>嘉聯益</val>
          </value>
          <value t="str">
            <val>2022/12/08</val>
          </value>
          <value t="str">
            <val>2022/06/14</val>
          </value>
          <value t="str">
            <val>2022/12/22</val>
          </value>
        </values>
      </ddeItem>
      <ddeItem name="6153.TW-ID,Name,MarketValue,Capital,NetIncomeGrowthRate,OperIncomeGrowthRate,FinancialStatementsTime,TFXRatio,MonthlyNetSalesYoY,RevenueMonth" advise="1">
        <values cols="10">
          <value t="str">
            <val>6153</val>
          </value>
          <value t="str">
            <val>嘉聯益</val>
          </value>
          <value t="str">
            <val>135.4</val>
          </value>
          <value t="str">
            <val>55.62</val>
          </value>
          <value t="str">
            <val>410.73</val>
          </value>
          <value t="str">
            <val>177.69</val>
          </value>
          <value t="str">
            <val>2022/09</val>
          </value>
          <value t="str">
            <val>-23.11</val>
          </value>
          <value t="str">
            <val>0.48</val>
          </value>
          <value t="str">
            <val>2022/11</val>
          </value>
        </values>
      </ddeItem>
      <ddeItem name="6153.TW-OperatingProfitRatio,Price,PriceChangeRatio,InOutRatioNumber,Value,YearReturn,MonthReturn,WeekReturn,FinanceBalanceDif,ChipsField2" advise="1">
        <values cols="10">
          <value t="str">
            <val>1.49</val>
          </value>
          <value>
            <val>24.35</val>
          </value>
          <value>
            <val>0.62</val>
          </value>
          <value t="str">
            <val>53.21%</val>
          </value>
          <value t="str">
            <val>6679萬</val>
          </value>
          <value t="str">
            <val>-3.56</val>
          </value>
          <value t="str">
            <val>-14.56</val>
          </value>
          <value t="str">
            <val>-3.56</val>
          </value>
          <value>
            <val>-58</val>
          </value>
          <value>
            <val>0</val>
          </value>
        </values>
      </ddeItem>
      <ddeItem name="615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-7</val>
          </value>
          <value t="str">
            <val>2022/06/23</val>
          </value>
          <value t="str">
            <val>0.85</val>
          </value>
          <value>
            <val>3.39</val>
          </value>
          <value t="str">
            <val>2.40</val>
          </value>
          <value t="str">
            <val>0.92</val>
          </value>
          <value t="str">
            <val>鈞寶</val>
          </value>
          <value t="str">
            <val>上市電子零組件</val>
          </value>
          <value t="str">
            <val>台灣電感及電磁波干擾對策之專業廠商</val>
          </value>
        </values>
      </ddeItem>
      <ddeItem name="6155.TW-CName,InvestorConferenceDate,DateofMeetingofShareHolders,TradingDate" advise="1">
        <values cols="4">
          <value t="str">
            <val>鈞寶</val>
          </value>
          <value t="str">
            <val>2022/12/06</val>
          </value>
          <value t="str">
            <val>2022/05/26</val>
          </value>
          <value t="str">
            <val>2022/12/22</val>
          </value>
        </values>
      </ddeItem>
      <ddeItem name="6155.TW-ID,Name,MarketValue,Capital,NetIncomeGrowthRate,OperIncomeGrowthRate,FinancialStatementsTime,TFXRatio,MonthlyNetSalesYoY,RevenueMonth" advise="1">
        <values cols="10">
          <value t="str">
            <val>6155</val>
          </value>
          <value t="str">
            <val>鈞寶</val>
          </value>
          <value t="str">
            <val>21.9</val>
          </value>
          <value t="str">
            <val>8.71</val>
          </value>
          <value t="str">
            <val>242.95</val>
          </value>
          <value t="str">
            <val>-32.31</val>
          </value>
          <value t="str">
            <val>2022/09</val>
          </value>
          <value t="str">
            <val>-5.69</val>
          </value>
          <value t="str">
            <val>-22.49</val>
          </value>
          <value t="str">
            <val>2022/11</val>
          </value>
        </values>
      </ddeItem>
      <ddeItem name="6155.TW-OperatingProfitRatio,Price,PriceChangeRatio,InOutRatioNumber,Value,YearReturn,MonthReturn,WeekReturn,FinanceBalanceDif,ChipsField2" advise="1">
        <values cols="10">
          <value t="str">
            <val>10.99</val>
          </value>
          <value>
            <val>25.1</val>
          </value>
          <value>
            <val>7.49</val>
          </value>
          <value t="str">
            <val>60.89%</val>
          </value>
          <value t="str">
            <val>1853萬</val>
          </value>
          <value t="str">
            <val>+7.73</val>
          </value>
          <value t="str">
            <val>+12.56</val>
          </value>
          <value t="str">
            <val>0.00</val>
          </value>
          <value>
            <val>3</val>
          </value>
          <value>
            <val>0</val>
          </value>
        </values>
      </ddeItem>
      <ddeItem name="616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9</val>
          </value>
          <value t="str">
            <val>--</val>
          </value>
          <value t="str">
            <val>0.00</val>
          </value>
          <value>
            <val>0</val>
          </value>
          <value t="str">
            <val>0.25</val>
          </value>
          <value t="str">
            <val>0.10</val>
          </value>
          <value t="str">
            <val>華興</val>
          </value>
          <value t="str">
            <val>上市光電</val>
          </value>
          <value t="str">
            <val>台灣LED照明元件及模組廠</val>
          </value>
        </values>
      </ddeItem>
      <ddeItem name="6164.TW-CName,InvestorConferenceDate,DateofMeetingofShareHolders,TradingDate" advise="1">
        <values cols="4">
          <value t="str">
            <val>華興</val>
          </value>
          <value t="str">
            <val>2022/12/16</val>
          </value>
          <value t="str">
            <val>2022/06/08</val>
          </value>
          <value t="str">
            <val>2022/12/22</val>
          </value>
        </values>
      </ddeItem>
      <ddeItem name="6164.TW-ID,Name,MarketValue,Capital,NetIncomeGrowthRate,OperIncomeGrowthRate,FinancialStatementsTime,TFXRatio,MonthlyNetSalesYoY,RevenueMonth" advise="1">
        <values cols="10">
          <value t="str">
            <val>6164</val>
          </value>
          <value t="str">
            <val>華興</val>
          </value>
          <value t="str">
            <val>10.1</val>
          </value>
          <value t="str">
            <val>10.00</val>
          </value>
          <value t="str">
            <val>111.44</val>
          </value>
          <value t="str">
            <val>-689.28</val>
          </value>
          <value t="str">
            <val>2022/09</val>
          </value>
          <value t="str">
            <val>1.44</val>
          </value>
          <value t="str">
            <val>-37.72</val>
          </value>
          <value t="str">
            <val>2022/11</val>
          </value>
        </values>
      </ddeItem>
      <ddeItem name="6164.TW-OperatingProfitRatio,Price,PriceChangeRatio,InOutRatioNumber,Value,YearReturn,MonthReturn,WeekReturn,FinanceBalanceDif,ChipsField2" advise="1">
        <values cols="10">
          <value t="str">
            <val>-4.14</val>
          </value>
          <value>
            <val>10.1</val>
          </value>
          <value>
            <val>1.3</val>
          </value>
          <value t="str">
            <val>63.95%</val>
          </value>
          <value t="str">
            <val>92.8萬</val>
          </value>
          <value t="str">
            <val>-37.07</val>
          </value>
          <value t="str">
            <val>+1.92</val>
          </value>
          <value t="str">
            <val>-4.27</val>
          </value>
          <value>
            <val>-27</val>
          </value>
          <value>
            <val>0</val>
          </value>
        </values>
      </ddeItem>
      <ddeItem name="6165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5</val>
          </value>
          <value t="str">
            <val>--</val>
          </value>
          <value t="str">
            <val>0.00</val>
          </value>
          <value>
            <val>0</val>
          </value>
          <value t="str">
            <val>0.01</val>
          </value>
          <value t="str">
            <val>0.49</val>
          </value>
          <value t="str">
            <val>浪凡</val>
          </value>
          <value t="str">
            <val>上市其他</val>
          </value>
          <value t="str">
            <val>轉型為直播平台服務商，旗下擁有「浪LIVE」平台</val>
          </value>
        </values>
      </ddeItem>
      <ddeItem name="6165.TW-CName,InvestorConferenceDate,DateofMeetingofShareHolders,TradingDate" advise="1">
        <values cols="4">
          <value t="str">
            <val>浪凡</val>
          </value>
          <value t="str">
            <val>2021/12/16</val>
          </value>
          <value t="str">
            <val>2022/06/22</val>
          </value>
          <value t="str">
            <val>2022/12/22</val>
          </value>
        </values>
      </ddeItem>
      <ddeItem name="6165.TW-ID,Name,MarketValue,Capital,NetIncomeGrowthRate,OperIncomeGrowthRate,FinancialStatementsTime,TFXRatio,MonthlyNetSalesYoY,RevenueMonth" advise="1">
        <values cols="10">
          <value t="str">
            <val>6165</val>
          </value>
          <value t="str">
            <val>浪凡</val>
          </value>
          <value t="str">
            <val>13.6</val>
          </value>
          <value t="str">
            <val>5.32</val>
          </value>
          <value t="str">
            <val>-73.79</val>
          </value>
          <value t="str">
            <val>-43.61</val>
          </value>
          <value t="str">
            <val>2022/09</val>
          </value>
          <value t="str">
            <val>-15.09</val>
          </value>
          <value t="str">
            <val>-3.59</val>
          </value>
          <value t="str">
            <val>2022/11</val>
          </value>
        </values>
      </ddeItem>
      <ddeItem name="6165.TW-OperatingProfitRatio,Price,PriceChangeRatio,InOutRatioNumber,Value,YearReturn,MonthReturn,WeekReturn,FinanceBalanceDif,ChipsField2" advise="1">
        <values cols="10">
          <value t="str">
            <val>2.98</val>
          </value>
          <value>
            <val>27.3</val>
          </value>
          <value>
            <val>0.37</val>
          </value>
          <value t="str">
            <val>39.39%</val>
          </value>
          <value t="str">
            <val>90.1萬</val>
          </value>
          <value t="str">
            <val>-28.16</val>
          </value>
          <value t="str">
            <val>+2.06</val>
          </value>
          <value t="str">
            <val>-1.09</val>
          </value>
          <value>
            <val>5</val>
          </value>
          <value>
            <val>0</val>
          </value>
        </values>
      </ddeItem>
      <ddeItem name="6166.TW-ChipsField3,ChipsField1,ChipsField25,CashAndStockDividend,CashDividendYieldRate,ProfitFourSeason,ProfitSingle,CName,ExchangeIndustry,CompanyPos" advise="1">
        <values cols="10">
          <value>
            <val>-10</val>
          </value>
          <value>
            <val>-2</val>
          </value>
          <value t="str">
            <val>2022/07/12</val>
          </value>
          <value t="str">
            <val>0.30</val>
          </value>
          <value>
            <val>0.56999999999999995</val>
          </value>
          <value t="str">
            <val>3.78</val>
          </value>
          <value t="str">
            <val>1.06</val>
          </value>
          <value t="str">
            <val>凌華</val>
          </value>
          <value t="str">
            <val>上市電腦及週邊設備</val>
          </value>
          <value t="str">
            <val>台灣前三大工業電腦廠</val>
          </value>
        </values>
      </ddeItem>
      <ddeItem name="6166.TW-CName,InvestorConferenceDate,DateofMeetingofShareHolders,TradingDate" advise="1">
        <values cols="4">
          <value t="str">
            <val>凌華</val>
          </value>
          <value t="str">
            <val>2022/08/02</val>
          </value>
          <value t="str">
            <val>2022/06/22</val>
          </value>
          <value t="str">
            <val>2022/12/22</val>
          </value>
        </values>
      </ddeItem>
      <ddeItem name="6166.TW-ID,Name,MarketValue,Capital,NetIncomeGrowthRate,OperIncomeGrowthRate,FinancialStatementsTime,TFXRatio,MonthlyNetSalesYoY,RevenueMonth" advise="1">
        <values cols="10">
          <value t="str">
            <val>6166</val>
          </value>
          <value t="str">
            <val>凌華</val>
          </value>
          <value t="str">
            <val>114.8</val>
          </value>
          <value t="str">
            <val>21.75</val>
          </value>
          <value t="str">
            <val>4021.32</val>
          </value>
          <value t="str">
            <val>3886.99</val>
          </value>
          <value t="str">
            <val>2022/09</val>
          </value>
          <value t="str">
            <val>25.06</val>
          </value>
          <value t="str">
            <val>25.58</val>
          </value>
          <value t="str">
            <val>2022/11</val>
          </value>
        </values>
      </ddeItem>
      <ddeItem name="6166.TW-OperatingProfitRatio,Price,PriceChangeRatio,InOutRatioNumber,Value,YearReturn,MonthReturn,WeekReturn,FinanceBalanceDif,ChipsField2" advise="1">
        <values cols="10">
          <value t="str">
            <val>5.22</val>
          </value>
          <value>
            <val>52.8</val>
          </value>
          <value>
            <val>1.1499999999999999</val>
          </value>
          <value t="str">
            <val>42.86%</val>
          </value>
          <value t="str">
            <val>184萬</val>
          </value>
          <value t="str">
            <val>-14.79</val>
          </value>
          <value t="str">
            <val>+5.92</val>
          </value>
          <value t="str">
            <val>-4.52</val>
          </value>
          <value>
            <val>9</val>
          </value>
          <value>
            <val>0</val>
          </value>
        </values>
      </ddeItem>
      <ddeItem name="6168.TW-ChipsField3,ChipsField1,ChipsField25,CashAndStockDividend,CashDividendYieldRate,ProfitFourSeason,ProfitSingle,CName,ExchangeIndustry,CompanyPos" advise="1">
        <values cols="10">
          <value>
            <val>-10</val>
          </value>
          <value>
            <val>-1</val>
          </value>
          <value t="str">
            <val>2022/08/26</val>
          </value>
          <value t="str">
            <val>1.50</val>
          </value>
          <value>
            <val>8.4700000000000006</val>
          </value>
          <value t="str">
            <val>1.86</val>
          </value>
          <value t="str">
            <val>0.48</val>
          </value>
          <value t="str">
            <val>宏齊</val>
          </value>
          <value t="str">
            <val>上市光電</val>
          </value>
          <value t="str">
            <val>專為Avago及Osram代工之LED封裝廠</val>
          </value>
        </values>
      </ddeItem>
      <ddeItem name="6168.TW-CName,InvestorConferenceDate,DateofMeetingofShareHolders,TradingDate" advise="1">
        <values cols="4">
          <value t="str">
            <val>宏齊</val>
          </value>
          <value t="str">
            <val>2022/12/07</val>
          </value>
          <value t="str">
            <val>2022/06/29</val>
          </value>
          <value t="str">
            <val>2022/12/22</val>
          </value>
        </values>
      </ddeItem>
      <ddeItem name="6168.TW-ID,Name,MarketValue,Capital,NetIncomeGrowthRate,OperIncomeGrowthRate,FinancialStatementsTime,TFXRatio,MonthlyNetSalesYoY,RevenueMonth" advise="1">
        <values cols="10">
          <value t="str">
            <val>6168</val>
          </value>
          <value t="str">
            <val>宏齊</val>
          </value>
          <value t="str">
            <val>36.5</val>
          </value>
          <value t="str">
            <val>20.61</val>
          </value>
          <value t="str">
            <val>9.91</val>
          </value>
          <value t="str">
            <val>-42.05</val>
          </value>
          <value t="str">
            <val>2022/09</val>
          </value>
          <value t="str">
            <val>-9.33</val>
          </value>
          <value t="str">
            <val>-30.74</val>
          </value>
          <value t="str">
            <val>2022/11</val>
          </value>
        </values>
      </ddeItem>
      <ddeItem name="6168.TW-OperatingProfitRatio,Price,PriceChangeRatio,InOutRatioNumber,Value,YearReturn,MonthReturn,WeekReturn,FinanceBalanceDif,ChipsField2" advise="1">
        <values cols="10">
          <value t="str">
            <val>10.31</val>
          </value>
          <value>
            <val>17.7</val>
          </value>
          <value>
            <val>0.56999999999999995</val>
          </value>
          <value t="str">
            <val>54.32%</val>
          </value>
          <value t="str">
            <val>287萬</val>
          </value>
          <value t="str">
            <val>-29.58</val>
          </value>
          <value t="str">
            <val>-0.56</val>
          </value>
          <value t="str">
            <val>-4.07</val>
          </value>
          <value>
            <val>-400</val>
          </value>
          <value>
            <val>0</val>
          </value>
        </values>
      </ddeItem>
      <ddeItem name="6176.TW-ChipsField3,ChipsField1,ChipsField25,CashAndStockDividend,CashDividendYieldRate,ProfitFourSeason,ProfitSingle,CName,ExchangeIndustry,CompanyPos" advise="1">
        <values cols="10">
          <value>
            <val>-16</val>
          </value>
          <value>
            <val>296</val>
          </value>
          <value t="str">
            <val>2022/06/24</val>
          </value>
          <value t="str">
            <val>8.00</val>
          </value>
          <value>
            <val>7.58</val>
          </value>
          <value t="str">
            <val>14.07</val>
          </value>
          <value t="str">
            <val>3.96</val>
          </value>
          <value t="str">
            <val>瑞儀</val>
          </value>
          <value t="str">
            <val>上市光電</val>
          </value>
          <value t="str">
            <val>全球最大背光模組(BLU)廠</val>
          </value>
        </values>
      </ddeItem>
      <ddeItem name="6176.TW-CName,InvestorConferenceDate,DateofMeetingofShareHolders,TradingDate" advise="1">
        <values cols="4">
          <value t="str">
            <val>瑞儀</val>
          </value>
          <value t="str">
            <val>2022/04/28</val>
          </value>
          <value t="str">
            <val>2022/05/26</val>
          </value>
          <value t="str">
            <val>2022/12/22</val>
          </value>
        </values>
      </ddeItem>
      <ddeItem name="6176.TW-ID,Name,MarketValue,Capital,NetIncomeGrowthRate,OperIncomeGrowthRate,FinancialStatementsTime,TFXRatio,MonthlyNetSalesYoY,RevenueMonth" advise="1">
        <values cols="10">
          <value t="str">
            <val>6176</val>
          </value>
          <value t="str">
            <val>瑞儀</val>
          </value>
          <value t="str">
            <val>490.6</val>
          </value>
          <value t="str">
            <val>46.50</val>
          </value>
          <value t="str">
            <val>31.97</val>
          </value>
          <value t="str">
            <val>6.87</val>
          </value>
          <value t="str">
            <val>2022/09</val>
          </value>
          <value t="str">
            <val>-15.21</val>
          </value>
          <value t="str">
            <val>3.35</val>
          </value>
          <value t="str">
            <val>2022/11</val>
          </value>
        </values>
      </ddeItem>
      <ddeItem name="6176.TW-OperatingProfitRatio,Price,PriceChangeRatio,InOutRatioNumber,Value,YearReturn,MonthReturn,WeekReturn,FinanceBalanceDif,ChipsField2" advise="1">
        <values cols="10">
          <value t="str">
            <val>13.43</val>
          </value>
          <value>
            <val>105.5</val>
          </value>
          <value>
            <val>-0.94</val>
          </value>
          <value t="str">
            <val>35.18%</val>
          </value>
          <value t="str">
            <val>3.89億</val>
          </value>
          <value t="str">
            <val>+16.08</val>
          </value>
          <value t="str">
            <val>+3.43</val>
          </value>
          <value t="str">
            <val>+1.93</val>
          </value>
          <value>
            <val>6</val>
          </value>
          <value>
            <val>-329</val>
          </value>
        </values>
      </ddeItem>
      <ddeItem name="6177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72</val>
          </value>
          <value t="str">
            <val>2022/07/27</val>
          </value>
          <value t="str">
            <val>3.00</val>
          </value>
          <value>
            <val>10.24</val>
          </value>
          <value t="str">
            <val>5.62</val>
          </value>
          <value t="str">
            <val>1.05</val>
          </value>
          <value t="str">
            <val>達麗</val>
          </value>
          <value t="str">
            <val>上市建材營造</val>
          </value>
          <value t="str">
            <val>推案集中於林口、竹北、高雄等地，近年業務拓展至美國西雅圖</val>
          </value>
        </values>
      </ddeItem>
      <ddeItem name="6177.TW-CName,InvestorConferenceDate,DateofMeetingofShareHolders,TradingDate" advise="1">
        <values cols="4">
          <value t="str">
            <val>達麗</val>
          </value>
          <value t="str">
            <val>2022/12/12</val>
          </value>
          <value t="str">
            <val>2022/06/15</val>
          </value>
          <value t="str">
            <val>2022/12/22</val>
          </value>
        </values>
      </ddeItem>
      <ddeItem name="6177.TW-ID,Name,MarketValue,Capital,NetIncomeGrowthRate,OperIncomeGrowthRate,FinancialStatementsTime,TFXRatio,MonthlyNetSalesYoY,RevenueMonth" advise="1">
        <values cols="10">
          <value t="str">
            <val>6177</val>
          </value>
          <value t="str">
            <val>達麗</val>
          </value>
          <value t="str">
            <val>113.7</val>
          </value>
          <value t="str">
            <val>38.79</val>
          </value>
          <value t="str">
            <val>88.20</val>
          </value>
          <value t="str">
            <val>92.36</val>
          </value>
          <value t="str">
            <val>2022/09</val>
          </value>
          <value t="str">
            <val>-29.33</val>
          </value>
          <value t="str">
            <val>-95.68</val>
          </value>
          <value t="str">
            <val>2022/11</val>
          </value>
        </values>
      </ddeItem>
      <ddeItem name="6177.TW-OperatingProfitRatio,Price,PriceChangeRatio,InOutRatioNumber,Value,YearReturn,MonthReturn,WeekReturn,FinanceBalanceDif,ChipsField2" advise="1">
        <values cols="10">
          <value t="str">
            <val>18.96</val>
          </value>
          <value>
            <val>29.3</val>
          </value>
          <value>
            <val>0.51</val>
          </value>
          <value t="str">
            <val>49.25%</val>
          </value>
          <value t="str">
            <val>1185萬</val>
          </value>
          <value t="str">
            <val>+8.19</val>
          </value>
          <value t="str">
            <val>+3.90</val>
          </value>
          <value t="str">
            <val>+1.03</val>
          </value>
          <value>
            <val>95</val>
          </value>
          <value>
            <val>0</val>
          </value>
        </values>
      </ddeItem>
      <ddeItem name="618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2022/08/22</val>
          </value>
          <value t="str">
            <val>2.05</val>
          </value>
          <value>
            <val>3.49</val>
          </value>
          <value t="str">
            <val>3.41</val>
          </value>
          <value t="str">
            <val>0.75</val>
          </value>
          <value t="str">
            <val>關貿</val>
          </value>
          <value t="str">
            <val>上市資訊服務</val>
          </value>
          <value t="str">
            <val>台灣政務相關應用軟體業者</val>
          </value>
        </values>
      </ddeItem>
      <ddeItem name="6183.TW-CName,InvestorConferenceDate,DateofMeetingofShareHolders,TradingDate" advise="1">
        <values cols="4">
          <value t="str">
            <val>關貿</val>
          </value>
          <value t="str">
            <val>2022/08/10</val>
          </value>
          <value t="str">
            <val>2022/06/17</val>
          </value>
          <value t="str">
            <val>2022/12/22</val>
          </value>
        </values>
      </ddeItem>
      <ddeItem name="6183.TW-ID,Name,MarketValue,Capital,NetIncomeGrowthRate,OperIncomeGrowthRate,FinancialStatementsTime,TFXRatio,MonthlyNetSalesYoY,RevenueMonth" advise="1">
        <values cols="10">
          <value t="str">
            <val>6183</val>
          </value>
          <value t="str">
            <val>關貿</val>
          </value>
          <value t="str">
            <val>88.0</val>
          </value>
          <value t="str">
            <val>15.00</val>
          </value>
          <value t="str">
            <val>27.69</val>
          </value>
          <value t="str">
            <val>23.71</val>
          </value>
          <value t="str">
            <val>2022/09</val>
          </value>
          <value t="str">
            <val>14.73</val>
          </value>
          <value t="str">
            <val>-32.27</val>
          </value>
          <value t="str">
            <val>2022/11</val>
          </value>
        </values>
      </ddeItem>
      <ddeItem name="6183.TW-OperatingProfitRatio,Price,PriceChangeRatio,InOutRatioNumber,Value,YearReturn,MonthReturn,WeekReturn,FinanceBalanceDif,ChipsField2" advise="1">
        <values cols="10">
          <value t="str">
            <val>28.45</val>
          </value>
          <value>
            <val>58.7</val>
          </value>
          <value>
            <val>-0.34</val>
          </value>
          <value t="str">
            <val>40.00%</val>
          </value>
          <value t="str">
            <val>146萬</val>
          </value>
          <value t="str">
            <val>+18.69</val>
          </value>
          <value t="str">
            <val>+2.09</val>
          </value>
          <value t="str">
            <val>-2.33</val>
          </value>
          <value>
            <val>1</val>
          </value>
          <value>
            <val>0</val>
          </value>
        </values>
      </ddeItem>
      <ddeItem name="618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2022/07/07</val>
          </value>
          <value t="str">
            <val>3.00</val>
          </value>
          <value>
            <val>6.25</val>
          </value>
          <value t="str">
            <val>3.73</val>
          </value>
          <value t="str">
            <val>0.62</val>
          </value>
          <value t="str">
            <val>大豐電</val>
          </value>
          <value t="str">
            <val>上市其他</val>
          </value>
          <value t="str">
            <val>新北市板橋土城地區有線電視業者</val>
          </value>
        </values>
      </ddeItem>
      <ddeItem name="6184.TW-CName,InvestorConferenceDate,DateofMeetingofShareHolders,TradingDate" advise="1">
        <values cols="4">
          <value t="str">
            <val>大豐電</val>
          </value>
          <value t="str">
            <val>2022/08/25</val>
          </value>
          <value t="str">
            <val>2022/06/10</val>
          </value>
          <value t="str">
            <val>2022/12/22</val>
          </value>
        </values>
      </ddeItem>
      <ddeItem name="6184.TW-ID,Name,MarketValue,Capital,NetIncomeGrowthRate,OperIncomeGrowthRate,FinancialStatementsTime,TFXRatio,MonthlyNetSalesYoY,RevenueMonth" advise="1">
        <values cols="10">
          <value t="str">
            <val>6184</val>
          </value>
          <value t="str">
            <val>大豐電</val>
          </value>
          <value t="str">
            <val>76.0</val>
          </value>
          <value t="str">
            <val>15.82</val>
          </value>
          <value t="str">
            <val>8.98</val>
          </value>
          <value t="str">
            <val>20.21</val>
          </value>
          <value t="str">
            <val>2022/09</val>
          </value>
          <value t="str">
            <val>3.42</val>
          </value>
          <value t="str">
            <val>-1.03</val>
          </value>
          <value t="str">
            <val>2022/11</val>
          </value>
        </values>
      </ddeItem>
      <ddeItem name="6184.TW-OperatingProfitRatio,Price,PriceChangeRatio,InOutRatioNumber,Value,YearReturn,MonthReturn,WeekReturn,FinanceBalanceDif,ChipsField2" advise="1">
        <values cols="10">
          <value t="str">
            <val>32.27</val>
          </value>
          <value>
            <val>48</val>
          </value>
          <value>
            <val>0</val>
          </value>
          <value t="str">
            <val>50.00%</val>
          </value>
          <value t="str">
            <val>67.2萬</val>
          </value>
          <value t="str">
            <val>+16.00</val>
          </value>
          <value t="str">
            <val>+1.16</val>
          </value>
          <value t="str">
            <val>-0.31</val>
          </value>
          <value>
            <val>0</val>
          </value>
          <value>
            <val>0</val>
          </value>
        </values>
      </ddeItem>
      <ddeItem name="6189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-12</val>
          </value>
          <value t="str">
            <val>2022/07/19</val>
          </value>
          <value t="str">
            <val>3.68</val>
          </value>
          <value>
            <val>9.68</val>
          </value>
          <value t="str">
            <val>4.62</val>
          </value>
          <value t="str">
            <val>0.97</val>
          </value>
          <value t="str">
            <val>豐藝</val>
          </value>
          <value t="str">
            <val>上市電子通路</val>
          </value>
          <value t="str">
            <val>國內專業的電子零組件經銷通路商</val>
          </value>
        </values>
      </ddeItem>
      <ddeItem name="6189.TW-CName,InvestorConferenceDate,DateofMeetingofShareHolders,TradingDate" advise="1">
        <values cols="4">
          <value t="str">
            <val>豐藝</val>
          </value>
          <value t="str">
            <val>2022/12/12</val>
          </value>
          <value t="str">
            <val>2022/06/15</val>
          </value>
          <value t="str">
            <val>2022/12/22</val>
          </value>
        </values>
      </ddeItem>
      <ddeItem name="6189.TW-ID,Name,MarketValue,Capital,NetIncomeGrowthRate,OperIncomeGrowthRate,FinancialStatementsTime,TFXRatio,MonthlyNetSalesYoY,RevenueMonth" advise="1">
        <values cols="10">
          <value t="str">
            <val>6189</val>
          </value>
          <value t="str">
            <val>豐藝</val>
          </value>
          <value t="str">
            <val>78.7</val>
          </value>
          <value t="str">
            <val>20.74</val>
          </value>
          <value t="str">
            <val>17.30</val>
          </value>
          <value t="str">
            <val>-34.59</val>
          </value>
          <value t="str">
            <val>2022/09</val>
          </value>
          <value t="str">
            <val>4.92</val>
          </value>
          <value t="str">
            <val>-26.61</val>
          </value>
          <value t="str">
            <val>2022/11</val>
          </value>
        </values>
      </ddeItem>
      <ddeItem name="6189.TW-OperatingProfitRatio,Price,PriceChangeRatio,InOutRatioNumber,Value,YearReturn,MonthReturn,WeekReturn,FinanceBalanceDif,ChipsField2" advise="1">
        <values cols="10">
          <value t="str">
            <val>2.97</val>
          </value>
          <value>
            <val>38</val>
          </value>
          <value>
            <val>0.4</val>
          </value>
          <value t="str">
            <val>62.16%</val>
          </value>
          <value t="str">
            <val>140萬</val>
          </value>
          <value t="str">
            <val>+2.19</val>
          </value>
          <value t="str">
            <val>+1.88</val>
          </value>
          <value t="str">
            <val>-0.13</val>
          </value>
          <value>
            <val>0</val>
          </value>
          <value>
            <val>0</val>
          </value>
        </values>
      </ddeItem>
      <ddeItem name="6191.TW-ChipsField3,ChipsField1,ChipsField25,CashAndStockDividend,CashDividendYieldRate,ProfitFourSeason,ProfitSingle,CName,ExchangeIndustry,CompanyPos" advise="1">
        <values cols="10">
          <value>
            <val>-6</val>
          </value>
          <value>
            <val>-68</val>
          </value>
          <value t="str">
            <val>2022/08/09</val>
          </value>
          <value t="str">
            <val>1.75</val>
          </value>
          <value>
            <val>6.27</val>
          </value>
          <value t="str">
            <val>5.47</val>
          </value>
          <value t="str">
            <val>1.54</val>
          </value>
          <value t="str">
            <val>精成科</val>
          </value>
          <value t="str">
            <val>上市電子零組件</val>
          </value>
          <value t="str">
            <val>瀚宇博轉投資印刷電路板暨組裝代工廠</val>
          </value>
        </values>
      </ddeItem>
      <ddeItem name="6191.TW-CName,InvestorConferenceDate,DateofMeetingofShareHolders,TradingDate" advise="1">
        <values cols="4">
          <value t="str">
            <val>精成科</val>
          </value>
          <value t="str">
            <val>2022/08/16</val>
          </value>
          <value t="str">
            <val>2022/06/08</val>
          </value>
          <value t="str">
            <val>2022/12/22</val>
          </value>
        </values>
      </ddeItem>
      <ddeItem name="6191.TW-ID,Name,MarketValue,Capital,NetIncomeGrowthRate,OperIncomeGrowthRate,FinancialStatementsTime,TFXRatio,MonthlyNetSalesYoY,RevenueMonth" advise="1">
        <values cols="10">
          <value t="str">
            <val>6191</val>
          </value>
          <value t="str">
            <val>精成科</val>
          </value>
          <value t="str">
            <val>132.3</val>
          </value>
          <value t="str">
            <val>47.43</val>
          </value>
          <value t="str">
            <val>-13.46</val>
          </value>
          <value t="str">
            <val>-22.84</val>
          </value>
          <value t="str">
            <val>2022/09</val>
          </value>
          <value t="str">
            <val>-6.56</val>
          </value>
          <value t="str">
            <val>-17.74</val>
          </value>
          <value t="str">
            <val>2022/11</val>
          </value>
        </values>
      </ddeItem>
      <ddeItem name="6191.TW-OperatingProfitRatio,Price,PriceChangeRatio,InOutRatioNumber,Value,YearReturn,MonthReturn,WeekReturn,FinanceBalanceDif,ChipsField2" advise="1">
        <values cols="10">
          <value t="str">
            <val>10.11</val>
          </value>
          <value>
            <val>27.9</val>
          </value>
          <value>
            <val>1.0900000000000001</val>
          </value>
          <value t="str">
            <val>47.72%</val>
          </value>
          <value t="str">
            <val>673萬</val>
          </value>
          <value t="str">
            <val>-20.59</val>
          </value>
          <value t="str">
            <val>-4.12</val>
          </value>
          <value t="str">
            <val>-3.63</val>
          </value>
          <value>
            <val>-32</val>
          </value>
          <value>
            <val>0</val>
          </value>
        </values>
      </ddeItem>
      <ddeItem name="6192.TW-ChipsField3,ChipsField1,ChipsField25,CashAndStockDividend,CashDividendYieldRate,ProfitFourSeason,ProfitSingle,CName,ExchangeIndustry,CompanyPos" advise="1">
        <values cols="10">
          <value>
            <val>-4</val>
          </value>
          <value>
            <val>-14</val>
          </value>
          <value t="str">
            <val>2022/04/21</val>
          </value>
          <value t="str">
            <val>4.00</val>
          </value>
          <value>
            <val>5.73</val>
          </value>
          <value t="str">
            <val>8.55</val>
          </value>
          <value t="str">
            <val>2.55</val>
          </value>
          <value t="str">
            <val>巨路</val>
          </value>
          <value t="str">
            <val>上市其他電子</val>
          </value>
          <value t="str">
            <val>程控儀錶與電子材料通路商</val>
          </value>
        </values>
      </ddeItem>
      <ddeItem name="6192.TW-CName,InvestorConferenceDate,DateofMeetingofShareHolders,TradingDate" advise="1">
        <values cols="4">
          <value t="str">
            <val>巨路</val>
          </value>
          <value t="str">
            <val>2022/11/16</val>
          </value>
          <value t="str">
            <val>2022/06/23</val>
          </value>
          <value t="str">
            <val>2022/12/22</val>
          </value>
        </values>
      </ddeItem>
      <ddeItem name="6192.TW-ID,Name,MarketValue,Capital,NetIncomeGrowthRate,OperIncomeGrowthRate,FinancialStatementsTime,TFXRatio,MonthlyNetSalesYoY,RevenueMonth" advise="1">
        <values cols="10">
          <value t="str">
            <val>6192</val>
          </value>
          <value t="str">
            <val>巨路</val>
          </value>
          <value t="str">
            <val>67.1</val>
          </value>
          <value t="str">
            <val>9.62</val>
          </value>
          <value t="str">
            <val>7.95</val>
          </value>
          <value t="str">
            <val>1.56</val>
          </value>
          <value t="str">
            <val>2022/09</val>
          </value>
          <value t="str">
            <val>46.03</val>
          </value>
          <value t="str">
            <val>-7.89</val>
          </value>
          <value t="str">
            <val>2022/11</val>
          </value>
        </values>
      </ddeItem>
      <ddeItem name="6192.TW-OperatingProfitRatio,Price,PriceChangeRatio,InOutRatioNumber,Value,YearReturn,MonthReturn,WeekReturn,FinanceBalanceDif,ChipsField2" advise="1">
        <values cols="10">
          <value t="str">
            <val>17.47</val>
          </value>
          <value>
            <val>69.8</val>
          </value>
          <value>
            <val>0.87</val>
          </value>
          <value t="str">
            <val>48.98%</val>
          </value>
          <value t="str">
            <val>341萬</val>
          </value>
          <value t="str">
            <val>-6.35</val>
          </value>
          <value t="str">
            <val>-0.57</val>
          </value>
          <value t="str">
            <val>-1.13</val>
          </value>
          <value>
            <val>1</val>
          </value>
          <value>
            <val>0</val>
          </value>
        </values>
      </ddeItem>
      <ddeItem name="619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102</val>
          </value>
          <value t="str">
            <val>2022/07/12</val>
          </value>
          <value t="str">
            <val>4.45</val>
          </value>
          <value>
            <val>3.79</val>
          </value>
          <value t="str">
            <val>11.27</val>
          </value>
          <value t="str">
            <val>4.24</val>
          </value>
          <value t="str">
            <val>帆宣</val>
          </value>
          <value t="str">
            <val>上市其他電子</val>
          </value>
          <value t="str">
            <val>專注於設備工程及耗材代理的廠商</val>
          </value>
        </values>
      </ddeItem>
      <ddeItem name="6196.TW-CName,InvestorConferenceDate,DateofMeetingofShareHolders,TradingDate" advise="1">
        <values cols="4">
          <value t="str">
            <val>帆宣</val>
          </value>
          <value t="str">
            <val>2022/09/07</val>
          </value>
          <value t="str">
            <val>2022/05/27</val>
          </value>
          <value t="str">
            <val>2022/12/22</val>
          </value>
        </values>
      </ddeItem>
      <ddeItem name="6196.TW-ID,Name,MarketValue,Capital,NetIncomeGrowthRate,OperIncomeGrowthRate,FinancialStatementsTime,TFXRatio,MonthlyNetSalesYoY,RevenueMonth" advise="1">
        <values cols="10">
          <value t="str">
            <val>6196</val>
          </value>
          <value t="str">
            <val>帆宣</val>
          </value>
          <value t="str">
            <val>229.1</val>
          </value>
          <value t="str">
            <val>19.50</val>
          </value>
          <value t="str">
            <val>59.24</val>
          </value>
          <value t="str">
            <val>67.08</val>
          </value>
          <value t="str">
            <val>2022/09</val>
          </value>
          <value t="str">
            <val>9.23</val>
          </value>
          <value t="str">
            <val>19.79</val>
          </value>
          <value t="str">
            <val>2022/11</val>
          </value>
        </values>
      </ddeItem>
      <ddeItem name="6196.TW-OperatingProfitRatio,Price,PriceChangeRatio,InOutRatioNumber,Value,YearReturn,MonthReturn,WeekReturn,FinanceBalanceDif,ChipsField2" advise="1">
        <values cols="10">
          <value t="str">
            <val>5.72</val>
          </value>
          <value>
            <val>117.5</val>
          </value>
          <value>
            <val>0</val>
          </value>
          <value t="str">
            <val>33.01%</val>
          </value>
          <value t="str">
            <val>4975萬</val>
          </value>
          <value t="str">
            <val>-23.38</val>
          </value>
          <value t="str">
            <val>+1.29</val>
          </value>
          <value t="str">
            <val>-4.08</val>
          </value>
          <value>
            <val>-13</val>
          </value>
          <value>
            <val>0</val>
          </value>
        </values>
      </ddeItem>
      <ddeItem name="6197.TW-ChipsField3,ChipsField1,ChipsField25,CashAndStockDividend,CashDividendYieldRate,ProfitFourSeason,ProfitSingle,CName,ExchangeIndustry,CompanyPos" advise="1">
        <values cols="10">
          <value>
            <val>-2</val>
          </value>
          <value>
            <val>-22</val>
          </value>
          <value t="str">
            <val>2022/07/15</val>
          </value>
          <value t="str">
            <val>3.00</val>
          </value>
          <value>
            <val>7.46</val>
          </value>
          <value t="str">
            <val>4.15</val>
          </value>
          <value t="str">
            <val>1.79</val>
          </value>
          <value t="str">
            <val>佳必琪</val>
          </value>
          <value t="str">
            <val>上市電子零組件</val>
          </value>
          <value t="str">
            <val>國內連接器及線束廠</val>
          </value>
        </values>
      </ddeItem>
      <ddeItem name="6197.TW-CName,InvestorConferenceDate,DateofMeetingofShareHolders,TradingDate" advise="1">
        <values cols="4">
          <value t="str">
            <val>佳必琪</val>
          </value>
          <value t="str">
            <val>2022/12/22</val>
          </value>
          <value t="str">
            <val>2022/06/15</val>
          </value>
          <value t="str">
            <val>2022/12/22</val>
          </value>
        </values>
      </ddeItem>
      <ddeItem name="6197.TW-ID,Name,MarketValue,Capital,NetIncomeGrowthRate,OperIncomeGrowthRate,FinancialStatementsTime,TFXRatio,MonthlyNetSalesYoY,RevenueMonth" advise="1">
        <values cols="10">
          <value t="str">
            <val>6197</val>
          </value>
          <value t="str">
            <val>佳必琪</val>
          </value>
          <value t="str">
            <val>49.1</val>
          </value>
          <value t="str">
            <val>12.21</val>
          </value>
          <value t="str">
            <val>46.88</val>
          </value>
          <value t="str">
            <val>18.17</val>
          </value>
          <value t="str">
            <val>2022/09</val>
          </value>
          <value t="str">
            <val>13.84</val>
          </value>
          <value t="str">
            <val>9.37</val>
          </value>
          <value t="str">
            <val>2022/11</val>
          </value>
        </values>
      </ddeItem>
      <ddeItem name="6197.TW-OperatingProfitRatio,Price,PriceChangeRatio,InOutRatioNumber,Value,YearReturn,MonthReturn,WeekReturn,FinanceBalanceDif,ChipsField2" advise="1">
        <values cols="10">
          <value t="str">
            <val>9.13</val>
          </value>
          <value>
            <val>40.200000000000003</val>
          </value>
          <value>
            <val>2.16</val>
          </value>
          <value t="str">
            <val>54.36%</val>
          </value>
          <value t="str">
            <val>1156萬</val>
          </value>
          <value t="str">
            <val>+12.96</val>
          </value>
          <value t="str">
            <val>+5.37</val>
          </value>
          <value t="str">
            <val>-1.83</val>
          </value>
          <value>
            <val>8</val>
          </value>
          <value>
            <val>0</val>
          </value>
        </values>
      </ddeItem>
      <ddeItem name="620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2022/08/04</val>
          </value>
          <value t="str">
            <val>3.00</val>
          </value>
          <value>
            <val>7.63</val>
          </value>
          <value t="str">
            <val>3.41</val>
          </value>
          <value t="str">
            <val>1.10</val>
          </value>
          <value t="str">
            <val>亞弘電</val>
          </value>
          <value t="str">
            <val>上市其他電子</val>
          </value>
          <value t="str">
            <val>音訊及小家電ODM大廠</val>
          </value>
        </values>
      </ddeItem>
      <ddeItem name="6201.TW-CName,InvestorConferenceDate,DateofMeetingofShareHolders,TradingDate" advise="1">
        <values cols="4">
          <value t="str">
            <val>亞弘電</val>
          </value>
          <value t="str">
            <val>2022/11/25</val>
          </value>
          <value t="str">
            <val>2022/06/09</val>
          </value>
          <value t="str">
            <val>2022/12/22</val>
          </value>
        </values>
      </ddeItem>
      <ddeItem name="6201.TW-ID,Name,MarketValue,Capital,NetIncomeGrowthRate,OperIncomeGrowthRate,FinancialStatementsTime,TFXRatio,MonthlyNetSalesYoY,RevenueMonth" advise="1">
        <values cols="10">
          <value t="str">
            <val>6201</val>
          </value>
          <value t="str">
            <val>亞弘電</val>
          </value>
          <value t="str">
            <val>35.1</val>
          </value>
          <value t="str">
            <val>8.92</val>
          </value>
          <value t="str">
            <val>1.00</val>
          </value>
          <value t="str">
            <val>-45.11</val>
          </value>
          <value t="str">
            <val>2022/09</val>
          </value>
          <value t="str">
            <val>65.29</val>
          </value>
          <value t="str">
            <val>-1.38</val>
          </value>
          <value t="str">
            <val>2022/11</val>
          </value>
        </values>
      </ddeItem>
      <ddeItem name="6201.TW-OperatingProfitRatio,Price,PriceChangeRatio,InOutRatioNumber,Value,YearReturn,MonthReturn,WeekReturn,FinanceBalanceDif,ChipsField2" advise="1">
        <values cols="10">
          <value t="str">
            <val>8.03</val>
          </value>
          <value>
            <val>39.299999999999997</val>
          </value>
          <value>
            <val>0</val>
          </value>
          <value t="str">
            <val>85.71%</val>
          </value>
          <value t="str">
            <val>27.5萬</val>
          </value>
          <value t="str">
            <val>-2.74</val>
          </value>
          <value t="str">
            <val>-0.76</val>
          </value>
          <value t="str">
            <val>+1.42</val>
          </value>
          <value>
            <val>0</val>
          </value>
          <value>
            <val>0</val>
          </value>
        </values>
      </ddeItem>
      <ddeItem name="6202.TW-ChipsField3,ChipsField1,ChipsField25,CashAndStockDividend,CashDividendYieldRate,ProfitFourSeason,ProfitSingle,CName,ExchangeIndustry,CompanyPos" advise="1">
        <values cols="10">
          <value>
            <val>-84</val>
          </value>
          <value>
            <val>-1071</val>
          </value>
          <value t="str">
            <val>2022/08/09</val>
          </value>
          <value t="str">
            <val>8.12</val>
          </value>
          <value>
            <val>12.01</val>
          </value>
          <value t="str">
            <val>6.90</val>
          </value>
          <value t="str">
            <val>0.99</val>
          </value>
          <value t="str">
            <val>盛群</val>
          </value>
          <value t="str">
            <val>上市半導體</val>
          </value>
          <value t="str">
            <val>全球MCU大廠</val>
          </value>
        </values>
      </ddeItem>
      <ddeItem name="6202.TW-CName,InvestorConferenceDate,DateofMeetingofShareHolders,TradingDate" advise="1">
        <values cols="4">
          <value t="str">
            <val>盛群</val>
          </value>
          <value t="str">
            <val>2022/11/01</val>
          </value>
          <value t="str">
            <val>2022/05/24</val>
          </value>
          <value t="str">
            <val>2022/12/22</val>
          </value>
        </values>
      </ddeItem>
      <ddeItem name="6202.TW-ID,Name,MarketValue,Capital,NetIncomeGrowthRate,OperIncomeGrowthRate,FinancialStatementsTime,TFXRatio,MonthlyNetSalesYoY,RevenueMonth" advise="1">
        <values cols="10">
          <value t="str">
            <val>6202</val>
          </value>
          <value t="str">
            <val>盛群</val>
          </value>
          <value t="str">
            <val>152.9</val>
          </value>
          <value t="str">
            <val>22.62</val>
          </value>
          <value t="str">
            <val>-30.12</val>
          </value>
          <value t="str">
            <val>-8.60</val>
          </value>
          <value t="str">
            <val>2022/09</val>
          </value>
          <value t="str">
            <val>-19.78</val>
          </value>
          <value t="str">
            <val>-49.28</val>
          </value>
          <value t="str">
            <val>2022/11</val>
          </value>
        </values>
      </ddeItem>
      <ddeItem name="6202.TW-OperatingProfitRatio,Price,PriceChangeRatio,InOutRatioNumber,Value,YearReturn,MonthReturn,WeekReturn,FinanceBalanceDif,ChipsField2" advise="1">
        <values cols="10">
          <value t="str">
            <val>24.72</val>
          </value>
          <value>
            <val>67.599999999999994</val>
          </value>
          <value>
            <val>0.75</val>
          </value>
          <value t="str">
            <val>51.54%</val>
          </value>
          <value t="str">
            <val>8731萬</val>
          </value>
          <value t="str">
            <val>-28.88</val>
          </value>
          <value t="str">
            <val>-4.52</val>
          </value>
          <value t="str">
            <val>-1.89</val>
          </value>
          <value>
            <val>-212</val>
          </value>
          <value>
            <val>-2</val>
          </value>
        </values>
      </ddeItem>
      <ddeItem name="620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-168</val>
          </value>
          <value t="str">
            <val>2022/07/15</val>
          </value>
          <value t="str">
            <val>2.00</val>
          </value>
          <value>
            <val>2.8</val>
          </value>
          <value t="str">
            <val>3.63</val>
          </value>
          <value t="str">
            <val>1.09</val>
          </value>
          <value t="str">
            <val>詮欣</val>
          </value>
          <value t="str">
            <val>上市電子零組件</val>
          </value>
          <value t="str">
            <val>專業連接器及連接線廠商</val>
          </value>
        </values>
      </ddeItem>
      <ddeItem name="6205.TW-CName,InvestorConferenceDate,DateofMeetingofShareHolders,TradingDate" advise="1">
        <values cols="4">
          <value t="str">
            <val>詮欣</val>
          </value>
          <value t="str">
            <val>2021/12/21</val>
          </value>
          <value t="str">
            <val>2022/06/15</val>
          </value>
          <value t="str">
            <val>2022/12/22</val>
          </value>
        </values>
      </ddeItem>
      <ddeItem name="6205.TW-ID,Name,MarketValue,Capital,NetIncomeGrowthRate,OperIncomeGrowthRate,FinancialStatementsTime,TFXRatio,MonthlyNetSalesYoY,RevenueMonth" advise="1">
        <values cols="10">
          <value t="str">
            <val>6205</val>
          </value>
          <value t="str">
            <val>詮欣</val>
          </value>
          <value t="str">
            <val>56.8</val>
          </value>
          <value t="str">
            <val>7.96</val>
          </value>
          <value t="str">
            <val>133.29</val>
          </value>
          <value t="str">
            <val>91.42</val>
          </value>
          <value t="str">
            <val>2022/09</val>
          </value>
          <value t="str">
            <val>-5.29</val>
          </value>
          <value t="str">
            <val>9.86</val>
          </value>
          <value t="str">
            <val>2022/11</val>
          </value>
        </values>
      </ddeItem>
      <ddeItem name="6205.TW-OperatingProfitRatio,Price,PriceChangeRatio,InOutRatioNumber,Value,YearReturn,MonthReturn,WeekReturn,FinanceBalanceDif,ChipsField2" advise="1">
        <values cols="10">
          <value t="str">
            <val>15.96</val>
          </value>
          <value>
            <val>71.400000000000006</val>
          </value>
          <value>
            <val>1.1299999999999999</val>
          </value>
          <value t="str">
            <val>37.86%</val>
          </value>
          <value t="str">
            <val>5986萬</val>
          </value>
          <value t="str">
            <val>+8.43</val>
          </value>
          <value t="str">
            <val>-8.23</val>
          </value>
          <value t="str">
            <val>-3.77</val>
          </value>
          <value>
            <val>4</val>
          </value>
          <value>
            <val>327</val>
          </value>
        </values>
      </ddeItem>
      <ddeItem name="6206.TW-ChipsField3,ChipsField1,ChipsField25,CashAndStockDividend,CashDividendYieldRate,ProfitFourSeason,ProfitSingle,CName,ExchangeIndustry,CompanyPos" advise="1">
        <values cols="10">
          <value>
            <val>-9</val>
          </value>
          <value>
            <val>-10</val>
          </value>
          <value t="str">
            <val>2022/07/20</val>
          </value>
          <value t="str">
            <val>4.00</val>
          </value>
          <value>
            <val>6.13</val>
          </value>
          <value t="str">
            <val>8.36</val>
          </value>
          <value t="str">
            <val>2.22</val>
          </value>
          <value t="str">
            <val>飛捷</val>
          </value>
          <value t="str">
            <val>上市電腦及週邊設備</val>
          </value>
          <value t="str">
            <val>台灣最大、全球前三大POS專業代工廠</val>
          </value>
        </values>
      </ddeItem>
      <ddeItem name="6206.TW-CName,InvestorConferenceDate,DateofMeetingofShareHolders,TradingDate" advise="1">
        <values cols="4">
          <value t="str">
            <val>飛捷</val>
          </value>
          <value t="str">
            <val>2022/05/10</val>
          </value>
          <value t="str">
            <val>2022/06/08</val>
          </value>
          <value t="str">
            <val>2022/12/22</val>
          </value>
        </values>
      </ddeItem>
      <ddeItem name="6206.TW-ID,Name,MarketValue,Capital,NetIncomeGrowthRate,OperIncomeGrowthRate,FinancialStatementsTime,TFXRatio,MonthlyNetSalesYoY,RevenueMonth" advise="1">
        <values cols="10">
          <value t="str">
            <val>6206</val>
          </value>
          <value t="str">
            <val>飛捷</val>
          </value>
          <value t="str">
            <val>93.4</val>
          </value>
          <value t="str">
            <val>14.31</val>
          </value>
          <value t="str">
            <val>109.58</val>
          </value>
          <value t="str">
            <val>79.27</val>
          </value>
          <value t="str">
            <val>2022/09</val>
          </value>
          <value t="str">
            <val>-38.68</val>
          </value>
          <value t="str">
            <val>-53.07</val>
          </value>
          <value t="str">
            <val>2022/11</val>
          </value>
        </values>
      </ddeItem>
      <ddeItem name="6206.TW-OperatingProfitRatio,Price,PriceChangeRatio,InOutRatioNumber,Value,YearReturn,MonthReturn,WeekReturn,FinanceBalanceDif,ChipsField2" advise="1">
        <values cols="10">
          <value t="str">
            <val>21.31</val>
          </value>
          <value>
            <val>65.3</val>
          </value>
          <value>
            <val>0.15</val>
          </value>
          <value t="str">
            <val>42.86%</val>
          </value>
          <value t="str">
            <val>876萬</val>
          </value>
          <value t="str">
            <val>-14.04</val>
          </value>
          <value t="str">
            <val>-3.97</val>
          </value>
          <value t="str">
            <val>-1.95</val>
          </value>
          <value>
            <val>-9</val>
          </value>
          <value>
            <val>0</val>
          </value>
        </values>
      </ddeItem>
      <ddeItem name="6209.TW-ChipsField3,ChipsField1,ChipsField25,CashAndStockDividend,CashDividendYieldRate,ProfitFourSeason,ProfitSingle,CName,ExchangeIndustry,CompanyPos" advise="1">
        <values cols="10">
          <value>
            <val>-7</val>
          </value>
          <value>
            <val>12</val>
          </value>
          <value t="str">
            <val>2022/08/03</val>
          </value>
          <value t="str">
            <val>0.50</val>
          </value>
          <value>
            <val>1.96</val>
          </value>
          <value t="str">
            <val>0.38</val>
          </value>
          <value t="str">
            <val>0.20</val>
          </value>
          <value t="str">
            <val>今國光</val>
          </value>
          <value t="str">
            <val>上市光電</val>
          </value>
          <value t="str">
            <val>台灣光學鏡片、鏡頭製造商</val>
          </value>
        </values>
      </ddeItem>
      <ddeItem name="6209.TW-CName,InvestorConferenceDate,DateofMeetingofShareHolders,TradingDate" advise="1">
        <values cols="4">
          <value t="str">
            <val>今國光</val>
          </value>
          <value t="str">
            <val>2022/11/17</val>
          </value>
          <value t="str">
            <val>2022/06/17</val>
          </value>
          <value t="str">
            <val>2022/12/22</val>
          </value>
        </values>
      </ddeItem>
      <ddeItem name="6209.TW-ID,Name,MarketValue,Capital,NetIncomeGrowthRate,OperIncomeGrowthRate,FinancialStatementsTime,TFXRatio,MonthlyNetSalesYoY,RevenueMonth" advise="1">
        <values cols="10">
          <value t="str">
            <val>6209</val>
          </value>
          <value t="str">
            <val>今國光</val>
          </value>
          <value t="str">
            <val>44.5</val>
          </value>
          <value t="str">
            <val>17.42</val>
          </value>
          <value t="str">
            <val>128.03</val>
          </value>
          <value t="str">
            <val>49.89</val>
          </value>
          <value t="str">
            <val>2022/09</val>
          </value>
          <value t="str">
            <val>-17.49</val>
          </value>
          <value t="str">
            <val>-35.40</val>
          </value>
          <value t="str">
            <val>2022/11</val>
          </value>
        </values>
      </ddeItem>
      <ddeItem name="6209.TW-OperatingProfitRatio,Price,PriceChangeRatio,InOutRatioNumber,Value,YearReturn,MonthReturn,WeekReturn,FinanceBalanceDif,ChipsField2" advise="1">
        <values cols="10">
          <value t="str">
            <val>-4.03</val>
          </value>
          <value>
            <val>25.55</val>
          </value>
          <value>
            <val>0.59</val>
          </value>
          <value t="str">
            <val>55.24%</val>
          </value>
          <value t="str">
            <val>736萬</val>
          </value>
          <value t="str">
            <val>-27.51</val>
          </value>
          <value t="str">
            <val>-4.84</val>
          </value>
          <value t="str">
            <val>-3.40</val>
          </value>
          <value>
            <val>19</val>
          </value>
          <value>
            <val>0</val>
          </value>
        </values>
      </ddeItem>
      <ddeItem name="6213.TW-ChipsField3,ChipsField1,ChipsField25,CashAndStockDividend,CashDividendYieldRate,ProfitFourSeason,ProfitSingle,CName,ExchangeIndustry,CompanyPos" advise="1">
        <values cols="10">
          <value>
            <val>-93</val>
          </value>
          <value>
            <val>-409</val>
          </value>
          <value t="str">
            <val>2022/06/30</val>
          </value>
          <value t="str">
            <val>5.00</val>
          </value>
          <value>
            <val>6.98</val>
          </value>
          <value t="str">
            <val>6.26</val>
          </value>
          <value t="str">
            <val>0.74</val>
          </value>
          <value t="str">
            <val>聯茂</val>
          </value>
          <value t="str">
            <val>上市電子零組件</val>
          </value>
          <value t="str">
            <val>全球前十大銅箔基板廠之一</val>
          </value>
        </values>
      </ddeItem>
      <ddeItem name="6213.TW-CName,InvestorConferenceDate,DateofMeetingofShareHolders,TradingDate" advise="1">
        <values cols="4">
          <value t="str">
            <val>聯茂</val>
          </value>
          <value t="str">
            <val>2022/08/17</val>
          </value>
          <value t="str">
            <val>2022/06/14</val>
          </value>
          <value t="str">
            <val>2022/12/22</val>
          </value>
        </values>
      </ddeItem>
      <ddeItem name="6213.TW-ID,Name,MarketValue,Capital,NetIncomeGrowthRate,OperIncomeGrowthRate,FinancialStatementsTime,TFXRatio,MonthlyNetSalesYoY,RevenueMonth" advise="1">
        <values cols="10">
          <value t="str">
            <val>6213</val>
          </value>
          <value t="str">
            <val>聯茂</val>
          </value>
          <value t="str">
            <val>259.9</val>
          </value>
          <value t="str">
            <val>36.30</val>
          </value>
          <value t="str">
            <val>-34.93</val>
          </value>
          <value t="str">
            <val>-53.70</val>
          </value>
          <value t="str">
            <val>2022/09</val>
          </value>
          <value t="str">
            <val>14.82</val>
          </value>
          <value t="str">
            <val>-7.10</val>
          </value>
          <value t="str">
            <val>2022/11</val>
          </value>
        </values>
      </ddeItem>
      <ddeItem name="6213.TW-OperatingProfitRatio,Price,PriceChangeRatio,InOutRatioNumber,Value,YearReturn,MonthReturn,WeekReturn,FinanceBalanceDif,ChipsField2" advise="1">
        <values cols="10">
          <value t="str">
            <val>6.48</val>
          </value>
          <value>
            <val>71.599999999999994</val>
          </value>
          <value>
            <val>0.85</val>
          </value>
          <value t="str">
            <val>39.46%</val>
          </value>
          <value t="str">
            <val>6766萬</val>
          </value>
          <value t="str">
            <val>-41.72</val>
          </value>
          <value t="str">
            <val>-0.97</val>
          </value>
          <value t="str">
            <val>-7.13</val>
          </value>
          <value>
            <val>-2</val>
          </value>
          <value>
            <val>0</val>
          </value>
        </values>
      </ddeItem>
      <ddeItem name="6214.TW-ChipsField3,ChipsField1,ChipsField25,CashAndStockDividend,CashDividendYieldRate,ProfitFourSeason,ProfitSingle,CName,ExchangeIndustry,CompanyPos" advise="1">
        <values cols="10">
          <value>
            <val>-32</val>
          </value>
          <value>
            <val>-31</val>
          </value>
          <value t="str">
            <val>2022/06/23</val>
          </value>
          <value t="str">
            <val>5.00</val>
          </value>
          <value>
            <val>7.12</val>
          </value>
          <value t="str">
            <val>3.74</val>
          </value>
          <value t="str">
            <val>1.27</val>
          </value>
          <value t="str">
            <val>精誠</val>
          </value>
          <value t="str">
            <val>上市資訊服務</val>
          </value>
          <value t="str">
            <val>金融服務、科技整合及加值服務系統業者</val>
          </value>
        </values>
      </ddeItem>
      <ddeItem name="6214.TW-CName,InvestorConferenceDate,DateofMeetingofShareHolders,TradingDate" advise="1">
        <values cols="4">
          <value t="str">
            <val>精誠</val>
          </value>
          <value t="str">
            <val>2022/11/23</val>
          </value>
          <value t="str">
            <val>2022/05/26</val>
          </value>
          <value t="str">
            <val>2022/12/22</val>
          </value>
        </values>
      </ddeItem>
      <ddeItem name="6214.TW-ID,Name,MarketValue,Capital,NetIncomeGrowthRate,OperIncomeGrowthRate,FinancialStatementsTime,TFXRatio,MonthlyNetSalesYoY,RevenueMonth" advise="1">
        <values cols="10">
          <value t="str">
            <val>6214</val>
          </value>
          <value t="str">
            <val>精誠</val>
          </value>
          <value t="str">
            <val>191.2</val>
          </value>
          <value t="str">
            <val>27.24</val>
          </value>
          <value t="str">
            <val>-24.71</val>
          </value>
          <value t="str">
            <val>15.64</val>
          </value>
          <value t="str">
            <val>2022/09</val>
          </value>
          <value t="str">
            <val>-10.69</val>
          </value>
          <value t="str">
            <val>25.05</val>
          </value>
          <value t="str">
            <val>2022/11</val>
          </value>
        </values>
      </ddeItem>
      <ddeItem name="6214.TW-OperatingProfitRatio,Price,PriceChangeRatio,InOutRatioNumber,Value,YearReturn,MonthReturn,WeekReturn,FinanceBalanceDif,ChipsField2" advise="1">
        <values cols="10">
          <value t="str">
            <val>4.26</val>
          </value>
          <value>
            <val>70.2</val>
          </value>
          <value>
            <val>2.0299999999999998</val>
          </value>
          <value t="str">
            <val>96.65%</val>
          </value>
          <value t="str">
            <val>6792萬</val>
          </value>
          <value t="str">
            <val>-11.01</val>
          </value>
          <value t="str">
            <val>+4.78</val>
          </value>
          <value t="str">
            <val>+0.86</val>
          </value>
          <value>
            <val>1</val>
          </value>
          <value>
            <val>0</val>
          </value>
        </values>
      </ddeItem>
      <ddeItem name="621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</val>
          </value>
          <value t="str">
            <val>2022/07/11</val>
          </value>
          <value t="str">
            <val>1.80</val>
          </value>
          <value>
            <val>9</val>
          </value>
          <value t="str">
            <val>2.63</val>
          </value>
          <value t="str">
            <val>0.71</val>
          </value>
          <value t="str">
            <val>和椿</val>
          </value>
          <value t="str">
            <val>上市其他電子</val>
          </value>
          <value t="str">
            <val>專業的自動化設備零組件、光電製程之工業製造商</val>
          </value>
        </values>
      </ddeItem>
      <ddeItem name="6215.TW-CName,InvestorConferenceDate,DateofMeetingofShareHolders,TradingDate" advise="1">
        <values cols="4">
          <value t="str">
            <val>和椿</val>
          </value>
          <value t="str">
            <val>2022/12/20</val>
          </value>
          <value t="str">
            <val>2022/06/22</val>
          </value>
          <value t="str">
            <val>2022/12/22</val>
          </value>
        </values>
      </ddeItem>
      <ddeItem name="6215.TW-ID,Name,MarketValue,Capital,NetIncomeGrowthRate,OperIncomeGrowthRate,FinancialStatementsTime,TFXRatio,MonthlyNetSalesYoY,RevenueMonth" advise="1">
        <values cols="10">
          <value t="str">
            <val>6215</val>
          </value>
          <value t="str">
            <val>和椿</val>
          </value>
          <value t="str">
            <val>16.6</val>
          </value>
          <value t="str">
            <val>8.28</val>
          </value>
          <value t="str">
            <val>-20.64</val>
          </value>
          <value t="str">
            <val>-8.31</val>
          </value>
          <value t="str">
            <val>2022/09</val>
          </value>
          <value t="str">
            <val>-12.70</val>
          </value>
          <value t="str">
            <val>-28.55</val>
          </value>
          <value t="str">
            <val>2022/11</val>
          </value>
        </values>
      </ddeItem>
      <ddeItem name="6215.TW-OperatingProfitRatio,Price,PriceChangeRatio,InOutRatioNumber,Value,YearReturn,MonthReturn,WeekReturn,FinanceBalanceDif,ChipsField2" advise="1">
        <values cols="10">
          <value t="str">
            <val>11.27</val>
          </value>
          <value>
            <val>20</val>
          </value>
          <value>
            <val>0</val>
          </value>
          <value t="str">
            <val>34.74%</val>
          </value>
          <value t="str">
            <val>190萬</val>
          </value>
          <value t="str">
            <val>-26.02</val>
          </value>
          <value t="str">
            <val>-2.91</val>
          </value>
          <value t="str">
            <val>-3.85</val>
          </value>
          <value>
            <val>-4</val>
          </value>
          <value>
            <val>0</val>
          </value>
        </values>
      </ddeItem>
      <ddeItem name="6216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-11</val>
          </value>
          <value t="str">
            <val>2022/08/29</val>
          </value>
          <value t="str">
            <val>1.67</val>
          </value>
          <value>
            <val>6.61</val>
          </value>
          <value t="str">
            <val>2.68</val>
          </value>
          <value t="str">
            <val>0.46</val>
          </value>
          <value t="str">
            <val>居易</val>
          </value>
          <value t="str">
            <val>上市通信網路</val>
          </value>
          <value t="str">
            <val>以DrayTek自有品牌行銷寬頻接取網通設備廠商</val>
          </value>
        </values>
      </ddeItem>
      <ddeItem name="6216.TW-CName,InvestorConferenceDate,DateofMeetingofShareHolders,TradingDate" advise="1">
        <values cols="4">
          <value t="str">
            <val>居易</val>
          </value>
          <value t="str">
            <val>2022/11/15</val>
          </value>
          <value t="str">
            <val>2022/06/27</val>
          </value>
          <value t="str">
            <val>2022/12/22</val>
          </value>
        </values>
      </ddeItem>
      <ddeItem name="6216.TW-ID,Name,MarketValue,Capital,NetIncomeGrowthRate,OperIncomeGrowthRate,FinancialStatementsTime,TFXRatio,MonthlyNetSalesYoY,RevenueMonth" advise="1">
        <values cols="10">
          <value t="str">
            <val>6216</val>
          </value>
          <value t="str">
            <val>居易</val>
          </value>
          <value t="str">
            <val>23.0</val>
          </value>
          <value t="str">
            <val>9.12</val>
          </value>
          <value t="str">
            <val>73.55</val>
          </value>
          <value t="str">
            <val>-5.51</val>
          </value>
          <value t="str">
            <val>2022/09</val>
          </value>
          <value t="str">
            <val>-9.80</val>
          </value>
          <value t="str">
            <val>-42.73</val>
          </value>
          <value t="str">
            <val>2022/11</val>
          </value>
        </values>
      </ddeItem>
      <ddeItem name="6216.TW-OperatingProfitRatio,Price,PriceChangeRatio,InOutRatioNumber,Value,YearReturn,MonthReturn,WeekReturn,FinanceBalanceDif,ChipsField2" advise="1">
        <values cols="10">
          <value t="str">
            <val>16.75</val>
          </value>
          <value>
            <val>25.25</val>
          </value>
          <value>
            <val>0</val>
          </value>
          <value t="str">
            <val>19.44%</val>
          </value>
          <value t="str">
            <val>185萬</val>
          </value>
          <value t="str">
            <val>-4.44</val>
          </value>
          <value t="str">
            <val>-3.26</val>
          </value>
          <value t="str">
            <val>-2.51</val>
          </value>
          <value>
            <val>0</val>
          </value>
          <value>
            <val>0</val>
          </value>
        </values>
      </ddeItem>
      <ddeItem name="622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-14</val>
          </value>
          <value t="str">
            <val>2022/04/21</val>
          </value>
          <value t="str">
            <val>4.25</val>
          </value>
          <value>
            <val>7.25</val>
          </value>
          <value t="str">
            <val>1.98</val>
          </value>
          <value t="str">
            <val>0.50</val>
          </value>
          <value t="str">
            <val>聚鼎</val>
          </value>
          <value t="str">
            <val>上市電子零組件</val>
          </value>
          <value t="str">
            <val>全球第二大PPTC保護元件大廠</val>
          </value>
        </values>
      </ddeItem>
      <ddeItem name="6224.TW-CName,InvestorConferenceDate,DateofMeetingofShareHolders,TradingDate" advise="1">
        <values cols="4">
          <value t="str">
            <val>聚鼎</val>
          </value>
          <value t="str">
            <val>2022/12/14</val>
          </value>
          <value t="str">
            <val>2022/06/23</val>
          </value>
          <value t="str">
            <val>2022/12/22</val>
          </value>
        </values>
      </ddeItem>
      <ddeItem name="6224.TW-ID,Name,MarketValue,Capital,NetIncomeGrowthRate,OperIncomeGrowthRate,FinancialStatementsTime,TFXRatio,MonthlyNetSalesYoY,RevenueMonth" advise="1">
        <values cols="10">
          <value t="str">
            <val>6224</val>
          </value>
          <value t="str">
            <val>聚鼎</val>
          </value>
          <value t="str">
            <val>50.2</val>
          </value>
          <value t="str">
            <val>8.56</val>
          </value>
          <value t="str">
            <val>-115.96</val>
          </value>
          <value t="str">
            <val>-127.08</val>
          </value>
          <value t="str">
            <val>2022/09</val>
          </value>
          <value t="str">
            <val>6.28</val>
          </value>
          <value t="str">
            <val>-9.60</val>
          </value>
          <value t="str">
            <val>2022/11</val>
          </value>
        </values>
      </ddeItem>
      <ddeItem name="6224.TW-OperatingProfitRatio,Price,PriceChangeRatio,InOutRatioNumber,Value,YearReturn,MonthReturn,WeekReturn,FinanceBalanceDif,ChipsField2" advise="1">
        <values cols="10">
          <value t="str">
            <val>-5.41</val>
          </value>
          <value>
            <val>58.6</val>
          </value>
          <value>
            <val>0.51</val>
          </value>
          <value t="str">
            <val>19.02%</val>
          </value>
          <value t="str">
            <val>975萬</val>
          </value>
          <value t="str">
            <val>-50.81</val>
          </value>
          <value t="str">
            <val>+6.74</val>
          </value>
          <value t="str">
            <val>-3.93</val>
          </value>
          <value>
            <val>-37</val>
          </value>
          <value>
            <val>0</val>
          </value>
        </values>
      </ddeItem>
      <ddeItem name="622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-0.07</val>
          </value>
          <value t="str">
            <val>-0.03</val>
          </value>
          <value t="str">
            <val>天瀚</val>
          </value>
          <value t="str">
            <val>上市光電</val>
          </value>
          <value t="str">
            <val>機車用行車紀錄器及投影機廠商</val>
          </value>
        </values>
      </ddeItem>
      <ddeItem name="6225.TW-CName,InvestorConferenceDate,DateofMeetingofShareHolders,TradingDate" advise="1">
        <values cols="4">
          <value t="str">
            <val>天瀚</val>
          </value>
          <value t="str">
            <val>2022/12/21</val>
          </value>
          <value t="str">
            <val>2022/06/16</val>
          </value>
          <value t="str">
            <val>2022/12/22</val>
          </value>
        </values>
      </ddeItem>
      <ddeItem name="6225.TW-ID,Name,MarketValue,Capital,NetIncomeGrowthRate,OperIncomeGrowthRate,FinancialStatementsTime,TFXRatio,MonthlyNetSalesYoY,RevenueMonth" advise="1">
        <values cols="10">
          <value t="str">
            <val>6225</val>
          </value>
          <value t="str">
            <val>天瀚</val>
          </value>
          <value t="str">
            <val>2.0</val>
          </value>
          <value t="str">
            <val>2.00</val>
          </value>
          <value t="str">
            <val>18.14</val>
          </value>
          <value t="str">
            <val>44.49</val>
          </value>
          <value t="str">
            <val>2022/09</val>
          </value>
          <value t="str">
            <val>63.06</val>
          </value>
          <value t="str">
            <val>-27.85</val>
          </value>
          <value t="str">
            <val>2022/11</val>
          </value>
        </values>
      </ddeItem>
      <ddeItem name="6225.TW-OperatingProfitRatio,Price,PriceChangeRatio,InOutRatioNumber,Value,YearReturn,MonthReturn,WeekReturn,FinanceBalanceDif,ChipsField2" advise="1">
        <values cols="10">
          <value t="str">
            <val>-11.72</val>
          </value>
          <value>
            <val>10.050000000000001</val>
          </value>
          <value>
            <val>-1.47</val>
          </value>
          <value t="str">
            <val>--</val>
          </value>
          <value t="str">
            <val>3.02萬</val>
          </value>
          <value t="str">
            <val>-34.39</val>
          </value>
          <value t="str">
            <val>-2.28</val>
          </value>
          <value t="str">
            <val>-4.29</val>
          </value>
          <value>
            <val>0</val>
          </value>
          <value>
            <val>0</val>
          </value>
        </values>
      </ddeItem>
      <ddeItem name="6226.TW-ChipsField3,ChipsField1,ChipsField25,CashAndStockDividend,CashDividendYieldRate,ProfitFourSeason,ProfitSingle,CName,ExchangeIndustry,CompanyPos" advise="1">
        <values cols="10">
          <value>
            <val>-11</val>
          </value>
          <value>
            <val>41</val>
          </value>
          <value t="str">
            <val>2022/08/22</val>
          </value>
          <value t="str">
            <val>0.12</val>
          </value>
          <value>
            <val>1.1200000000000001</val>
          </value>
          <value t="str">
            <val>0.01</val>
          </value>
          <value t="str">
            <val>0.07</val>
          </value>
          <value t="str">
            <val>光鼎</val>
          </value>
          <value t="str">
            <val>上市光電</val>
          </value>
          <value t="str">
            <val>專注於LED照明市場之封裝業者</val>
          </value>
        </values>
      </ddeItem>
      <ddeItem name="6226.TW-CName,InvestorConferenceDate,DateofMeetingofShareHolders,TradingDate" advise="1">
        <values cols="4">
          <value t="str">
            <val>光鼎</val>
          </value>
          <value t="str">
            <val>2022/11/24</val>
          </value>
          <value t="str">
            <val>2022/06/08</val>
          </value>
          <value t="str">
            <val>2022/12/22</val>
          </value>
        </values>
      </ddeItem>
      <ddeItem name="6226.TW-ID,Name,MarketValue,Capital,NetIncomeGrowthRate,OperIncomeGrowthRate,FinancialStatementsTime,TFXRatio,MonthlyNetSalesYoY,RevenueMonth" advise="1">
        <values cols="10">
          <value t="str">
            <val>6226</val>
          </value>
          <value t="str">
            <val>光鼎</val>
          </value>
          <value t="str">
            <val>12.5</val>
          </value>
          <value t="str">
            <val>11.66</val>
          </value>
          <value t="str">
            <val>48.86</val>
          </value>
          <value t="str">
            <val>-172.88</val>
          </value>
          <value t="str">
            <val>2022/09</val>
          </value>
          <value t="str">
            <val>7.13</val>
          </value>
          <value t="str">
            <val>-22.81</val>
          </value>
          <value t="str">
            <val>2022/11</val>
          </value>
        </values>
      </ddeItem>
      <ddeItem name="6226.TW-OperatingProfitRatio,Price,PriceChangeRatio,InOutRatioNumber,Value,YearReturn,MonthReturn,WeekReturn,FinanceBalanceDif,ChipsField2" advise="1">
        <values cols="10">
          <value t="str">
            <val>-2.16</val>
          </value>
          <value>
            <val>10.7</val>
          </value>
          <value>
            <val>1.42</val>
          </value>
          <value t="str">
            <val>66.14%</val>
          </value>
          <value t="str">
            <val>269萬</val>
          </value>
          <value t="str">
            <val>-32.94</val>
          </value>
          <value t="str">
            <val>+3.38</val>
          </value>
          <value t="str">
            <val>-3.60</val>
          </value>
          <value>
            <val>-50</val>
          </value>
          <value>
            <val>0</val>
          </value>
        </values>
      </ddeItem>
      <ddeItem name="6230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3</val>
          </value>
          <value t="str">
            <val>2022/08/25</val>
          </value>
          <value t="str">
            <val>0.61</val>
          </value>
          <value>
            <val>0.51</val>
          </value>
          <value t="str">
            <val>4.62</val>
          </value>
          <value t="str">
            <val>2.70</val>
          </value>
          <value t="str">
            <val>尼得科超眾</val>
          </value>
          <value t="str">
            <val>上市電腦及週邊設備</val>
          </value>
          <value t="str">
            <val>日本電產轉投資之散熱模組製造商</val>
          </value>
        </values>
      </ddeItem>
      <ddeItem name="6230.TW-CName,InvestorConferenceDate,DateofMeetingofShareHolders,TradingDate" advise="1">
        <values cols="4">
          <value t="str">
            <val>尼得科超眾</val>
          </value>
          <value t="str">
            <val>2022/08/31</val>
          </value>
          <value t="str">
            <val>2022/06/20</val>
          </value>
          <value t="str">
            <val>2022/12/22</val>
          </value>
        </values>
      </ddeItem>
      <ddeItem name="6230.TW-ID,Name,MarketValue,Capital,NetIncomeGrowthRate,OperIncomeGrowthRate,FinancialStatementsTime,TFXRatio,MonthlyNetSalesYoY,RevenueMonth" advise="1">
        <values cols="10">
          <value t="str">
            <val>6230</val>
          </value>
          <value t="str">
            <val>尼得科超眾</val>
          </value>
          <value t="str">
            <val>104.0</val>
          </value>
          <value t="str">
            <val>8.63</val>
          </value>
          <value t="str">
            <val>15.69</val>
          </value>
          <value t="str">
            <val>-10.14</val>
          </value>
          <value t="str">
            <val>2022/09</val>
          </value>
          <value t="str">
            <val>-0.63</val>
          </value>
          <value t="str">
            <val>5.94</val>
          </value>
          <value t="str">
            <val>2022/11</val>
          </value>
        </values>
      </ddeItem>
      <ddeItem name="6230.TW-OperatingProfitRatio,Price,PriceChangeRatio,InOutRatioNumber,Value,YearReturn,MonthReturn,WeekReturn,FinanceBalanceDif,ChipsField2" advise="1">
        <values cols="10">
          <value t="str">
            <val>4.66</val>
          </value>
          <value>
            <val>120.5</val>
          </value>
          <value>
            <val>0.84</val>
          </value>
          <value t="str">
            <val>69.23%</val>
          </value>
          <value t="str">
            <val>645萬</val>
          </value>
          <value t="str">
            <val>-26.11</val>
          </value>
          <value t="str">
            <val>+6.64</val>
          </value>
          <value t="str">
            <val>-7.66</val>
          </value>
          <value>
            <val>-9</val>
          </value>
          <value>
            <val>0</val>
          </value>
        </values>
      </ddeItem>
      <ddeItem name="6235.TW-ChipsField3,ChipsField1,ChipsField25,CashAndStockDividend,CashDividendYieldRate,ProfitFourSeason,ProfitSingle,CName,ExchangeIndustry,CompanyPos" advise="1">
        <values cols="10">
          <value>
            <val>-274</val>
          </value>
          <value>
            <val>329</val>
          </value>
          <value t="str">
            <val>2022/04/21</val>
          </value>
          <value t="str">
            <val>0.30</val>
          </value>
          <value>
            <val>0.84</val>
          </value>
          <value t="str">
            <val>1.64</val>
          </value>
          <value t="str">
            <val>0.50</val>
          </value>
          <value t="str">
            <val>華孚</val>
          </value>
          <value t="str">
            <val>上市電腦及週邊設備</val>
          </value>
          <value t="str">
            <val>車用及筆電外殼之鎂合金製造廠</val>
          </value>
        </values>
      </ddeItem>
      <ddeItem name="6235.TW-CName,InvestorConferenceDate,DateofMeetingofShareHolders,TradingDate" advise="1">
        <values cols="4">
          <value t="str">
            <val>華孚</val>
          </value>
          <value t="str">
            <val>2022/11/18</val>
          </value>
          <value t="str">
            <val>2022/06/21</val>
          </value>
          <value t="str">
            <val>2022/12/22</val>
          </value>
        </values>
      </ddeItem>
      <ddeItem name="6235.TW-ID,Name,MarketValue,Capital,NetIncomeGrowthRate,OperIncomeGrowthRate,FinancialStatementsTime,TFXRatio,MonthlyNetSalesYoY,RevenueMonth" advise="1">
        <values cols="10">
          <value t="str">
            <val>6235</val>
          </value>
          <value t="str">
            <val>華孚</val>
          </value>
          <value t="str">
            <val>68.8</val>
          </value>
          <value t="str">
            <val>19.15</val>
          </value>
          <value t="str">
            <val>156.42</val>
          </value>
          <value t="str">
            <val>215.74</val>
          </value>
          <value t="str">
            <val>2022/09</val>
          </value>
          <value t="str">
            <val>4.57</val>
          </value>
          <value t="str">
            <val>38.21</val>
          </value>
          <value t="str">
            <val>2022/11</val>
          </value>
        </values>
      </ddeItem>
      <ddeItem name="6235.TW-OperatingProfitRatio,Price,PriceChangeRatio,InOutRatioNumber,Value,YearReturn,MonthReturn,WeekReturn,FinanceBalanceDif,ChipsField2" advise="1">
        <values cols="10">
          <value t="str">
            <val>7.48</val>
          </value>
          <value>
            <val>35.9</val>
          </value>
          <value>
            <val>0.28000000000000003</val>
          </value>
          <value t="str">
            <val>33.51%</val>
          </value>
          <value t="str">
            <val>9744萬</val>
          </value>
          <value t="str">
            <val>+9.43</val>
          </value>
          <value t="str">
            <val>+3.01</val>
          </value>
          <value t="str">
            <val>-5.53</val>
          </value>
          <value>
            <val>-379</val>
          </value>
          <value>
            <val>0</val>
          </value>
        </values>
      </ddeItem>
      <ddeItem name="6239.TW-ChipsField3,ChipsField1,ChipsField25,CashAndStockDividend,CashDividendYieldRate,ProfitFourSeason,ProfitSingle,CName,ExchangeIndustry,CompanyPos" advise="1">
        <values cols="10">
          <value>
            <val>-29</val>
          </value>
          <value>
            <val>-7004</val>
          </value>
          <value t="str">
            <val>2022/07/29</val>
          </value>
          <value t="str">
            <val>6.80</val>
          </value>
          <value>
            <val>8.42</val>
          </value>
          <value t="str">
            <val>13.03</val>
          </value>
          <value t="str">
            <val>3.20</val>
          </value>
          <value t="str">
            <val>力成</val>
          </value>
          <value t="str">
            <val>上市半導體</val>
          </value>
          <value t="str">
            <val>全球前五大封測廠</val>
          </value>
        </values>
      </ddeItem>
      <ddeItem name="6239.TW-CName,InvestorConferenceDate,DateofMeetingofShareHolders,TradingDate" advise="1">
        <values cols="4">
          <value t="str">
            <val>力成</val>
          </value>
          <value t="str">
            <val>2022/10/28</val>
          </value>
          <value t="str">
            <val>2022/05/27</val>
          </value>
          <value t="str">
            <val>2022/12/22</val>
          </value>
        </values>
      </ddeItem>
      <ddeItem name="6239.TW-ID,Name,MarketValue,Capital,NetIncomeGrowthRate,OperIncomeGrowthRate,FinancialStatementsTime,TFXRatio,MonthlyNetSalesYoY,RevenueMonth" advise="1">
        <values cols="10">
          <value t="str">
            <val>6239</val>
          </value>
          <value t="str">
            <val>力成</val>
          </value>
          <value t="str">
            <val>613.4</val>
          </value>
          <value t="str">
            <val>75.91</val>
          </value>
          <value t="str">
            <val>7.87</val>
          </value>
          <value t="str">
            <val>-2.73</val>
          </value>
          <value t="str">
            <val>2022/09</val>
          </value>
          <value t="str">
            <val>-9.15</val>
          </value>
          <value t="str">
            <val>-20.14</val>
          </value>
          <value t="str">
            <val>2022/11</val>
          </value>
        </values>
      </ddeItem>
      <ddeItem name="6239.TW-OperatingProfitRatio,Price,PriceChangeRatio,InOutRatioNumber,Value,YearReturn,MonthReturn,WeekReturn,FinanceBalanceDif,ChipsField2" advise="1">
        <values cols="10">
          <value t="str">
            <val>15.75</val>
          </value>
          <value>
            <val>80.8</val>
          </value>
          <value>
            <val>1.38</val>
          </value>
          <value t="str">
            <val>33.50%</val>
          </value>
          <value t="str">
            <val>5.44億</val>
          </value>
          <value t="str">
            <val>-10.48</val>
          </value>
          <value t="str">
            <val>-1.70</val>
          </value>
          <value t="str">
            <val>-3.58</val>
          </value>
          <value>
            <val>-279</val>
          </value>
          <value>
            <val>6370</val>
          </value>
        </values>
      </ddeItem>
      <ddeItem name="624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24</val>
          </value>
          <value t="str">
            <val>2022/06/30</val>
          </value>
          <value t="str">
            <val>1.17</val>
          </value>
          <value>
            <val>4.08</val>
          </value>
          <value t="str">
            <val>2.21</val>
          </value>
          <value t="str">
            <val>0.63</val>
          </value>
          <value t="str">
            <val>迅杰</val>
          </value>
          <value t="str">
            <val>上市半導體</val>
          </value>
          <value t="str">
            <val>全球第二大鍵盤控制IC設計供應商</val>
          </value>
        </values>
      </ddeItem>
      <ddeItem name="6243.TW-CName,InvestorConferenceDate,DateofMeetingofShareHolders,TradingDate" advise="1">
        <values cols="4">
          <value t="str">
            <val>迅杰</val>
          </value>
          <value t="str">
            <val>2022/09/28</val>
          </value>
          <value t="str">
            <val>2022/06/09</val>
          </value>
          <value t="str">
            <val>2022/12/22</val>
          </value>
        </values>
      </ddeItem>
      <ddeItem name="6243.TW-ID,Name,MarketValue,Capital,NetIncomeGrowthRate,OperIncomeGrowthRate,FinancialStatementsTime,TFXRatio,MonthlyNetSalesYoY,RevenueMonth" advise="1">
        <values cols="10">
          <value t="str">
            <val>6243</val>
          </value>
          <value t="str">
            <val>迅杰</val>
          </value>
          <value t="str">
            <val>10.7</val>
          </value>
          <value t="str">
            <val>4.53</val>
          </value>
          <value t="str">
            <val>74.69</val>
          </value>
          <value t="str">
            <val>-107.16</val>
          </value>
          <value t="str">
            <val>2022/09</val>
          </value>
          <value t="str">
            <val>34.32</val>
          </value>
          <value t="str">
            <val>13.13</val>
          </value>
          <value t="str">
            <val>2022/11</val>
          </value>
        </values>
      </ddeItem>
      <ddeItem name="6243.TW-OperatingProfitRatio,Price,PriceChangeRatio,InOutRatioNumber,Value,YearReturn,MonthReturn,WeekReturn,FinanceBalanceDif,ChipsField2" advise="1">
        <values cols="10">
          <value t="str">
            <val>-0.70</val>
          </value>
          <value>
            <val>28.65</val>
          </value>
          <value>
            <val>1.06</val>
          </value>
          <value t="str">
            <val>48.91%</val>
          </value>
          <value t="str">
            <val>535萬</val>
          </value>
          <value t="str">
            <val>-50.02</val>
          </value>
          <value t="str">
            <val>+2.14</val>
          </value>
          <value t="str">
            <val>-1.21</val>
          </value>
          <value>
            <val>4</val>
          </value>
          <value>
            <val>0</val>
          </value>
        </values>
      </ddeItem>
      <ddeItem name="6257.TW-ChipsField3,ChipsField1,ChipsField25,CashAndStockDividend,CashDividendYieldRate,ProfitFourSeason,ProfitSingle,CName,ExchangeIndustry,CompanyPos" advise="1">
        <values cols="10">
          <value>
            <val>-59</val>
          </value>
          <value>
            <val>-214</val>
          </value>
          <value t="str">
            <val>2022/07/14</val>
          </value>
          <value t="str">
            <val>4.13</val>
          </value>
          <value>
            <val>8.48</val>
          </value>
          <value t="str">
            <val>7.71</val>
          </value>
          <value t="str">
            <val>2.17</val>
          </value>
          <value t="str">
            <val>矽格</val>
          </value>
          <value t="str">
            <val>上市半導體</val>
          </value>
          <value t="str">
            <val>RF及混合IC專業測試廠商</val>
          </value>
        </values>
      </ddeItem>
      <ddeItem name="6257.TW-CName,InvestorConferenceDate,DateofMeetingofShareHolders,TradingDate" advise="1">
        <values cols="4">
          <value t="str">
            <val>矽格</val>
          </value>
          <value t="str">
            <val>2022/08/30</val>
          </value>
          <value t="str">
            <val>2022/06/09</val>
          </value>
          <value t="str">
            <val>2022/12/22</val>
          </value>
        </values>
      </ddeItem>
      <ddeItem name="6257.TW-ID,Name,MarketValue,Capital,NetIncomeGrowthRate,OperIncomeGrowthRate,FinancialStatementsTime,TFXRatio,MonthlyNetSalesYoY,RevenueMonth" advise="1">
        <values cols="10">
          <value t="str">
            <val>6257</val>
          </value>
          <value t="str">
            <val>矽格</val>
          </value>
          <value t="str">
            <val>222.4</val>
          </value>
          <value t="str">
            <val>45.67</val>
          </value>
          <value t="str">
            <val>40.84</val>
          </value>
          <value t="str">
            <val>17.37</val>
          </value>
          <value t="str">
            <val>2022/09</val>
          </value>
          <value t="str">
            <val>-1.30</val>
          </value>
          <value t="str">
            <val>4.89</val>
          </value>
          <value t="str">
            <val>2022/11</val>
          </value>
        </values>
      </ddeItem>
      <ddeItem name="6257.TW-OperatingProfitRatio,Price,PriceChangeRatio,InOutRatioNumber,Value,YearReturn,MonthReturn,WeekReturn,FinanceBalanceDif,ChipsField2" advise="1">
        <values cols="10">
          <value t="str">
            <val>21.33</val>
          </value>
          <value>
            <val>48.7</val>
          </value>
          <value>
            <val>1.04</val>
          </value>
          <value t="str">
            <val>56.38%</val>
          </value>
          <value t="str">
            <val>2119萬</val>
          </value>
          <value t="str">
            <val>-8.41</val>
          </value>
          <value t="str">
            <val>-1.81</val>
          </value>
          <value t="str">
            <val>-3.18</val>
          </value>
          <value>
            <val>25</val>
          </value>
          <value>
            <val>39</val>
          </value>
        </values>
      </ddeItem>
      <ddeItem name="6269.TW-ChipsField3,ChipsField1,ChipsField25,CashAndStockDividend,CashDividendYieldRate,ProfitFourSeason,ProfitSingle,CName,ExchangeIndustry,CompanyPos" advise="1">
        <values cols="10">
          <value>
            <val>17</val>
          </value>
          <value>
            <val>-15</val>
          </value>
          <value t="str">
            <val>2022/06/01</val>
          </value>
          <value t="str">
            <val>5.00</val>
          </value>
          <value>
            <val>5</val>
          </value>
          <value t="str">
            <val>12.86</val>
          </value>
          <value t="str">
            <val>5.98</val>
          </value>
          <value t="str">
            <val>台郡</val>
          </value>
          <value t="str">
            <val>上市電子零組件</val>
          </value>
          <value t="str">
            <val>台灣前三大軟板廠之一</val>
          </value>
        </values>
      </ddeItem>
      <ddeItem name="6269.TW-CName,InvestorConferenceDate,DateofMeetingofShareHolders,TradingDate" advise="1">
        <values cols="4">
          <value t="str">
            <val>台郡</val>
          </value>
          <value t="str">
            <val>2022/10/31</val>
          </value>
          <value t="str">
            <val>2022/05/31</val>
          </value>
          <value t="str">
            <val>2022/12/22</val>
          </value>
        </values>
      </ddeItem>
      <ddeItem name="6269.TW-ID,Name,MarketValue,Capital,NetIncomeGrowthRate,OperIncomeGrowthRate,FinancialStatementsTime,TFXRatio,MonthlyNetSalesYoY,RevenueMonth" advise="1">
        <values cols="10">
          <value t="str">
            <val>6269</val>
          </value>
          <value t="str">
            <val>台郡</val>
          </value>
          <value t="str">
            <val>322.8</val>
          </value>
          <value t="str">
            <val>32.28</val>
          </value>
          <value t="str">
            <val>89.62</val>
          </value>
          <value t="str">
            <val>60.44</val>
          </value>
          <value t="str">
            <val>2022/09</val>
          </value>
          <value t="str">
            <val>-19.70</val>
          </value>
          <value t="str">
            <val>-18.61</val>
          </value>
          <value t="str">
            <val>2022/11</val>
          </value>
        </values>
      </ddeItem>
      <ddeItem name="6269.TW-OperatingProfitRatio,Price,PriceChangeRatio,InOutRatioNumber,Value,YearReturn,MonthReturn,WeekReturn,FinanceBalanceDif,ChipsField2" advise="1">
        <values cols="10">
          <value t="str">
            <val>9.12</val>
          </value>
          <value>
            <val>100</val>
          </value>
          <value>
            <val>0</val>
          </value>
          <value t="str">
            <val>40.65%</val>
          </value>
          <value t="str">
            <val>8247萬</val>
          </value>
          <value t="str">
            <val>+0.65</val>
          </value>
          <value t="str">
            <val>-7.41</val>
          </value>
          <value t="str">
            <val>-0.50</val>
          </value>
          <value>
            <val>-27</val>
          </value>
          <value>
            <val>18</val>
          </value>
        </values>
      </ddeItem>
      <ddeItem name="6271.TW-ChipsField3,ChipsField1,ChipsField25,CashAndStockDividend,CashDividendYieldRate,ProfitFourSeason,ProfitSingle,CName,ExchangeIndustry,CompanyPos" advise="1">
        <values cols="10">
          <value>
            <val>-80</val>
          </value>
          <value>
            <val>-951</val>
          </value>
          <value t="str">
            <val>2022/07/04</val>
          </value>
          <value t="str">
            <val>9.00</val>
          </value>
          <value>
            <val>4.29</val>
          </value>
          <value t="str">
            <val>19.10</val>
          </value>
          <value t="str">
            <val>4.32</val>
          </value>
          <value t="str">
            <val>同欣電</val>
          </value>
          <value t="str">
            <val>上市半導體</val>
          </value>
          <value t="str">
            <val>台灣最大LED陶瓷基板廠</val>
          </value>
        </values>
      </ddeItem>
      <ddeItem name="6271.TW-CName,InvestorConferenceDate,DateofMeetingofShareHolders,TradingDate" advise="1">
        <values cols="4">
          <value t="str">
            <val>同欣電</val>
          </value>
          <value t="str">
            <val>2022/11/10</val>
          </value>
          <value t="str">
            <val>2022/06/08</val>
          </value>
          <value t="str">
            <val>2022/12/22</val>
          </value>
        </values>
      </ddeItem>
      <ddeItem name="6271.TW-ID,Name,MarketValue,Capital,NetIncomeGrowthRate,OperIncomeGrowthRate,FinancialStatementsTime,TFXRatio,MonthlyNetSalesYoY,RevenueMonth" advise="1">
        <values cols="10">
          <value t="str">
            <val>6271</val>
          </value>
          <value t="str">
            <val>同欣電</val>
          </value>
          <value t="str">
            <val>337.7</val>
          </value>
          <value t="str">
            <val>16.08</val>
          </value>
          <value t="str">
            <val>31.77</val>
          </value>
          <value t="str">
            <val>17.26</val>
          </value>
          <value t="str">
            <val>2022/09</val>
          </value>
          <value t="str">
            <val>-6.34</val>
          </value>
          <value t="str">
            <val>-13.94</val>
          </value>
          <value t="str">
            <val>2022/11</val>
          </value>
        </values>
      </ddeItem>
      <ddeItem name="6271.TW-OperatingProfitRatio,Price,PriceChangeRatio,InOutRatioNumber,Value,YearReturn,MonthReturn,WeekReturn,FinanceBalanceDif,ChipsField2" advise="1">
        <values cols="10">
          <value t="str">
            <val>26.91</val>
          </value>
          <value>
            <val>210</val>
          </value>
          <value>
            <val>7.69</val>
          </value>
          <value t="str">
            <val>59.83%</val>
          </value>
          <value t="str">
            <val>10.3億</val>
          </value>
          <value t="str">
            <val>-29.62</val>
          </value>
          <value t="str">
            <val>-2.07</val>
          </value>
          <value t="str">
            <val>-3.89</val>
          </value>
          <value>
            <val>109</val>
          </value>
          <value>
            <val>503</val>
          </value>
        </values>
      </ddeItem>
      <ddeItem name="627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7</val>
          </value>
          <value t="str">
            <val>2022/11/17</val>
          </value>
          <value t="str">
            <val>2.40</val>
          </value>
          <value>
            <val>6.73</val>
          </value>
          <value t="str">
            <val>5.80</val>
          </value>
          <value t="str">
            <val>1.71</val>
          </value>
          <value t="str">
            <val>宏正</val>
          </value>
          <value t="str">
            <val>上市電腦及週邊設備</val>
          </value>
          <value t="str">
            <val>全球知名KVM製造商</val>
          </value>
        </values>
      </ddeItem>
      <ddeItem name="6277.TW-CName,InvestorConferenceDate,DateofMeetingofShareHolders,TradingDate" advise="1">
        <values cols="4">
          <value t="str">
            <val>宏正</val>
          </value>
          <value t="str">
            <val>2022/08/10</val>
          </value>
          <value t="str">
            <val>2022/06/17</val>
          </value>
          <value t="str">
            <val>2022/12/22</val>
          </value>
        </values>
      </ddeItem>
      <ddeItem name="6277.TW-ID,Name,MarketValue,Capital,NetIncomeGrowthRate,OperIncomeGrowthRate,FinancialStatementsTime,TFXRatio,MonthlyNetSalesYoY,RevenueMonth" advise="1">
        <values cols="10">
          <value t="str">
            <val>6277</val>
          </value>
          <value t="str">
            <val>宏正</val>
          </value>
          <value t="str">
            <val>92.4</val>
          </value>
          <value t="str">
            <val>11.95</val>
          </value>
          <value t="str">
            <val>11.80</val>
          </value>
          <value t="str">
            <val>1.10</val>
          </value>
          <value t="str">
            <val>2022/09</val>
          </value>
          <value t="str">
            <val>-8.70</val>
          </value>
          <value t="str">
            <val>-1.38</val>
          </value>
          <value t="str">
            <val>2022/11</val>
          </value>
        </values>
      </ddeItem>
      <ddeItem name="6277.TW-OperatingProfitRatio,Price,PriceChangeRatio,InOutRatioNumber,Value,YearReturn,MonthReturn,WeekReturn,FinanceBalanceDif,ChipsField2" advise="1">
        <values cols="10">
          <value t="str">
            <val>15.01</val>
          </value>
          <value>
            <val>77.3</val>
          </value>
          <value>
            <val>-0.13</val>
          </value>
          <value t="str">
            <val>23.08%</val>
          </value>
          <value t="str">
            <val>101萬</val>
          </value>
          <value t="str">
            <val>+2.04</val>
          </value>
          <value t="str">
            <val>+0.78</val>
          </value>
          <value t="str">
            <val>0.00</val>
          </value>
          <value>
            <val>-1</val>
          </value>
          <value>
            <val>0</val>
          </value>
        </values>
      </ddeItem>
      <ddeItem name="6278.TW-ChipsField3,ChipsField1,ChipsField25,CashAndStockDividend,CashDividendYieldRate,ProfitFourSeason,ProfitSingle,CName,ExchangeIndustry,CompanyPos" advise="1">
        <values cols="10">
          <value>
            <val>-22</val>
          </value>
          <value>
            <val>36</val>
          </value>
          <value t="str">
            <val>2022/07/14</val>
          </value>
          <value t="str">
            <val>6.00</val>
          </value>
          <value>
            <val>6.44</val>
          </value>
          <value t="str">
            <val>15.18</val>
          </value>
          <value t="str">
            <val>3.62</val>
          </value>
          <value t="str">
            <val>台表科</val>
          </value>
          <value t="str">
            <val>上市光電</val>
          </value>
          <value t="str">
            <val>全球最大光電產品之SMT代工廠</val>
          </value>
        </values>
      </ddeItem>
      <ddeItem name="6278.TW-CName,InvestorConferenceDate,DateofMeetingofShareHolders,TradingDate" advise="1">
        <values cols="4">
          <value t="str">
            <val>台表科</val>
          </value>
          <value t="str">
            <val>2022/12/20</val>
          </value>
          <value t="str">
            <val>2022/06/17</val>
          </value>
          <value t="str">
            <val>2022/12/22</val>
          </value>
        </values>
      </ddeItem>
      <ddeItem name="6278.TW-ID,Name,MarketValue,Capital,NetIncomeGrowthRate,OperIncomeGrowthRate,FinancialStatementsTime,TFXRatio,MonthlyNetSalesYoY,RevenueMonth" advise="1">
        <values cols="10">
          <value t="str">
            <val>6278</val>
          </value>
          <value t="str">
            <val>台表科</val>
          </value>
          <value t="str">
            <val>272.5</val>
          </value>
          <value t="str">
            <val>29.24</val>
          </value>
          <value t="str">
            <val>31.38</val>
          </value>
          <value t="str">
            <val>42.37</val>
          </value>
          <value t="str">
            <val>2022/09</val>
          </value>
          <value t="str">
            <val>0.13</val>
          </value>
          <value t="str">
            <val>-9.30</val>
          </value>
          <value t="str">
            <val>2022/11</val>
          </value>
        </values>
      </ddeItem>
      <ddeItem name="6278.TW-OperatingProfitRatio,Price,PriceChangeRatio,InOutRatioNumber,Value,YearReturn,MonthReturn,WeekReturn,FinanceBalanceDif,ChipsField2" advise="1">
        <values cols="10">
          <value t="str">
            <val>8.31</val>
          </value>
          <value>
            <val>93.2</val>
          </value>
          <value>
            <val>1.19</val>
          </value>
          <value t="str">
            <val>43.85%</val>
          </value>
          <value t="str">
            <val>4298萬</val>
          </value>
          <value t="str">
            <val>-14.76</val>
          </value>
          <value t="str">
            <val>-0.32</val>
          </value>
          <value t="str">
            <val>-4.61</val>
          </value>
          <value>
            <val>-15</val>
          </value>
          <value>
            <val>21</val>
          </value>
        </values>
      </ddeItem>
      <ddeItem name="628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-13</val>
          </value>
          <value t="str">
            <val>2022/07/04</val>
          </value>
          <value t="str">
            <val>5.00</val>
          </value>
          <value>
            <val>6.15</val>
          </value>
          <value t="str">
            <val>6.27</val>
          </value>
          <value t="str">
            <val>1.55</val>
          </value>
          <value t="str">
            <val>全國電</val>
          </value>
          <value t="str">
            <val>上市電子通路</val>
          </value>
          <value t="str">
            <val>台灣知名家電與3C通路賣場</val>
          </value>
        </values>
      </ddeItem>
      <ddeItem name="6281.TW-CName,InvestorConferenceDate,DateofMeetingofShareHolders,TradingDate" advise="1">
        <values cols="4">
          <value t="str">
            <val>全國電</val>
          </value>
          <value t="str">
            <val>2022/11/25</val>
          </value>
          <value t="str">
            <val>2022/06/17</val>
          </value>
          <value t="str">
            <val>2022/12/22</val>
          </value>
        </values>
      </ddeItem>
      <ddeItem name="6281.TW-ID,Name,MarketValue,Capital,NetIncomeGrowthRate,OperIncomeGrowthRate,FinancialStatementsTime,TFXRatio,MonthlyNetSalesYoY,RevenueMonth" advise="1">
        <values cols="10">
          <value t="str">
            <val>6281</val>
          </value>
          <value t="str">
            <val>全國電</val>
          </value>
          <value t="str">
            <val>80.6</val>
          </value>
          <value t="str">
            <val>9.92</val>
          </value>
          <value t="str">
            <val>4.71</val>
          </value>
          <value t="str">
            <val>3.90</val>
          </value>
          <value t="str">
            <val>2022/09</val>
          </value>
          <value t="str">
            <val>3.04</val>
          </value>
          <value t="str">
            <val>-17.08</val>
          </value>
          <value t="str">
            <val>2022/11</val>
          </value>
        </values>
      </ddeItem>
      <ddeItem name="6281.TW-OperatingProfitRatio,Price,PriceChangeRatio,InOutRatioNumber,Value,YearReturn,MonthReturn,WeekReturn,FinanceBalanceDif,ChipsField2" advise="1">
        <values cols="10">
          <value t="str">
            <val>3.61</val>
          </value>
          <value>
            <val>81.3</val>
          </value>
          <value>
            <val>0</val>
          </value>
          <value t="str">
            <val>57.14%</val>
          </value>
          <value t="str">
            <val>114萬</val>
          </value>
          <value t="str">
            <val>+5.10</val>
          </value>
          <value t="str">
            <val>-1.22</val>
          </value>
          <value t="str">
            <val>-0.37</val>
          </value>
          <value>
            <val>0</val>
          </value>
          <value>
            <val>0</val>
          </value>
        </values>
      </ddeItem>
      <ddeItem name="6282.TW-ChipsField3,ChipsField1,ChipsField25,CashAndStockDividend,CashDividendYieldRate,ProfitFourSeason,ProfitSingle,CName,ExchangeIndustry,CompanyPos" advise="1">
        <values cols="10">
          <value>
            <val>411</val>
          </value>
          <value>
            <val>136</val>
          </value>
          <value t="str">
            <val>2022/04/21</val>
          </value>
          <value t="str">
            <val>1.00</val>
          </value>
          <value>
            <val>3.32</val>
          </value>
          <value t="str">
            <val>1.64</val>
          </value>
          <value t="str">
            <val>0.76</val>
          </value>
          <value t="str">
            <val>康舒</val>
          </value>
          <value t="str">
            <val>上市電子零組件</val>
          </value>
          <value t="str">
            <val>金仁寶集團旗下電源供應器廠，全球排名前十大、台灣前三大</val>
          </value>
        </values>
      </ddeItem>
      <ddeItem name="6282.TW-CName,InvestorConferenceDate,DateofMeetingofShareHolders,TradingDate" advise="1">
        <values cols="4">
          <value t="str">
            <val>康舒</val>
          </value>
          <value t="str">
            <val>2022/08/16</val>
          </value>
          <value t="str">
            <val>2022/06/22</val>
          </value>
          <value t="str">
            <val>2022/12/22</val>
          </value>
        </values>
      </ddeItem>
      <ddeItem name="6282.TW-ID,Name,MarketValue,Capital,NetIncomeGrowthRate,OperIncomeGrowthRate,FinancialStatementsTime,TFXRatio,MonthlyNetSalesYoY,RevenueMonth" advise="1">
        <values cols="10">
          <value t="str">
            <val>6282</val>
          </value>
          <value t="str">
            <val>康舒</val>
          </value>
          <value t="str">
            <val>158.7</val>
          </value>
          <value t="str">
            <val>52.63</val>
          </value>
          <value t="str">
            <val>38.34</val>
          </value>
          <value t="str">
            <val>75.22</val>
          </value>
          <value t="str">
            <val>2022/09</val>
          </value>
          <value t="str">
            <val>-0.80</val>
          </value>
          <value t="str">
            <val>-7.08</val>
          </value>
          <value t="str">
            <val>2022/11</val>
          </value>
        </values>
      </ddeItem>
      <ddeItem name="6282.TW-OperatingProfitRatio,Price,PriceChangeRatio,InOutRatioNumber,Value,YearReturn,MonthReturn,WeekReturn,FinanceBalanceDif,ChipsField2" advise="1">
        <values cols="10">
          <value t="str">
            <val>2.51</val>
          </value>
          <value>
            <val>30.15</val>
          </value>
          <value>
            <val>0.5</val>
          </value>
          <value t="str">
            <val>51.15%</val>
          </value>
          <value t="str">
            <val>7073萬</val>
          </value>
          <value t="str">
            <val>-11.48</val>
          </value>
          <value t="str">
            <val>+1.69</val>
          </value>
          <value t="str">
            <val>-2.27</val>
          </value>
          <value>
            <val>-13</val>
          </value>
          <value>
            <val>0</val>
          </value>
        </values>
      </ddeItem>
      <ddeItem name="628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22</val>
          </value>
          <value t="str">
            <val>--</val>
          </value>
          <value t="str">
            <val>0.00</val>
          </value>
          <value>
            <val>0</val>
          </value>
          <value t="str">
            <val>0.38</val>
          </value>
          <value t="str">
            <val>-0.23</val>
          </value>
          <value t="str">
            <val>淳安</val>
          </value>
          <value t="str">
            <val>上市其他電子</val>
          </value>
          <value t="str">
            <val>鍵盤導電薄膜與車載鏡頭製造商</val>
          </value>
        </values>
      </ddeItem>
      <ddeItem name="6283.TW-CName,InvestorConferenceDate,DateofMeetingofShareHolders,TradingDate" advise="1">
        <values cols="4">
          <value t="str">
            <val>淳安</val>
          </value>
          <value t="str">
            <val>2022/04/07</val>
          </value>
          <value t="str">
            <val>2022/06/23</val>
          </value>
          <value t="str">
            <val>2022/12/22</val>
          </value>
        </values>
      </ddeItem>
      <ddeItem name="6283.TW-ID,Name,MarketValue,Capital,NetIncomeGrowthRate,OperIncomeGrowthRate,FinancialStatementsTime,TFXRatio,MonthlyNetSalesYoY,RevenueMonth" advise="1">
        <values cols="10">
          <value t="str">
            <val>6283</val>
          </value>
          <value t="str">
            <val>淳安</val>
          </value>
          <value t="str">
            <val>43.7</val>
          </value>
          <value t="str">
            <val>14.79</val>
          </value>
          <value t="str">
            <val>90.11</val>
          </value>
          <value t="str">
            <val>53.81</val>
          </value>
          <value t="str">
            <val>2022/09</val>
          </value>
          <value t="str">
            <val>-20.84</val>
          </value>
          <value t="str">
            <val>-53.41</val>
          </value>
          <value t="str">
            <val>2022/11</val>
          </value>
        </values>
      </ddeItem>
      <ddeItem name="6283.TW-OperatingProfitRatio,Price,PriceChangeRatio,InOutRatioNumber,Value,YearReturn,MonthReturn,WeekReturn,FinanceBalanceDif,ChipsField2" advise="1">
        <values cols="10">
          <value t="str">
            <val>-9.79</val>
          </value>
          <value>
            <val>32.65</val>
          </value>
          <value>
            <val>0</val>
          </value>
          <value t="str">
            <val>17.71%</val>
          </value>
          <value t="str">
            <val>634萬</val>
          </value>
          <value t="str">
            <val>-30.46</val>
          </value>
          <value t="str">
            <val>-8.03</val>
          </value>
          <value t="str">
            <val>-4.25</val>
          </value>
          <value>
            <val>-11</val>
          </value>
          <value>
            <val>0</val>
          </value>
        </values>
      </ddeItem>
      <ddeItem name="6285.TW-ChipsField3,ChipsField1,ChipsField25,CashAndStockDividend,CashDividendYieldRate,ProfitFourSeason,ProfitSingle,CName,ExchangeIndustry,CompanyPos" advise="1">
        <values cols="10">
          <value>
            <val>-496</val>
          </value>
          <value>
            <val>358</val>
          </value>
          <value t="str">
            <val>2022/07/13</val>
          </value>
          <value t="str">
            <val>2.10</val>
          </value>
          <value>
            <val>2.54</val>
          </value>
          <value t="str">
            <val>6.18</val>
          </value>
          <value t="str">
            <val>3.13</val>
          </value>
          <value t="str">
            <val>啟碁</val>
          </value>
          <value t="str">
            <val>上市通信網路</val>
          </value>
          <value t="str">
            <val>緯創轉投資無線、衛星通訊產品大廠</val>
          </value>
        </values>
      </ddeItem>
      <ddeItem name="6285.TW-CName,InvestorConferenceDate,DateofMeetingofShareHolders,TradingDate" advise="1">
        <values cols="4">
          <value t="str">
            <val>啟碁</val>
          </value>
          <value t="str">
            <val>2022/11/09</val>
          </value>
          <value t="str">
            <val>2022/06/10</val>
          </value>
          <value t="str">
            <val>2022/12/22</val>
          </value>
        </values>
      </ddeItem>
      <ddeItem name="6285.TW-ID,Name,MarketValue,Capital,NetIncomeGrowthRate,OperIncomeGrowthRate,FinancialStatementsTime,TFXRatio,MonthlyNetSalesYoY,RevenueMonth" advise="1">
        <values cols="10">
          <value t="str">
            <val>6285</val>
          </value>
          <value t="str">
            <val>啟碁</val>
          </value>
          <value t="str">
            <val>327.3</val>
          </value>
          <value t="str">
            <val>39.80</val>
          </value>
          <value t="str">
            <val>132.38</val>
          </value>
          <value t="str">
            <val>200.74</val>
          </value>
          <value t="str">
            <val>2022/09</val>
          </value>
          <value t="str">
            <val>-8.80</val>
          </value>
          <value t="str">
            <val>48.62</val>
          </value>
          <value t="str">
            <val>2022/11</val>
          </value>
        </values>
      </ddeItem>
      <ddeItem name="6285.TW-OperatingProfitRatio,Price,PriceChangeRatio,InOutRatioNumber,Value,YearReturn,MonthReturn,WeekReturn,FinanceBalanceDif,ChipsField2" advise="1">
        <values cols="10">
          <value t="str">
            <val>3.12</val>
          </value>
          <value>
            <val>82.7</val>
          </value>
          <value>
            <val>0.24</val>
          </value>
          <value t="str">
            <val>44.08%</val>
          </value>
          <value t="str">
            <val>1.61億</val>
          </value>
          <value t="str">
            <val>+13.67</val>
          </value>
          <value t="str">
            <val>0.00</val>
          </value>
          <value t="str">
            <val>-4.28</val>
          </value>
          <value>
            <val>10</val>
          </value>
          <value>
            <val>0</val>
          </value>
        </values>
      </ddeItem>
      <ddeItem name="6288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140</val>
          </value>
          <value t="str">
            <val>2022/06/24</val>
          </value>
          <value t="str">
            <val>0.40</val>
          </value>
          <value>
            <val>1.74</val>
          </value>
          <value t="str">
            <val>0.22</val>
          </value>
          <value t="str">
            <val>0.16</val>
          </value>
          <value t="str">
            <val>聯嘉</val>
          </value>
          <value t="str">
            <val>上市汽車</val>
          </value>
          <value t="str">
            <val>台灣車用LED模組及元件廠</val>
          </value>
        </values>
      </ddeItem>
      <ddeItem name="6288.TW-CName,InvestorConferenceDate,DateofMeetingofShareHolders,TradingDate" advise="1">
        <values cols="4">
          <value t="str">
            <val>聯嘉</val>
          </value>
          <value t="str">
            <val>2022/11/30</val>
          </value>
          <value t="str">
            <val>2022/05/26</val>
          </value>
          <value t="str">
            <val>2022/12/22</val>
          </value>
        </values>
      </ddeItem>
      <ddeItem name="6288.TW-ID,Name,MarketValue,Capital,NetIncomeGrowthRate,OperIncomeGrowthRate,FinancialStatementsTime,TFXRatio,MonthlyNetSalesYoY,RevenueMonth" advise="1">
        <values cols="10">
          <value t="str">
            <val>6288</val>
          </value>
          <value t="str">
            <val>聯嘉</val>
          </value>
          <value t="str">
            <val>41.9</val>
          </value>
          <value t="str">
            <val>18.28</val>
          </value>
          <value t="str">
            <val>235.16</val>
          </value>
          <value t="str">
            <val>-291.13</val>
          </value>
          <value t="str">
            <val>2022/09</val>
          </value>
          <value t="str">
            <val>0.43</val>
          </value>
          <value t="str">
            <val>14.90</val>
          </value>
          <value t="str">
            <val>2022/11</val>
          </value>
        </values>
      </ddeItem>
      <ddeItem name="6288.TW-OperatingProfitRatio,Price,PriceChangeRatio,InOutRatioNumber,Value,YearReturn,MonthReturn,WeekReturn,FinanceBalanceDif,ChipsField2" advise="1">
        <values cols="10">
          <value t="str">
            <val>-3.49</val>
          </value>
          <value>
            <val>22.95</val>
          </value>
          <value>
            <val>0</val>
          </value>
          <value t="str">
            <val>20.61%</val>
          </value>
          <value t="str">
            <val>1658萬</val>
          </value>
          <value t="str">
            <val>-13.83</val>
          </value>
          <value t="str">
            <val>+5.76</val>
          </value>
          <value t="str">
            <val>-7.65</val>
          </value>
          <value>
            <val>35</val>
          </value>
          <value>
            <val>0</val>
          </value>
        </values>
      </ddeItem>
      <ddeItem name="640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2022/07/15</val>
          </value>
          <value t="str">
            <val>2.00</val>
          </value>
          <value>
            <val>9.39</val>
          </value>
          <value t="str">
            <val>1.03</val>
          </value>
          <value t="str">
            <val>0.46</val>
          </value>
          <value t="str">
            <val>悅城</val>
          </value>
          <value t="str">
            <val>上市光電</val>
          </value>
          <value t="str">
            <val>台灣光電玻璃薄化加工大廠</val>
          </value>
        </values>
      </ddeItem>
      <ddeItem name="6405.TW-CName,InvestorConferenceDate,DateofMeetingofShareHolders,TradingDate" advise="1">
        <values cols="4">
          <value t="str">
            <val>悅城</val>
          </value>
          <value t="str">
            <val>2022/12/22</val>
          </value>
          <value t="str">
            <val>2022/06/16</val>
          </value>
          <value t="str">
            <val>2022/12/22</val>
          </value>
        </values>
      </ddeItem>
      <ddeItem name="6405.TW-ID,Name,MarketValue,Capital,NetIncomeGrowthRate,OperIncomeGrowthRate,FinancialStatementsTime,TFXRatio,MonthlyNetSalesYoY,RevenueMonth" advise="1">
        <values cols="10">
          <value t="str">
            <val>6405</val>
          </value>
          <value t="str">
            <val>悅城</val>
          </value>
          <value t="str">
            <val>14.0</val>
          </value>
          <value t="str">
            <val>6.58</val>
          </value>
          <value t="str">
            <val>-40.93</val>
          </value>
          <value t="str">
            <val>-484.02</val>
          </value>
          <value t="str">
            <val>2022/09</val>
          </value>
          <value t="str">
            <val>15.57</val>
          </value>
          <value t="str">
            <val>-41.86</val>
          </value>
          <value t="str">
            <val>2022/11</val>
          </value>
        </values>
      </ddeItem>
      <ddeItem name="6405.TW-OperatingProfitRatio,Price,PriceChangeRatio,InOutRatioNumber,Value,YearReturn,MonthReturn,WeekReturn,FinanceBalanceDif,ChipsField2" advise="1">
        <values cols="10">
          <value t="str">
            <val>-14.76</val>
          </value>
          <value>
            <val>21.3</val>
          </value>
          <value>
            <val>0</val>
          </value>
          <value t="str">
            <val>90.91%</val>
          </value>
          <value t="str">
            <val>25.6萬</val>
          </value>
          <value t="str">
            <val>-17.96</val>
          </value>
          <value t="str">
            <val>+5.45</val>
          </value>
          <value t="str">
            <val>+0.47</val>
          </value>
          <value>
            <val>3</val>
          </value>
          <value>
            <val>0</val>
          </value>
        </values>
      </ddeItem>
      <ddeItem name="6409.TW-ChipsField3,ChipsField1,ChipsField25,CashAndStockDividend,CashDividendYieldRate,ProfitFourSeason,ProfitSingle,CName,ExchangeIndustry,CompanyPos" advise="1">
        <values cols="10">
          <value>
            <val>-2</val>
          </value>
          <value>
            <val>5</val>
          </value>
          <value t="str">
            <val>2022/08/24</val>
          </value>
          <value t="str">
            <val>23.55</val>
          </value>
          <value>
            <val>1.52</val>
          </value>
          <value t="str">
            <val>45.02</val>
          </value>
          <value t="str">
            <val>17.29</val>
          </value>
          <value t="str">
            <val>旭隼</val>
          </value>
          <value t="str">
            <val>上市其他電子</val>
          </value>
          <value t="str">
            <val>台灣UPS及PV Inverter之ODM製造廠商</val>
          </value>
        </values>
      </ddeItem>
      <ddeItem name="6409.TW-CName,InvestorConferenceDate,DateofMeetingofShareHolders,TradingDate" advise="1">
        <values cols="4">
          <value t="str">
            <val>旭隼</val>
          </value>
          <value t="str">
            <val>2021/04/14</val>
          </value>
          <value t="str">
            <val>2022/06/17</val>
          </value>
          <value t="str">
            <val>2022/12/22</val>
          </value>
        </values>
      </ddeItem>
      <ddeItem name="6409.TW-ID,Name,MarketValue,Capital,NetIncomeGrowthRate,OperIncomeGrowthRate,FinancialStatementsTime,TFXRatio,MonthlyNetSalesYoY,RevenueMonth" advise="1">
        <values cols="10">
          <value t="str">
            <val>6409</val>
          </value>
          <value t="str">
            <val>旭隼</val>
          </value>
          <value t="str">
            <val>1360.3</val>
          </value>
          <value t="str">
            <val>8.78</val>
          </value>
          <value t="str">
            <val>90.25</val>
          </value>
          <value t="str">
            <val>83.06</val>
          </value>
          <value t="str">
            <val>2022/09</val>
          </value>
          <value t="str">
            <val>2.77</val>
          </value>
          <value t="str">
            <val>12.08</val>
          </value>
          <value t="str">
            <val>2022/11</val>
          </value>
        </values>
      </ddeItem>
      <ddeItem name="6409.TW-OperatingProfitRatio,Price,PriceChangeRatio,InOutRatioNumber,Value,YearReturn,MonthReturn,WeekReturn,FinanceBalanceDif,ChipsField2" advise="1">
        <values cols="10">
          <value t="str">
            <val>22.44</val>
          </value>
          <value>
            <val>1550</val>
          </value>
          <value>
            <val>-1.9</val>
          </value>
          <value t="str">
            <val>48.00%</val>
          </value>
          <value t="str">
            <val>1.60億</val>
          </value>
          <value t="str">
            <val>+1.00</val>
          </value>
          <value t="str">
            <val>+0.65</val>
          </value>
          <value t="str">
            <val>-10.66</val>
          </value>
          <value>
            <val>-1</val>
          </value>
          <value>
            <val>1</val>
          </value>
        </values>
      </ddeItem>
      <ddeItem name="6412.TW-ChipsField3,ChipsField1,ChipsField25,CashAndStockDividend,CashDividendYieldRate,ProfitFourSeason,ProfitSingle,CName,ExchangeIndustry,CompanyPos" advise="1">
        <values cols="10">
          <value>
            <val>-14</val>
          </value>
          <value>
            <val>12</val>
          </value>
          <value t="str">
            <val>2022/04/07</val>
          </value>
          <value t="str">
            <val>5.20</val>
          </value>
          <value>
            <val>7.15</val>
          </value>
          <value t="str">
            <val>8.29</val>
          </value>
          <value t="str">
            <val>2.44</val>
          </value>
          <value t="str">
            <val>群電</val>
          </value>
          <value t="str">
            <val>上市電子零組件</val>
          </value>
          <value t="str">
            <val>群光轉投資，台灣前三大PC電源供應器廠</val>
          </value>
        </values>
      </ddeItem>
      <ddeItem name="6412.TW-CName,InvestorConferenceDate,DateofMeetingofShareHolders,TradingDate" advise="1">
        <values cols="4">
          <value t="str">
            <val>群電</val>
          </value>
          <value t="str">
            <val>2022/11/02</val>
          </value>
          <value t="str">
            <val>2022/06/08</val>
          </value>
          <value t="str">
            <val>2022/12/22</val>
          </value>
        </values>
      </ddeItem>
      <ddeItem name="6412.TW-ID,Name,MarketValue,Capital,NetIncomeGrowthRate,OperIncomeGrowthRate,FinancialStatementsTime,TFXRatio,MonthlyNetSalesYoY,RevenueMonth" advise="1">
        <values cols="10">
          <value t="str">
            <val>6412</val>
          </value>
          <value t="str">
            <val>群電</val>
          </value>
          <value t="str">
            <val>287.4</val>
          </value>
          <value t="str">
            <val>39.54</val>
          </value>
          <value t="str">
            <val>21.12</val>
          </value>
          <value t="str">
            <val>15.98</val>
          </value>
          <value t="str">
            <val>2022/09</val>
          </value>
          <value t="str">
            <val>7.63</val>
          </value>
          <value t="str">
            <val>-10.72</val>
          </value>
          <value t="str">
            <val>2022/11</val>
          </value>
        </values>
      </ddeItem>
      <ddeItem name="6412.TW-OperatingProfitRatio,Price,PriceChangeRatio,InOutRatioNumber,Value,YearReturn,MonthReturn,WeekReturn,FinanceBalanceDif,ChipsField2" advise="1">
        <values cols="10">
          <value t="str">
            <val>9.36</val>
          </value>
          <value>
            <val>72.7</val>
          </value>
          <value>
            <val>1.1100000000000001</val>
          </value>
          <value t="str">
            <val>66.18%</val>
          </value>
          <value t="str">
            <val>990萬</val>
          </value>
          <value t="str">
            <val>+1.43</val>
          </value>
          <value t="str">
            <val>+0.97</val>
          </value>
          <value t="str">
            <val>-3.07</val>
          </value>
          <value>
            <val>0</val>
          </value>
          <value>
            <val>38</val>
          </value>
        </values>
      </ddeItem>
      <ddeItem name="6414.TW-ChipsField3,ChipsField1,ChipsField25,CashAndStockDividend,CashDividendYieldRate,ProfitFourSeason,ProfitSingle,CName,ExchangeIndustry,CompanyPos" advise="1">
        <values cols="10">
          <value>
            <val>-19</val>
          </value>
          <value>
            <val>-130</val>
          </value>
          <value t="str">
            <val>2022/07/29</val>
          </value>
          <value t="str">
            <val>7.00</val>
          </value>
          <value>
            <val>3.52</val>
          </value>
          <value t="str">
            <val>18.50</val>
          </value>
          <value t="str">
            <val>6.15</val>
          </value>
          <value t="str">
            <val>樺漢</val>
          </value>
          <value t="str">
            <val>上市電腦及週邊設備</val>
          </value>
          <value t="str">
            <val>鴻海轉投資之工業電腦廠</val>
          </value>
        </values>
      </ddeItem>
      <ddeItem name="6414.TW-CName,InvestorConferenceDate,DateofMeetingofShareHolders,TradingDate" advise="1">
        <values cols="4">
          <value t="str">
            <val>樺漢</val>
          </value>
          <value t="str">
            <val>2022/11/10</val>
          </value>
          <value t="str">
            <val>2022/06/23</val>
          </value>
          <value t="str">
            <val>2022/12/22</val>
          </value>
        </values>
      </ddeItem>
      <ddeItem name="6414.TW-ID,Name,MarketValue,Capital,NetIncomeGrowthRate,OperIncomeGrowthRate,FinancialStatementsTime,TFXRatio,MonthlyNetSalesYoY,RevenueMonth" advise="1">
        <values cols="10">
          <value t="str">
            <val>6414</val>
          </value>
          <value t="str">
            <val>樺漢</val>
          </value>
          <value t="str">
            <val>201.3</val>
          </value>
          <value t="str">
            <val>10.60</val>
          </value>
          <value t="str">
            <val>52.37</val>
          </value>
          <value t="str">
            <val>27.03</val>
          </value>
          <value t="str">
            <val>2022/09</val>
          </value>
          <value t="str">
            <val>18.62</val>
          </value>
          <value t="str">
            <val>24.23</val>
          </value>
          <value t="str">
            <val>2022/11</val>
          </value>
        </values>
      </ddeItem>
      <ddeItem name="6414.TW-OperatingProfitRatio,Price,PriceChangeRatio,InOutRatioNumber,Value,YearReturn,MonthReturn,WeekReturn,FinanceBalanceDif,ChipsField2" advise="1">
        <values cols="10">
          <value t="str">
            <val>3.70</val>
          </value>
          <value>
            <val>199</val>
          </value>
          <value>
            <val>1.02</val>
          </value>
          <value t="str">
            <val>36.14%</val>
          </value>
          <value t="str">
            <val>6003萬</val>
          </value>
          <value t="str">
            <val>-9.43</val>
          </value>
          <value t="str">
            <val>-0.25</val>
          </value>
          <value t="str">
            <val>-6.35</val>
          </value>
          <value>
            <val>1</val>
          </value>
          <value>
            <val>0</val>
          </value>
        </values>
      </ddeItem>
      <ddeItem name="6415.TW-ChipsField3,ChipsField1,ChipsField25,CashAndStockDividend,CashDividendYieldRate,ProfitFourSeason,ProfitSingle,CName,ExchangeIndustry,CompanyPos" advise="1">
        <values cols="10">
          <value>
            <val>5</val>
          </value>
          <value>
            <val>-329</val>
          </value>
          <value t="str">
            <val>2022/03/25</val>
          </value>
          <value t="str">
            <val>17.98</val>
          </value>
          <value>
            <val>4.0999999999999996</val>
          </value>
          <value t="str">
            <val>9.87</val>
          </value>
          <value t="str">
            <val>3.87</val>
          </value>
          <value t="str">
            <val>矽力*-KY</val>
          </value>
          <value t="str">
            <val>上市半導體</val>
          </value>
          <value t="str">
            <val>大陸電源管理晶片大廠</val>
          </value>
        </values>
      </ddeItem>
      <ddeItem name="6415.TW-CName,InvestorConferenceDate,DateofMeetingofShareHolders,TradingDate" advise="1">
        <values cols="4">
          <value t="str">
            <val>矽力*-KY</val>
          </value>
          <value t="str">
            <val>2021/04/09</val>
          </value>
          <value t="str">
            <val>2022/05/27</val>
          </value>
          <value t="str">
            <val>2022/12/22</val>
          </value>
        </values>
      </ddeItem>
      <ddeItem name="6415.TW-ID,Name,MarketValue,Capital,NetIncomeGrowthRate,OperIncomeGrowthRate,FinancialStatementsTime,TFXRatio,MonthlyNetSalesYoY,RevenueMonth" advise="1">
        <values cols="10">
          <value t="str">
            <val>6415</val>
          </value>
          <value t="str">
            <val>矽力*-KY</val>
          </value>
          <value t="str">
            <val>1671.8</val>
          </value>
          <value t="str">
            <val>9.52</val>
          </value>
          <value t="str">
            <val>19.59</val>
          </value>
          <value t="str">
            <val>12.72</val>
          </value>
          <value t="str">
            <val>2022/09</val>
          </value>
          <value t="str">
            <val>0.36</val>
          </value>
          <value t="str">
            <val>-18.20</val>
          </value>
          <value t="str">
            <val>2022/11</val>
          </value>
        </values>
      </ddeItem>
      <ddeItem name="6415.TW-OperatingProfitRatio,Price,PriceChangeRatio,InOutRatioNumber,Value,YearReturn,MonthReturn,WeekReturn,FinanceBalanceDif,ChipsField2" advise="1">
        <values cols="10">
          <value t="str">
            <val>28.06</val>
          </value>
          <value>
            <val>439</val>
          </value>
          <value>
            <val>-1.35</val>
          </value>
          <value t="str">
            <val>52.66%</val>
          </value>
          <value t="str">
            <val>8.91億</val>
          </value>
          <value t="str">
            <val>-63.14</val>
          </value>
          <value t="str">
            <val>-9.58</val>
          </value>
          <value t="str">
            <val>-17.48</val>
          </value>
          <value>
            <val>26</val>
          </value>
          <value>
            <val>7</val>
          </value>
        </values>
      </ddeItem>
      <ddeItem name="6416.TW-ChipsField3,ChipsField1,ChipsField25,CashAndStockDividend,CashDividendYieldRate,ProfitFourSeason,ProfitSingle,CName,ExchangeIndustry,CompanyPos" advise="1">
        <values cols="10">
          <value>
            <val>-4</val>
          </value>
          <value>
            <val>-61</val>
          </value>
          <value t="str">
            <val>2022/08/15</val>
          </value>
          <value t="str">
            <val>2.00</val>
          </value>
          <value>
            <val>2.23</val>
          </value>
          <value t="str">
            <val>5.41</val>
          </value>
          <value t="str">
            <val>1.90</val>
          </value>
          <value t="str">
            <val>瑞祺電通</val>
          </value>
          <value t="str">
            <val>上市通信網路</val>
          </value>
          <value t="str">
            <val>台灣網通資安設備龍頭大廠</val>
          </value>
        </values>
      </ddeItem>
      <ddeItem name="6416.TW-CName,InvestorConferenceDate,DateofMeetingofShareHolders,TradingDate" advise="1">
        <values cols="4">
          <value t="str">
            <val>瑞祺電通</val>
          </value>
          <value t="str">
            <val>2021/12/03</val>
          </value>
          <value t="str">
            <val>2022/06/16</val>
          </value>
          <value t="str">
            <val>2022/12/22</val>
          </value>
        </values>
      </ddeItem>
      <ddeItem name="6416.TW-ID,Name,MarketValue,Capital,NetIncomeGrowthRate,OperIncomeGrowthRate,FinancialStatementsTime,TFXRatio,MonthlyNetSalesYoY,RevenueMonth" advise="1">
        <values cols="10">
          <value t="str">
            <val>6416</val>
          </value>
          <value t="str">
            <val>瑞祺電通</val>
          </value>
          <value t="str">
            <val>65.7</val>
          </value>
          <value t="str">
            <val>7.32</val>
          </value>
          <value t="str">
            <val>110.14</val>
          </value>
          <value t="str">
            <val>78.62</val>
          </value>
          <value t="str">
            <val>2022/09</val>
          </value>
          <value t="str">
            <val>11.21</val>
          </value>
          <value t="str">
            <val>5.40</val>
          </value>
          <value t="str">
            <val>2022/11</val>
          </value>
        </values>
      </ddeItem>
      <ddeItem name="6416.TW-OperatingProfitRatio,Price,PriceChangeRatio,InOutRatioNumber,Value,YearReturn,MonthReturn,WeekReturn,FinanceBalanceDif,ChipsField2" advise="1">
        <values cols="10">
          <value t="str">
            <val>10.41</val>
          </value>
          <value>
            <val>89.8</val>
          </value>
          <value>
            <val>1.35</val>
          </value>
          <value t="str">
            <val>38.64%</val>
          </value>
          <value t="str">
            <val>793萬</val>
          </value>
          <value t="str">
            <val>-7.75</val>
          </value>
          <value t="str">
            <val>-8.65</val>
          </value>
          <value t="str">
            <val>-5.17</val>
          </value>
          <value>
            <val>-4</val>
          </value>
          <value>
            <val>0</val>
          </value>
        </values>
      </ddeItem>
      <ddeItem name="642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-12</val>
          </value>
          <value t="str">
            <val>2022/08/03</val>
          </value>
          <value t="str">
            <val>2.00</val>
          </value>
          <value>
            <val>3.26</val>
          </value>
          <value t="str">
            <val>2.49</val>
          </value>
          <value t="str">
            <val>0.91</val>
          </value>
          <value t="str">
            <val>統新</val>
          </value>
          <value t="str">
            <val>上市通信網路</val>
          </value>
          <value t="str">
            <val>台灣光通訊元件濾光片廠商</val>
          </value>
        </values>
      </ddeItem>
      <ddeItem name="6426.TW-CName,InvestorConferenceDate,DateofMeetingofShareHolders,TradingDate" advise="1">
        <values cols="4">
          <value t="str">
            <val>統新</val>
          </value>
          <value t="str">
            <val>2022/11/29</val>
          </value>
          <value t="str">
            <val>2022/06/14</val>
          </value>
          <value t="str">
            <val>2022/12/22</val>
          </value>
        </values>
      </ddeItem>
      <ddeItem name="6426.TW-ID,Name,MarketValue,Capital,NetIncomeGrowthRate,OperIncomeGrowthRate,FinancialStatementsTime,TFXRatio,MonthlyNetSalesYoY,RevenueMonth" advise="1">
        <values cols="10">
          <value t="str">
            <val>6426</val>
          </value>
          <value t="str">
            <val>統新</val>
          </value>
          <value t="str">
            <val>23.6</val>
          </value>
          <value t="str">
            <val>3.85</val>
          </value>
          <value t="str">
            <val>1624.90</val>
          </value>
          <value t="str">
            <val>1751.54</val>
          </value>
          <value t="str">
            <val>2022/09</val>
          </value>
          <value t="str">
            <val>5.47</val>
          </value>
          <value t="str">
            <val>-12.25</val>
          </value>
          <value t="str">
            <val>2022/11</val>
          </value>
        </values>
      </ddeItem>
      <ddeItem name="6426.TW-OperatingProfitRatio,Price,PriceChangeRatio,InOutRatioNumber,Value,YearReturn,MonthReturn,WeekReturn,FinanceBalanceDif,ChipsField2" advise="1">
        <values cols="10">
          <value t="str">
            <val>12.82</val>
          </value>
          <value>
            <val>61.3</val>
          </value>
          <value>
            <val>0</val>
          </value>
          <value t="str">
            <val>37.80%</val>
          </value>
          <value t="str">
            <val>510萬</val>
          </value>
          <value t="str">
            <val>-13.27</val>
          </value>
          <value t="str">
            <val>-0.16</val>
          </value>
          <value t="str">
            <val>-13.17</val>
          </value>
          <value>
            <val>-1</val>
          </value>
          <value>
            <val>0</val>
          </value>
        </values>
      </ddeItem>
      <ddeItem name="643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</val>
          </value>
          <value t="str">
            <val>--</val>
          </value>
          <value t="str">
            <val>0.00</val>
          </value>
          <value>
            <val>0</val>
          </value>
          <value t="str">
            <val>-1.13</val>
          </value>
          <value t="str">
            <val>-0.09</val>
          </value>
          <value t="str">
            <val>光麗-KY</val>
          </value>
          <value t="str">
            <val>上市生技醫療</val>
          </value>
          <value t="str">
            <val>轉型為美妝保養品代工廠商</val>
          </value>
        </values>
      </ddeItem>
      <ddeItem name="6431.TW-CName,InvestorConferenceDate,DateofMeetingofShareHolders,TradingDate" advise="1">
        <values cols="4">
          <value t="str">
            <val>光麗-KY</val>
          </value>
          <value t="str">
            <val>2022/11/18</val>
          </value>
          <value t="str">
            <val>2022/06/21</val>
          </value>
          <value t="str">
            <val>2022/12/22</val>
          </value>
        </values>
      </ddeItem>
      <ddeItem name="6431.TW-ID,Name,MarketValue,Capital,NetIncomeGrowthRate,OperIncomeGrowthRate,FinancialStatementsTime,TFXRatio,MonthlyNetSalesYoY,RevenueMonth" advise="1">
        <values cols="10">
          <value t="str">
            <val>6431</val>
          </value>
          <value t="str">
            <val>光麗-KY</val>
          </value>
          <value t="str">
            <val>10.1</val>
          </value>
          <value t="str">
            <val>5.72</val>
          </value>
          <value t="str">
            <val>-280.02</val>
          </value>
          <value t="str">
            <val>-411.98</val>
          </value>
          <value t="str">
            <val>2022/09</val>
          </value>
          <value t="str">
            <val>-1.96</val>
          </value>
          <value t="str">
            <val>-14.71</val>
          </value>
          <value t="str">
            <val>2022/11</val>
          </value>
        </values>
      </ddeItem>
      <ddeItem name="6431.TW-OperatingProfitRatio,Price,PriceChangeRatio,InOutRatioNumber,Value,YearReturn,MonthReturn,WeekReturn,FinanceBalanceDif,ChipsField2" advise="1">
        <values cols="10">
          <value t="str">
            <val>-33.94</val>
          </value>
          <value>
            <val>20.100000000000001</val>
          </value>
          <value>
            <val>-2.19</val>
          </value>
          <value t="str">
            <val>34.56%</val>
          </value>
          <value t="str">
            <val>294萬</val>
          </value>
          <value t="str">
            <val>-31.05</val>
          </value>
          <value t="str">
            <val>-5.41</val>
          </value>
          <value t="str">
            <val>-4.96</val>
          </value>
          <value>
            <val>20</val>
          </value>
          <value>
            <val>0</val>
          </value>
        </values>
      </ddeItem>
      <ddeItem name="6438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85</val>
          </value>
          <value t="str">
            <val>2022/06/02</val>
          </value>
          <value t="str">
            <val>6.30</val>
          </value>
          <value>
            <val>7.26</val>
          </value>
          <value t="str">
            <val>10.66</val>
          </value>
          <value t="str">
            <val>3.20</val>
          </value>
          <value t="str">
            <val>迅得</val>
          </value>
          <value t="str">
            <val>上市其他電子</val>
          </value>
          <value t="str">
            <val>主要為PCB相關之自動化設備供應商</val>
          </value>
        </values>
      </ddeItem>
      <ddeItem name="6438.TW-CName,InvestorConferenceDate,DateofMeetingofShareHolders,TradingDate" advise="1">
        <values cols="4">
          <value t="str">
            <val>迅得</val>
          </value>
          <value t="str">
            <val>2022/11/09</val>
          </value>
          <value t="str">
            <val>2022/05/27</val>
          </value>
          <value t="str">
            <val>2022/12/22</val>
          </value>
        </values>
      </ddeItem>
      <ddeItem name="6438.TW-ID,Name,MarketValue,Capital,NetIncomeGrowthRate,OperIncomeGrowthRate,FinancialStatementsTime,TFXRatio,MonthlyNetSalesYoY,RevenueMonth" advise="1">
        <values cols="10">
          <value t="str">
            <val>6438</val>
          </value>
          <value t="str">
            <val>迅得</val>
          </value>
          <value t="str">
            <val>58.5</val>
          </value>
          <value t="str">
            <val>7.14</val>
          </value>
          <value t="str">
            <val>18.18</val>
          </value>
          <value t="str">
            <val>10.52</val>
          </value>
          <value t="str">
            <val>2022/09</val>
          </value>
          <value t="str">
            <val>0.51</val>
          </value>
          <value t="str">
            <val>12.95</val>
          </value>
          <value t="str">
            <val>2022/11</val>
          </value>
        </values>
      </ddeItem>
      <ddeItem name="6438.TW-OperatingProfitRatio,Price,PriceChangeRatio,InOutRatioNumber,Value,YearReturn,MonthReturn,WeekReturn,FinanceBalanceDif,ChipsField2" advise="1">
        <values cols="10">
          <value t="str">
            <val>15.29</val>
          </value>
          <value>
            <val>86.8</val>
          </value>
          <value>
            <val>0.35</val>
          </value>
          <value t="str">
            <val>31.15%</val>
          </value>
          <value t="str">
            <val>1072萬</val>
          </value>
          <value t="str">
            <val>-12.10</val>
          </value>
          <value t="str">
            <val>+0.93</val>
          </value>
          <value t="str">
            <val>-2.69</val>
          </value>
          <value>
            <val>-1</val>
          </value>
          <value>
            <val>0</val>
          </value>
        </values>
      </ddeItem>
      <ddeItem name="644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23</val>
          </value>
          <value t="str">
            <val>2022/07/27</val>
          </value>
          <value t="str">
            <val>1.20</val>
          </value>
          <value>
            <val>2.59</val>
          </value>
          <value t="str">
            <val>5.20</val>
          </value>
          <value t="str">
            <val>2.34</val>
          </value>
          <value t="str">
            <val>光聖</val>
          </value>
          <value t="str">
            <val>上市通信網路</val>
          </value>
          <value t="str">
            <val>光纖主被動元件及高頻連接器製造商</val>
          </value>
        </values>
      </ddeItem>
      <ddeItem name="6442.TW-CName,InvestorConferenceDate,DateofMeetingofShareHolders,TradingDate" advise="1">
        <values cols="4">
          <value t="str">
            <val>光聖</val>
          </value>
          <value t="str">
            <val>2022/08/16</val>
          </value>
          <value t="str">
            <val>2022/06/27</val>
          </value>
          <value t="str">
            <val>2022/12/22</val>
          </value>
        </values>
      </ddeItem>
      <ddeItem name="6442.TW-ID,Name,MarketValue,Capital,NetIncomeGrowthRate,OperIncomeGrowthRate,FinancialStatementsTime,TFXRatio,MonthlyNetSalesYoY,RevenueMonth" advise="1">
        <values cols="10">
          <value t="str">
            <val>6442</val>
          </value>
          <value t="str">
            <val>光聖</val>
          </value>
          <value t="str">
            <val>32.2</val>
          </value>
          <value t="str">
            <val>6.93</val>
          </value>
          <value t="str">
            <val>335.82</val>
          </value>
          <value t="str">
            <val>86.72</val>
          </value>
          <value t="str">
            <val>2022/09</val>
          </value>
          <value t="str">
            <val>9.80</val>
          </value>
          <value t="str">
            <val>-10.09</val>
          </value>
          <value t="str">
            <val>2022/11</val>
          </value>
        </values>
      </ddeItem>
      <ddeItem name="6442.TW-OperatingProfitRatio,Price,PriceChangeRatio,InOutRatioNumber,Value,YearReturn,MonthReturn,WeekReturn,FinanceBalanceDif,ChipsField2" advise="1">
        <values cols="10">
          <value t="str">
            <val>10.21</val>
          </value>
          <value>
            <val>46.4</val>
          </value>
          <value>
            <val>-0.96</val>
          </value>
          <value t="str">
            <val>34.18%</val>
          </value>
          <value t="str">
            <val>1973萬</val>
          </value>
          <value t="str">
            <val>+34.78</val>
          </value>
          <value t="str">
            <val>+2.77</val>
          </value>
          <value t="str">
            <val>-9.38</val>
          </value>
          <value>
            <val>-15</val>
          </value>
          <value>
            <val>0</val>
          </value>
        </values>
      </ddeItem>
      <ddeItem name="6443.TW-ChipsField3,ChipsField1,ChipsField25,CashAndStockDividend,CashDividendYieldRate,ProfitFourSeason,ProfitSingle,CName,ExchangeIndustry,CompanyPos" advise="1">
        <values cols="10">
          <value>
            <val>-101</val>
          </value>
          <value>
            <val>-772</val>
          </value>
          <value t="str">
            <val>--</val>
          </value>
          <value t="str">
            <val>0.00</val>
          </value>
          <value>
            <val>0</val>
          </value>
          <value t="str">
            <val>0.69</val>
          </value>
          <value t="str">
            <val>0.05</val>
          </value>
          <value t="str">
            <val>元晶</val>
          </value>
          <value t="str">
            <val>上市光電</val>
          </value>
          <value t="str">
            <val>台灣太陽能模組龍頭廠</val>
          </value>
        </values>
      </ddeItem>
      <ddeItem name="6443.TW-CName,InvestorConferenceDate,DateofMeetingofShareHolders,TradingDate" advise="1">
        <values cols="4">
          <value t="str">
            <val>元晶</val>
          </value>
          <value t="str">
            <val>2022/09/14</val>
          </value>
          <value t="str">
            <val>2022/06/09</val>
          </value>
          <value t="str">
            <val>2022/12/22</val>
          </value>
        </values>
      </ddeItem>
      <ddeItem name="6443.TW-ID,Name,MarketValue,Capital,NetIncomeGrowthRate,OperIncomeGrowthRate,FinancialStatementsTime,TFXRatio,MonthlyNetSalesYoY,RevenueMonth" advise="1">
        <values cols="10">
          <value t="str">
            <val>6443</val>
          </value>
          <value t="str">
            <val>元晶</val>
          </value>
          <value t="str">
            <val>160.5</val>
          </value>
          <value t="str">
            <val>47.63</val>
          </value>
          <value t="str">
            <val>133.31</val>
          </value>
          <value t="str">
            <val>155.51</val>
          </value>
          <value t="str">
            <val>2022/09</val>
          </value>
          <value t="str">
            <val>43.13</val>
          </value>
          <value t="str">
            <val>13.80</val>
          </value>
          <value t="str">
            <val>2022/11</val>
          </value>
        </values>
      </ddeItem>
      <ddeItem name="6443.TW-OperatingProfitRatio,Price,PriceChangeRatio,InOutRatioNumber,Value,YearReturn,MonthReturn,WeekReturn,FinanceBalanceDif,ChipsField2" advise="1">
        <values cols="10">
          <value t="str">
            <val>1.88</val>
          </value>
          <value>
            <val>33.700000000000003</val>
          </value>
          <value>
            <val>3.06</val>
          </value>
          <value t="str">
            <val>51.22%</val>
          </value>
          <value t="str">
            <val>2.30億</val>
          </value>
          <value t="str">
            <val>-19.57</val>
          </value>
          <value t="str">
            <val>+1.05</val>
          </value>
          <value t="str">
            <val>-4.80</val>
          </value>
          <value>
            <val>233</val>
          </value>
          <value>
            <val>-1000</val>
          </value>
        </values>
      </ddeItem>
      <ddeItem name="644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2022/07/11</val>
          </value>
          <value t="str">
            <val>2.00</val>
          </value>
          <value>
            <val>4.62</val>
          </value>
          <value t="str">
            <val>4.27</val>
          </value>
          <value t="str">
            <val>1.17</val>
          </value>
          <value t="str">
            <val>鈺邦</val>
          </value>
          <value t="str">
            <val>上市電子零組件</val>
          </value>
          <value t="str">
            <val>全台最大及全球前三大固態電容廠</val>
          </value>
        </values>
      </ddeItem>
      <ddeItem name="6449.TW-CName,InvestorConferenceDate,DateofMeetingofShareHolders,TradingDate" advise="1">
        <values cols="4">
          <value t="str">
            <val>鈺邦</val>
          </value>
          <value t="str">
            <val>2022/12/14</val>
          </value>
          <value t="str">
            <val>2022/06/21</val>
          </value>
          <value t="str">
            <val>2022/12/22</val>
          </value>
        </values>
      </ddeItem>
      <ddeItem name="6449.TW-ID,Name,MarketValue,Capital,NetIncomeGrowthRate,OperIncomeGrowthRate,FinancialStatementsTime,TFXRatio,MonthlyNetSalesYoY,RevenueMonth" advise="1">
        <values cols="10">
          <value t="str">
            <val>6449</val>
          </value>
          <value t="str">
            <val>鈺邦</val>
          </value>
          <value t="str">
            <val>38.5</val>
          </value>
          <value t="str">
            <val>8.90</val>
          </value>
          <value t="str">
            <val>31.42</val>
          </value>
          <value t="str">
            <val>-36.66</val>
          </value>
          <value t="str">
            <val>2022/09</val>
          </value>
          <value t="str">
            <val>-1.31</val>
          </value>
          <value t="str">
            <val>-18.67</val>
          </value>
          <value t="str">
            <val>2022/11</val>
          </value>
        </values>
      </ddeItem>
      <ddeItem name="6449.TW-OperatingProfitRatio,Price,PriceChangeRatio,InOutRatioNumber,Value,YearReturn,MonthReturn,WeekReturn,FinanceBalanceDif,ChipsField2" advise="1">
        <values cols="10">
          <value t="str">
            <val>10.27</val>
          </value>
          <value>
            <val>43.25</val>
          </value>
          <value>
            <val>-0.12</val>
          </value>
          <value t="str">
            <val>7.69%</val>
          </value>
          <value t="str">
            <val>56.3萬</val>
          </value>
          <value t="str">
            <val>-20.56</val>
          </value>
          <value t="str">
            <val>+4.98</val>
          </value>
          <value t="str">
            <val>-1.48</val>
          </value>
          <value>
            <val>-1</val>
          </value>
          <value>
            <val>0</val>
          </value>
        </values>
      </ddeItem>
      <ddeItem name="6451.TW-ChipsField3,ChipsField1,ChipsField25,CashAndStockDividend,CashDividendYieldRate,ProfitFourSeason,ProfitSingle,CName,ExchangeIndustry,CompanyPos" advise="1">
        <values cols="10">
          <value>
            <val>-6</val>
          </value>
          <value>
            <val>219</val>
          </value>
          <value t="str">
            <val>2022/07/27</val>
          </value>
          <value t="str">
            <val>2.56</val>
          </value>
          <value>
            <val>2.78</val>
          </value>
          <value t="str">
            <val>1.68</val>
          </value>
          <value t="str">
            <val>1.61</val>
          </value>
          <value t="str">
            <val>訊芯-KY</val>
          </value>
          <value t="str">
            <val>上市半導體</val>
          </value>
          <value t="str">
            <val>鴻海旗下SiP模組封裝廠商</val>
          </value>
        </values>
      </ddeItem>
      <ddeItem name="6451.TW-CName,InvestorConferenceDate,DateofMeetingofShareHolders,TradingDate" advise="1">
        <values cols="4">
          <value t="str">
            <val>訊芯-KY</val>
          </value>
          <value t="str">
            <val>2022/11/18</val>
          </value>
          <value t="str">
            <val>2022/06/23</val>
          </value>
          <value t="str">
            <val>2022/12/22</val>
          </value>
        </values>
      </ddeItem>
      <ddeItem name="6451.TW-ID,Name,MarketValue,Capital,NetIncomeGrowthRate,OperIncomeGrowthRate,FinancialStatementsTime,TFXRatio,MonthlyNetSalesYoY,RevenueMonth" advise="1">
        <values cols="10">
          <value t="str">
            <val>6451</val>
          </value>
          <value t="str">
            <val>訊芯-KY</val>
          </value>
          <value t="str">
            <val>99.0</val>
          </value>
          <value t="str">
            <val>10.75</val>
          </value>
          <value t="str">
            <val>-53.33</val>
          </value>
          <value t="str">
            <val>-182.84</val>
          </value>
          <value t="str">
            <val>2022/09</val>
          </value>
          <value t="str">
            <val>2.08</val>
          </value>
          <value t="str">
            <val>60.92</val>
          </value>
          <value t="str">
            <val>2022/11</val>
          </value>
        </values>
      </ddeItem>
      <ddeItem name="6451.TW-OperatingProfitRatio,Price,PriceChangeRatio,InOutRatioNumber,Value,YearReturn,MonthReturn,WeekReturn,FinanceBalanceDif,ChipsField2" advise="1">
        <values cols="10">
          <value t="str">
            <val>-2.80</val>
          </value>
          <value>
            <val>92.1</val>
          </value>
          <value>
            <val>-2.33</val>
          </value>
          <value t="str">
            <val>27.07%</val>
          </value>
          <value t="str">
            <val>1.49億</val>
          </value>
          <value t="str">
            <val>+4.25</val>
          </value>
          <value t="str">
            <val>+20.55</val>
          </value>
          <value t="str">
            <val>+0.11</val>
          </value>
          <value>
            <val>17</val>
          </value>
          <value>
            <val>0</val>
          </value>
        </values>
      </ddeItem>
      <ddeItem name="6456.TW-ChipsField3,ChipsField1,ChipsField25,CashAndStockDividend,CashDividendYieldRate,ProfitFourSeason,ProfitSingle,CName,ExchangeIndustry,CompanyPos" advise="1">
        <values cols="10">
          <value>
            <val>72</val>
          </value>
          <value>
            <val>-14</val>
          </value>
          <value t="str">
            <val>2022/05/31</val>
          </value>
          <value t="str">
            <val>5.00</val>
          </value>
          <value>
            <val>5.4</val>
          </value>
          <value t="str">
            <val>11.89</val>
          </value>
          <value t="str">
            <val>4.58</val>
          </value>
          <value t="str">
            <val>GIS-KY</val>
          </value>
          <value t="str">
            <val>上市光電</val>
          </value>
          <value t="str">
            <val>鴻海集團旗下的觸控面板模組廠</val>
          </value>
        </values>
      </ddeItem>
      <ddeItem name="6456.TW-CName,InvestorConferenceDate,DateofMeetingofShareHolders,TradingDate" advise="1">
        <values cols="4">
          <value t="str">
            <val>GIS-KY</val>
          </value>
          <value t="str">
            <val>2022/11/18</val>
          </value>
          <value t="str">
            <val>2022/05/31</val>
          </value>
          <value t="str">
            <val>2022/12/22</val>
          </value>
        </values>
      </ddeItem>
      <ddeItem name="6456.TW-ID,Name,MarketValue,Capital,NetIncomeGrowthRate,OperIncomeGrowthRate,FinancialStatementsTime,TFXRatio,MonthlyNetSalesYoY,RevenueMonth" advise="1">
        <values cols="10">
          <value t="str">
            <val>6456</val>
          </value>
          <value t="str">
            <val>GIS-KY</val>
          </value>
          <value t="str">
            <val>312.9</val>
          </value>
          <value t="str">
            <val>33.79</val>
          </value>
          <value t="str">
            <val>-13.53</val>
          </value>
          <value t="str">
            <val>2.59</val>
          </value>
          <value t="str">
            <val>2022/09</val>
          </value>
          <value t="str">
            <val>-9.19</val>
          </value>
          <value t="str">
            <val>7.80</val>
          </value>
          <value t="str">
            <val>2022/11</val>
          </value>
        </values>
      </ddeItem>
      <ddeItem name="6456.TW-OperatingProfitRatio,Price,PriceChangeRatio,InOutRatioNumber,Value,YearReturn,MonthReturn,WeekReturn,FinanceBalanceDif,ChipsField2" advise="1">
        <values cols="10">
          <value t="str">
            <val>2.70</val>
          </value>
          <value>
            <val>92.6</val>
          </value>
          <value>
            <val>-0.86</val>
          </value>
          <value t="str">
            <val>36.10%</val>
          </value>
          <value t="str">
            <val>8422萬</val>
          </value>
          <value t="str">
            <val>-6.77</val>
          </value>
          <value t="str">
            <val>+3.35</val>
          </value>
          <value t="str">
            <val>-3.14</val>
          </value>
          <value>
            <val>-45</val>
          </value>
          <value>
            <val>22</val>
          </value>
        </values>
      </ddeItem>
      <ddeItem name="646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-8</val>
          </value>
          <value t="str">
            <val>2022/07/27</val>
          </value>
          <value t="str">
            <val>4.60</val>
          </value>
          <value>
            <val>4.7</val>
          </value>
          <value t="str">
            <val>7.72</val>
          </value>
          <value t="str">
            <val>1.61</val>
          </value>
          <value t="str">
            <val>台數科</val>
          </value>
          <value t="str">
            <val>上市其他</val>
          </value>
          <value t="str">
            <val>台灣唯一由本土有線電視業者成立的多系統經營者</val>
          </value>
        </values>
      </ddeItem>
      <ddeItem name="6464.TW-CName,InvestorConferenceDate,DateofMeetingofShareHolders,TradingDate" advise="1">
        <values cols="4">
          <value t="str">
            <val>台數科</val>
          </value>
          <value t="str">
            <val>2022/11/22</val>
          </value>
          <value t="str">
            <val>2022/05/31</val>
          </value>
          <value t="str">
            <val>2022/12/22</val>
          </value>
        </values>
      </ddeItem>
      <ddeItem name="6464.TW-ID,Name,MarketValue,Capital,NetIncomeGrowthRate,OperIncomeGrowthRate,FinancialStatementsTime,TFXRatio,MonthlyNetSalesYoY,RevenueMonth" advise="1">
        <values cols="10">
          <value t="str">
            <val>6464</val>
          </value>
          <value t="str">
            <val>台數科</val>
          </value>
          <value t="str">
            <val>128.8</val>
          </value>
          <value t="str">
            <val>13.16</val>
          </value>
          <value t="str">
            <val>-6.74</val>
          </value>
          <value t="str">
            <val>-2.66</val>
          </value>
          <value t="str">
            <val>2022/09</val>
          </value>
          <value t="str">
            <val>-3.70</val>
          </value>
          <value t="str">
            <val>1.79</val>
          </value>
          <value t="str">
            <val>2022/11</val>
          </value>
        </values>
      </ddeItem>
      <ddeItem name="6464.TW-OperatingProfitRatio,Price,PriceChangeRatio,InOutRatioNumber,Value,YearReturn,MonthReturn,WeekReturn,FinanceBalanceDif,ChipsField2" advise="1">
        <values cols="10">
          <value t="str">
            <val>33.48</val>
          </value>
          <value>
            <val>97.9</val>
          </value>
          <value>
            <val>0.41</val>
          </value>
          <value t="str">
            <val>85.19%</val>
          </value>
          <value t="str">
            <val>526萬</val>
          </value>
          <value t="str">
            <val>+11.16</val>
          </value>
          <value t="str">
            <val>-0.41</val>
          </value>
          <value t="str">
            <val>-1.81</val>
          </value>
          <value>
            <val>-3</val>
          </value>
          <value>
            <val>0</val>
          </value>
        </values>
      </ddeItem>
      <ddeItem name="6477.TW-ChipsField3,ChipsField1,ChipsField25,CashAndStockDividend,CashDividendYieldRate,ProfitFourSeason,ProfitSingle,CName,ExchangeIndustry,CompanyPos" advise="1">
        <values cols="10">
          <value>
            <val>-8</val>
          </value>
          <value>
            <val>-44</val>
          </value>
          <value t="str">
            <val>2022/06/23</val>
          </value>
          <value t="str">
            <val>0.51</val>
          </value>
          <value>
            <val>1.1299999999999999</val>
          </value>
          <value t="str">
            <val>1.55</val>
          </value>
          <value t="str">
            <val>0.81</val>
          </value>
          <value t="str">
            <val>安集</val>
          </value>
          <value t="str">
            <val>上市光電</val>
          </value>
          <value t="str">
            <val>台灣太陽能電池模組製造商</val>
          </value>
        </values>
      </ddeItem>
      <ddeItem name="6477.TW-CName,InvestorConferenceDate,DateofMeetingofShareHolders,TradingDate" advise="1">
        <values cols="4">
          <value t="str">
            <val>安集</val>
          </value>
          <value t="str">
            <val>2022/11/11</val>
          </value>
          <value t="str">
            <val>2022/05/26</val>
          </value>
          <value t="str">
            <val>2022/12/22</val>
          </value>
        </values>
      </ddeItem>
      <ddeItem name="6477.TW-ID,Name,MarketValue,Capital,NetIncomeGrowthRate,OperIncomeGrowthRate,FinancialStatementsTime,TFXRatio,MonthlyNetSalesYoY,RevenueMonth" advise="1">
        <values cols="10">
          <value t="str">
            <val>6477</val>
          </value>
          <value t="str">
            <val>安集</val>
          </value>
          <value t="str">
            <val>53.0</val>
          </value>
          <value t="str">
            <val>12.12</val>
          </value>
          <value t="str">
            <val>49.05</val>
          </value>
          <value t="str">
            <val>46.13</val>
          </value>
          <value t="str">
            <val>2022/09</val>
          </value>
          <value t="str">
            <val>-3.77</val>
          </value>
          <value t="str">
            <val>41.22</val>
          </value>
          <value t="str">
            <val>2022/11</val>
          </value>
        </values>
      </ddeItem>
      <ddeItem name="6477.TW-OperatingProfitRatio,Price,PriceChangeRatio,InOutRatioNumber,Value,YearReturn,MonthReturn,WeekReturn,FinanceBalanceDif,ChipsField2" advise="1">
        <values cols="10">
          <value t="str">
            <val>8.78</val>
          </value>
          <value>
            <val>45.05</val>
          </value>
          <value>
            <val>1.69</val>
          </value>
          <value t="str">
            <val>47.29%</val>
          </value>
          <value t="str">
            <val>3782萬</val>
          </value>
          <value t="str">
            <val>-5.06</val>
          </value>
          <value t="str">
            <val>-1.96</val>
          </value>
          <value t="str">
            <val>-7.49</val>
          </value>
          <value>
            <val>86</val>
          </value>
          <value>
            <val>-276</val>
          </value>
        </values>
      </ddeItem>
      <ddeItem name="6491.TW-ChipsField3,ChipsField1,ChipsField25,CashAndStockDividend,CashDividendYieldRate,ProfitFourSeason,ProfitSingle,CName,ExchangeIndustry,CompanyPos" advise="1">
        <values cols="10">
          <value>
            <val>5</val>
          </value>
          <value>
            <val>110</val>
          </value>
          <value t="str">
            <val>2022/06/09</val>
          </value>
          <value t="str">
            <val>8.50</val>
          </value>
          <value>
            <val>2.06</val>
          </value>
          <value t="str">
            <val>21.30</val>
          </value>
          <value t="str">
            <val>6.02</val>
          </value>
          <value t="str">
            <val>晶碩</val>
          </value>
          <value t="str">
            <val>上市生技醫療</val>
          </value>
          <value t="str">
            <val>和碩轉投資之隱形眼鏡公司</val>
          </value>
        </values>
      </ddeItem>
      <ddeItem name="6491.TW-CName,InvestorConferenceDate,DateofMeetingofShareHolders,TradingDate" advise="1">
        <values cols="4">
          <value t="str">
            <val>晶碩</val>
          </value>
          <value t="str">
            <val>2022/07/27</val>
          </value>
          <value t="str">
            <val>2022/05/24</val>
          </value>
          <value t="str">
            <val>2022/12/22</val>
          </value>
        </values>
      </ddeItem>
      <ddeItem name="6491.TW-ID,Name,MarketValue,Capital,NetIncomeGrowthRate,OperIncomeGrowthRate,FinancialStatementsTime,TFXRatio,MonthlyNetSalesYoY,RevenueMonth" advise="1">
        <values cols="10">
          <value t="str">
            <val>6491</val>
          </value>
          <value t="str">
            <val>晶碩</val>
          </value>
          <value t="str">
            <val>288.8</val>
          </value>
          <value t="str">
            <val>7.00</val>
          </value>
          <value t="str">
            <val>27.23</val>
          </value>
          <value t="str">
            <val>25.98</val>
          </value>
          <value t="str">
            <val>2022/09</val>
          </value>
          <value t="str">
            <val>-6.08</val>
          </value>
          <value t="str">
            <val>5.10</val>
          </value>
          <value t="str">
            <val>2022/11</val>
          </value>
        </values>
      </ddeItem>
      <ddeItem name="6491.TW-OperatingProfitRatio,Price,PriceChangeRatio,InOutRatioNumber,Value,YearReturn,MonthReturn,WeekReturn,FinanceBalanceDif,ChipsField2" advise="1">
        <values cols="10">
          <value t="str">
            <val>28.46</val>
          </value>
          <value>
            <val>412.5</val>
          </value>
          <value>
            <val>-1.08</val>
          </value>
          <value t="str">
            <val>50.86%</val>
          </value>
          <value t="str">
            <val>7.09億</val>
          </value>
          <value t="str">
            <val>+3.81</val>
          </value>
          <value t="str">
            <val>+30.13</val>
          </value>
          <value t="str">
            <val>-0.60</val>
          </value>
          <value>
            <val>-24</val>
          </value>
          <value>
            <val>122</val>
          </value>
        </values>
      </ddeItem>
      <ddeItem name="6504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11</val>
          </value>
          <value t="str">
            <val>2022/09/13</val>
          </value>
          <value t="str">
            <val>1.20</val>
          </value>
          <value>
            <val>1.64</val>
          </value>
          <value t="str">
            <val>0.59</val>
          </value>
          <value t="str">
            <val>0.49</val>
          </value>
          <value t="str">
            <val>南六</val>
          </value>
          <value t="str">
            <val>上市其他</val>
          </value>
          <value t="str">
            <val>亞洲最大的水針不織布廠商</val>
          </value>
        </values>
      </ddeItem>
      <ddeItem name="6504.TW-CName,InvestorConferenceDate,DateofMeetingofShareHolders,TradingDate" advise="1">
        <values cols="4">
          <value t="str">
            <val>南六</val>
          </value>
          <value t="str">
            <val>2022/12/02</val>
          </value>
          <value t="str">
            <val>2022/05/31</val>
          </value>
          <value t="str">
            <val>2022/12/22</val>
          </value>
        </values>
      </ddeItem>
      <ddeItem name="6504.TW-ID,Name,MarketValue,Capital,NetIncomeGrowthRate,OperIncomeGrowthRate,FinancialStatementsTime,TFXRatio,MonthlyNetSalesYoY,RevenueMonth" advise="1">
        <values cols="10">
          <value t="str">
            <val>6504</val>
          </value>
          <value t="str">
            <val>南六</val>
          </value>
          <value t="str">
            <val>53.2</val>
          </value>
          <value t="str">
            <val>7.26</val>
          </value>
          <value t="str">
            <val>-46.88</val>
          </value>
          <value t="str">
            <val>-107.37</val>
          </value>
          <value t="str">
            <val>2022/09</val>
          </value>
          <value t="str">
            <val>-16.79</val>
          </value>
          <value t="str">
            <val>-17.36</val>
          </value>
          <value t="str">
            <val>2022/11</val>
          </value>
        </values>
      </ddeItem>
      <ddeItem name="6504.TW-OperatingProfitRatio,Price,PriceChangeRatio,InOutRatioNumber,Value,YearReturn,MonthReturn,WeekReturn,FinanceBalanceDif,ChipsField2" advise="1">
        <values cols="10">
          <value t="str">
            <val>-0.39</val>
          </value>
          <value>
            <val>73.3</val>
          </value>
          <value>
            <val>-0.41</val>
          </value>
          <value t="str">
            <val>31.91%</val>
          </value>
          <value t="str">
            <val>746萬</val>
          </value>
          <value t="str">
            <val>-34.47</val>
          </value>
          <value t="str">
            <val>+2.95</val>
          </value>
          <value t="str">
            <val>+1.24</val>
          </value>
          <value>
            <val>-13</val>
          </value>
          <value>
            <val>0</val>
          </value>
        </values>
      </ddeItem>
      <ddeItem name="6505.TW-ChipsField3,ChipsField1,ChipsField25,CashAndStockDividend,CashDividendYieldRate,ProfitFourSeason,ProfitSingle,CName,ExchangeIndustry,CompanyPos" advise="1">
        <values cols="10">
          <value>
            <val>-400</val>
          </value>
          <value>
            <val>-163</val>
          </value>
          <value t="str">
            <val>2022/06/21</val>
          </value>
          <value t="str">
            <val>3.80</val>
          </value>
          <value>
            <val>4.6900000000000004</val>
          </value>
          <value t="str">
            <val>3.35</val>
          </value>
          <value t="str">
            <val>-0.66</val>
          </value>
          <value t="str">
            <val>台塑化</val>
          </value>
          <value t="str">
            <val>上市油電燃氣</val>
          </value>
          <value t="str">
            <val>台灣最大的民營輕油裂解廠</val>
          </value>
        </values>
      </ddeItem>
      <ddeItem name="6505.TW-CName,InvestorConferenceDate,DateofMeetingofShareHolders,TradingDate" advise="1">
        <values cols="4">
          <value t="str">
            <val>台塑化</val>
          </value>
          <value t="str">
            <val>2022/11/30</val>
          </value>
          <value t="str">
            <val>2022/05/31</val>
          </value>
          <value t="str">
            <val>2022/12/22</val>
          </value>
        </values>
      </ddeItem>
      <ddeItem name="6505.TW-ID,Name,MarketValue,Capital,NetIncomeGrowthRate,OperIncomeGrowthRate,FinancialStatementsTime,TFXRatio,MonthlyNetSalesYoY,RevenueMonth" advise="1">
        <values cols="10">
          <value t="str">
            <val>6505</val>
          </value>
          <value t="str">
            <val>台塑化</val>
          </value>
          <value t="str">
            <val>7716.0</val>
          </value>
          <value t="str">
            <val>952.60</val>
          </value>
          <value t="str">
            <val>-41.85</val>
          </value>
          <value t="str">
            <val>-60.65</val>
          </value>
          <value t="str">
            <val>2022/09</val>
          </value>
          <value t="str">
            <val>-11.06</val>
          </value>
          <value t="str">
            <val>4.58</val>
          </value>
          <value t="str">
            <val>2022/11</val>
          </value>
        </values>
      </ddeItem>
      <ddeItem name="6505.TW-OperatingProfitRatio,Price,PriceChangeRatio,InOutRatioNumber,Value,YearReturn,MonthReturn,WeekReturn,FinanceBalanceDif,ChipsField2" advise="1">
        <values cols="10">
          <value t="str">
            <val>2.79</val>
          </value>
          <value>
            <val>81</val>
          </value>
          <value>
            <val>1.76</val>
          </value>
          <value t="str">
            <val>54.14%</val>
          </value>
          <value t="str">
            <val>9170萬</val>
          </value>
          <value t="str">
            <val>-11.16</val>
          </value>
          <value t="str">
            <val>-2.17</val>
          </value>
          <value t="str">
            <val>-2.17</val>
          </value>
          <value>
            <val>9</val>
          </value>
          <value>
            <val>0</val>
          </value>
        </values>
      </ddeItem>
      <ddeItem name="6515.TW-ChipsField3,ChipsField1,ChipsField25,CashAndStockDividend,CashDividendYieldRate,ProfitFourSeason,ProfitSingle,CName,ExchangeIndustry,CompanyPos" advise="1">
        <values cols="10">
          <value>
            <val>11</val>
          </value>
          <value>
            <val>-110</val>
          </value>
          <value t="str">
            <val>2022/07/01</val>
          </value>
          <value t="str">
            <val>10.98</val>
          </value>
          <value>
            <val>2.68</val>
          </value>
          <value t="str">
            <val>27.44</val>
          </value>
          <value t="str">
            <val>10.76</val>
          </value>
          <value t="str">
            <val>穎崴</val>
          </value>
          <value t="str">
            <val>上市半導體</val>
          </value>
          <value t="str">
            <val>台灣晶圓檢測測試治具和探針卡廠</val>
          </value>
        </values>
      </ddeItem>
      <ddeItem name="6515.TW-CName,InvestorConferenceDate,DateofMeetingofShareHolders,TradingDate" advise="1">
        <values cols="4">
          <value t="str">
            <val>穎崴</val>
          </value>
          <value t="str">
            <val>2022/08/18</val>
          </value>
          <value t="str">
            <val>2022/06/24</val>
          </value>
          <value t="str">
            <val>2022/12/22</val>
          </value>
        </values>
      </ddeItem>
      <ddeItem name="6515.TW-ID,Name,MarketValue,Capital,NetIncomeGrowthRate,OperIncomeGrowthRate,FinancialStatementsTime,TFXRatio,MonthlyNetSalesYoY,RevenueMonth" advise="1">
        <values cols="10">
          <value t="str">
            <val>6515</val>
          </value>
          <value t="str">
            <val>穎崴</val>
          </value>
          <value t="str">
            <val>141.6</val>
          </value>
          <value t="str">
            <val>3.45</val>
          </value>
          <value t="str">
            <val>177.96</val>
          </value>
          <value t="str">
            <val>160.95</val>
          </value>
          <value t="str">
            <val>2022/09</val>
          </value>
          <value t="str">
            <val>17.58</val>
          </value>
          <value t="str">
            <val>96.72</val>
          </value>
          <value t="str">
            <val>2022/11</val>
          </value>
        </values>
      </ddeItem>
      <ddeItem name="6515.TW-OperatingProfitRatio,Price,PriceChangeRatio,InOutRatioNumber,Value,YearReturn,MonthReturn,WeekReturn,FinanceBalanceDif,ChipsField2" advise="1">
        <values cols="10">
          <value t="str">
            <val>24.00</val>
          </value>
          <value>
            <val>410</val>
          </value>
          <value>
            <val>-0.49</val>
          </value>
          <value t="str">
            <val>46.21%</val>
          </value>
          <value t="str">
            <val>1.60億</val>
          </value>
          <value t="str">
            <val>+12.89</val>
          </value>
          <value t="str">
            <val>+14.05</val>
          </value>
          <value t="str">
            <val>-8.79</val>
          </value>
          <value>
            <val>14</val>
          </value>
          <value>
            <val>40</val>
          </value>
        </values>
      </ddeItem>
      <ddeItem name="652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-8</val>
          </value>
          <value t="str">
            <val>2022/07/19</val>
          </value>
          <value t="str">
            <val>5.50</val>
          </value>
          <value>
            <val>7.91</val>
          </value>
          <value t="str">
            <val>7.89</val>
          </value>
          <value t="str">
            <val>2.27</val>
          </value>
          <value t="str">
            <val>捷敏-KY</val>
          </value>
          <value t="str">
            <val>上市半導體</val>
          </value>
          <value t="str">
            <val>全球前三大專業功率半導體封測企業</val>
          </value>
        </values>
      </ddeItem>
      <ddeItem name="6525.TW-CName,InvestorConferenceDate,DateofMeetingofShareHolders,TradingDate" advise="1">
        <values cols="4">
          <value t="str">
            <val>捷敏-KY</val>
          </value>
          <value t="str">
            <val>2022/03/30</val>
          </value>
          <value t="str">
            <val>2022/06/27</val>
          </value>
          <value t="str">
            <val>2022/12/22</val>
          </value>
        </values>
      </ddeItem>
      <ddeItem name="6525.TW-ID,Name,MarketValue,Capital,NetIncomeGrowthRate,OperIncomeGrowthRate,FinancialStatementsTime,TFXRatio,MonthlyNetSalesYoY,RevenueMonth" advise="1">
        <values cols="10">
          <value t="str">
            <val>6525</val>
          </value>
          <value t="str">
            <val>捷敏-KY</val>
          </value>
          <value t="str">
            <val>89.7</val>
          </value>
          <value t="str">
            <val>12.90</val>
          </value>
          <value t="str">
            <val>24.50</val>
          </value>
          <value t="str">
            <val>-15.38</val>
          </value>
          <value t="str">
            <val>2022/09</val>
          </value>
          <value t="str">
            <val>6.31</val>
          </value>
          <value t="str">
            <val>6.45</val>
          </value>
          <value t="str">
            <val>2022/11</val>
          </value>
        </values>
      </ddeItem>
      <ddeItem name="6525.TW-OperatingProfitRatio,Price,PriceChangeRatio,InOutRatioNumber,Value,YearReturn,MonthReturn,WeekReturn,FinanceBalanceDif,ChipsField2" advise="1">
        <values cols="10">
          <value t="str">
            <val>17.34</val>
          </value>
          <value>
            <val>69.5</val>
          </value>
          <value>
            <val>0</val>
          </value>
          <value t="str">
            <val>48.05%</val>
          </value>
          <value t="str">
            <val>538萬</val>
          </value>
          <value t="str">
            <val>-17.95</val>
          </value>
          <value t="str">
            <val>+0.14</val>
          </value>
          <value t="str">
            <val>-3.34</val>
          </value>
          <value>
            <val>-1</val>
          </value>
          <value>
            <val>0</val>
          </value>
        </values>
      </ddeItem>
      <ddeItem name="6531.TW-ChipsField3,ChipsField1,ChipsField25,CashAndStockDividend,CashDividendYieldRate,ProfitFourSeason,ProfitSingle,CName,ExchangeIndustry,CompanyPos" advise="1">
        <values cols="10">
          <value>
            <val>-45</val>
          </value>
          <value>
            <val>177</val>
          </value>
          <value t="str">
            <val>2022/06/21</val>
          </value>
          <value t="str">
            <val>6.00</val>
          </value>
          <value>
            <val>3.53</val>
          </value>
          <value t="str">
            <val>15.39</val>
          </value>
          <value t="str">
            <val>4.32</val>
          </value>
          <value t="str">
            <val>愛普*</val>
          </value>
          <value t="str">
            <val>上市半導體</val>
          </value>
          <value t="str">
            <val>從事行動記憶體IC設計及IP設計的公司</val>
          </value>
        </values>
      </ddeItem>
      <ddeItem name="6531.TW-CName,InvestorConferenceDate,DateofMeetingofShareHolders,TradingDate" advise="1">
        <values cols="4">
          <value t="str">
            <val>愛普*</val>
          </value>
          <value t="str">
            <val>2022/11/01</val>
          </value>
          <value t="str">
            <val>2022/05/27</val>
          </value>
          <value t="str">
            <val>2022/12/22</val>
          </value>
        </values>
      </ddeItem>
      <ddeItem name="6531.TW-ID,Name,MarketValue,Capital,NetIncomeGrowthRate,OperIncomeGrowthRate,FinancialStatementsTime,TFXRatio,MonthlyNetSalesYoY,RevenueMonth" advise="1">
        <values cols="10">
          <value t="str">
            <val>6531</val>
          </value>
          <value t="str">
            <val>愛普*</val>
          </value>
          <value t="str">
            <val>274.5</val>
          </value>
          <value t="str">
            <val>8.07</val>
          </value>
          <value t="str">
            <val>26.62</val>
          </value>
          <value t="str">
            <val>-24.45</val>
          </value>
          <value t="str">
            <val>2022/09</val>
          </value>
          <value t="str">
            <val>-17.46</val>
          </value>
          <value t="str">
            <val>-55.82</val>
          </value>
          <value t="str">
            <val>2022/11</val>
          </value>
        </values>
      </ddeItem>
      <ddeItem name="6531.TW-OperatingProfitRatio,Price,PriceChangeRatio,InOutRatioNumber,Value,YearReturn,MonthReturn,WeekReturn,FinanceBalanceDif,ChipsField2" advise="1">
        <values cols="10">
          <value t="str">
            <val>30.90</val>
          </value>
          <value>
            <val>170</val>
          </value>
          <value>
            <val>-1.1599999999999999</val>
          </value>
          <value t="str">
            <val>31.38%</val>
          </value>
          <value t="str">
            <val>2.59億</val>
          </value>
          <value t="str">
            <val>-64.43</val>
          </value>
          <value t="str">
            <val>-17.87</val>
          </value>
          <value t="str">
            <val>-10.76</val>
          </value>
          <value>
            <val>-57</val>
          </value>
          <value>
            <val>-160</val>
          </value>
        </values>
      </ddeItem>
      <ddeItem name="6533.TW-ChipsField3,ChipsField1,ChipsField25,CashAndStockDividend,CashDividendYieldRate,ProfitFourSeason,ProfitSingle,CName,ExchangeIndustry,CompanyPos" advise="1">
        <values cols="10">
          <value>
            <val>-10</val>
          </value>
          <value>
            <val>-211</val>
          </value>
          <value t="str">
            <val>2022/06/22</val>
          </value>
          <value t="str">
            <val>2.85</val>
          </value>
          <value>
            <val>0.56999999999999995</val>
          </value>
          <value t="str">
            <val>10.53</val>
          </value>
          <value t="str">
            <val>5.77</val>
          </value>
          <value t="str">
            <val>晶心科</val>
          </value>
          <value t="str">
            <val>上市半導體</val>
          </value>
          <value t="str">
            <val>聯發科旗下嵌入式微處理器核心IP設計公司</val>
          </value>
        </values>
      </ddeItem>
      <ddeItem name="6533.TW-CName,InvestorConferenceDate,DateofMeetingofShareHolders,TradingDate" advise="1">
        <values cols="4">
          <value t="str">
            <val>晶心科</val>
          </value>
          <value t="str">
            <val>2022/09/15</val>
          </value>
          <value t="str">
            <val>2022/05/26</val>
          </value>
          <value t="str">
            <val>2022/12/22</val>
          </value>
        </values>
      </ddeItem>
      <ddeItem name="6533.TW-ID,Name,MarketValue,Capital,NetIncomeGrowthRate,OperIncomeGrowthRate,FinancialStatementsTime,TFXRatio,MonthlyNetSalesYoY,RevenueMonth" advise="1">
        <values cols="10">
          <value t="str">
            <val>6533</val>
          </value>
          <value t="str">
            <val>晶心科</val>
          </value>
          <value t="str">
            <val>254.8</val>
          </value>
          <value t="str">
            <val>5.07</val>
          </value>
          <value t="str">
            <val>271.23</val>
          </value>
          <value t="str">
            <val>-136.22</val>
          </value>
          <value t="str">
            <val>2022/09</val>
          </value>
          <value t="str">
            <val>-2.14</val>
          </value>
          <value t="str">
            <val>112.13</val>
          </value>
          <value t="str">
            <val>2022/11</val>
          </value>
        </values>
      </ddeItem>
      <ddeItem name="6533.TW-OperatingProfitRatio,Price,PriceChangeRatio,InOutRatioNumber,Value,YearReturn,MonthReturn,WeekReturn,FinanceBalanceDif,ChipsField2" advise="1">
        <values cols="10">
          <value t="str">
            <val>-6.16</val>
          </value>
          <value>
            <val>503</val>
          </value>
          <value>
            <val>-2.33</val>
          </value>
          <value t="str">
            <val>41.08%</val>
          </value>
          <value t="str">
            <val>21.1億</val>
          </value>
          <value t="str">
            <val>-4.47</val>
          </value>
          <value t="str">
            <val>-8.88</val>
          </value>
          <value t="str">
            <val>-7.54</val>
          </value>
          <value>
            <val>119</val>
          </value>
          <value>
            <val>0</val>
          </value>
        </values>
      </ddeItem>
      <ddeItem name="6541.TW-ChipsField3,ChipsField1,ChipsField25,CashAndStockDividend,CashDividendYieldRate,ProfitFourSeason,ProfitSingle,CName,ExchangeIndustry,CompanyPos" advise="1">
        <values cols="10">
          <value>
            <val>2</val>
          </value>
          <value>
            <val>8</val>
          </value>
          <value t="str">
            <val>--</val>
          </value>
          <value t="str">
            <val>0.00</val>
          </value>
          <value>
            <val>0</val>
          </value>
          <value t="str">
            <val>-4.38</val>
          </value>
          <value t="str">
            <val>-1.15</val>
          </value>
          <value t="str">
            <val>泰福-KY</val>
          </value>
          <value t="str">
            <val>上市生技醫療</val>
          </value>
          <value t="str">
            <val>免疫、癌症等領域生物相似藥及新藥研發</val>
          </value>
        </values>
      </ddeItem>
      <ddeItem name="6541.TW-CName,InvestorConferenceDate,DateofMeetingofShareHolders,TradingDate" advise="1">
        <values cols="4">
          <value t="str">
            <val>泰福-KY</val>
          </value>
          <value t="str">
            <val>2022/08/24</val>
          </value>
          <value t="str">
            <val>2022/12/13</val>
          </value>
          <value t="str">
            <val>2022/12/22</val>
          </value>
        </values>
      </ddeItem>
      <ddeItem name="6541.TW-ID,Name,MarketValue,Capital,NetIncomeGrowthRate,OperIncomeGrowthRate,FinancialStatementsTime,TFXRatio,MonthlyNetSalesYoY,RevenueMonth" advise="1">
        <values cols="10">
          <value t="str">
            <val>6541</val>
          </value>
          <value t="str">
            <val>泰福-KY</val>
          </value>
          <value t="str">
            <val>126.9</val>
          </value>
          <value t="str">
            <val>35.27</val>
          </value>
          <value t="str">
            <val>2.47</val>
          </value>
          <value t="str">
            <val>9.59</val>
          </value>
          <value t="str">
            <val>2022/09</val>
          </value>
          <value t="str">
            <val>17.31</val>
          </value>
          <value t="str">
            <val>310.29</val>
          </value>
          <value t="str">
            <val>2022/11</val>
          </value>
        </values>
      </ddeItem>
      <ddeItem name="6541.TW-OperatingProfitRatio,Price,PriceChangeRatio,InOutRatioNumber,Value,YearReturn,MonthReturn,WeekReturn,FinanceBalanceDif,ChipsField2" advise="1">
        <values cols="10">
          <value t="str">
            <val>-7869.10</val>
          </value>
          <value>
            <val>36</val>
          </value>
          <value>
            <val>0</val>
          </value>
          <value t="str">
            <val>43.43%</val>
          </value>
          <value t="str">
            <val>2520萬</val>
          </value>
          <value t="str">
            <val>-45.86</val>
          </value>
          <value t="str">
            <val>+17.26</val>
          </value>
          <value t="str">
            <val>-5.51</val>
          </value>
          <value>
            <val>0</val>
          </value>
          <value>
            <val>0</val>
          </value>
        </values>
      </ddeItem>
      <ddeItem name="6550.TW-ChipsField3,ChipsField1,ChipsField25,CashAndStockDividend,CashDividendYieldRate,ProfitFourSeason,ProfitSingle,CName,ExchangeIndustry,CompanyPos" advise="1">
        <values cols="10">
          <value>
            <val>-27</val>
          </value>
          <value>
            <val>-311</val>
          </value>
          <value t="str">
            <val>--</val>
          </value>
          <value t="str">
            <val>0.00</val>
          </value>
          <value>
            <val>0</val>
          </value>
          <value t="str">
            <val>-1.43</val>
          </value>
          <value t="str">
            <val>-0.41</val>
          </value>
          <value t="str">
            <val>北極星藥業-KY</val>
          </value>
          <value t="str">
            <val>上市生技醫療</val>
          </value>
          <value t="str">
            <val>聚焦標靶抗癌新藥研發</val>
          </value>
        </values>
      </ddeItem>
      <ddeItem name="6550.TW-CName,InvestorConferenceDate,DateofMeetingofShareHolders,TradingDate" advise="1">
        <values cols="4">
          <value t="str">
            <val>北極星藥業-KY</val>
          </value>
          <value t="str">
            <val>2022/12/08</val>
          </value>
          <value t="str">
            <val>2022/06/02</val>
          </value>
          <value t="str">
            <val>2022/12/22</val>
          </value>
        </values>
      </ddeItem>
      <ddeItem name="6550.TW-ID,Name,MarketValue,Capital,NetIncomeGrowthRate,OperIncomeGrowthRate,FinancialStatementsTime,TFXRatio,MonthlyNetSalesYoY,RevenueMonth" advise="1">
        <values cols="10">
          <value t="str">
            <val>6550</val>
          </value>
          <value t="str">
            <val>北極星藥業-KY</val>
          </value>
          <value t="str">
            <val>404.3</val>
          </value>
          <value t="str">
            <val>74.18</val>
          </value>
          <value t="str">
            <val>-48.58</val>
          </value>
          <value t="str">
            <val>-48.79</val>
          </value>
          <value t="str">
            <val>2022/09</val>
          </value>
          <value t="str">
            <val>-2.28</val>
          </value>
          <value t="str">
            <val>-89.90</val>
          </value>
          <value t="str">
            <val>2022/11</val>
          </value>
        </values>
      </ddeItem>
      <ddeItem name="6550.TW-OperatingProfitRatio,Price,PriceChangeRatio,InOutRatioNumber,Value,YearReturn,MonthReturn,WeekReturn,FinanceBalanceDif,ChipsField2" advise="1">
        <values cols="10">
          <value t="str">
            <val>-15061.08</val>
          </value>
          <value>
            <val>93</val>
          </value>
          <value>
            <val>3.22</val>
          </value>
          <value t="str">
            <val>55.88%</val>
          </value>
          <value t="str">
            <val>5.96億</val>
          </value>
          <value t="str">
            <val>--</val>
          </value>
          <value t="str">
            <val>-19.83</val>
          </value>
          <value t="str">
            <val>-8.37</val>
          </value>
          <value>
            <val>0</val>
          </value>
          <value>
            <val>0</val>
          </value>
        </values>
      </ddeItem>
      <ddeItem name="6552.TW-ChipsField3,ChipsField1,ChipsField25,CashAndStockDividend,CashDividendYieldRate,ProfitFourSeason,ProfitSingle,CName,ExchangeIndustry,CompanyPos" advise="1">
        <values cols="10">
          <value>
            <val>-2</val>
          </value>
          <value>
            <val>-1</val>
          </value>
          <value t="str">
            <val>2022/09/06</val>
          </value>
          <value t="str">
            <val>2.00</val>
          </value>
          <value>
            <val>6.43</val>
          </value>
          <value t="str">
            <val>2.05</val>
          </value>
          <value t="str">
            <val>0.00</val>
          </value>
          <value t="str">
            <val>易華電</val>
          </value>
          <value t="str">
            <val>上市半導體</val>
          </value>
          <value t="str">
            <val>長華轉投資之面板驅動IC用高階軟性基板廠</val>
          </value>
        </values>
      </ddeItem>
      <ddeItem name="6552.TW-CName,InvestorConferenceDate,DateofMeetingofShareHolders,TradingDate" advise="1">
        <values cols="4">
          <value t="str">
            <val>易華電</val>
          </value>
          <value t="str">
            <val>2022/11/29</val>
          </value>
          <value t="str">
            <val>2022/06/09</val>
          </value>
          <value t="str">
            <val>2022/12/22</val>
          </value>
        </values>
      </ddeItem>
      <ddeItem name="6552.TW-ID,Name,MarketValue,Capital,NetIncomeGrowthRate,OperIncomeGrowthRate,FinancialStatementsTime,TFXRatio,MonthlyNetSalesYoY,RevenueMonth" advise="1">
        <values cols="10">
          <value t="str">
            <val>6552</val>
          </value>
          <value t="str">
            <val>易華電</val>
          </value>
          <value t="str">
            <val>25.8</val>
          </value>
          <value t="str">
            <val>8.30</val>
          </value>
          <value t="str">
            <val>-54.61</val>
          </value>
          <value t="str">
            <val>-84.81</val>
          </value>
          <value t="str">
            <val>2022/09</val>
          </value>
          <value t="str">
            <val>23.41</val>
          </value>
          <value t="str">
            <val>-25.07</val>
          </value>
          <value t="str">
            <val>2022/11</val>
          </value>
        </values>
      </ddeItem>
      <ddeItem name="6552.TW-OperatingProfitRatio,Price,PriceChangeRatio,InOutRatioNumber,Value,YearReturn,MonthReturn,WeekReturn,FinanceBalanceDif,ChipsField2" advise="1">
        <values cols="10">
          <value t="str">
            <val>2.76</val>
          </value>
          <value>
            <val>31.1</val>
          </value>
          <value>
            <val>-1.27</val>
          </value>
          <value t="str">
            <val>52.50%</val>
          </value>
          <value t="str">
            <val>250萬</val>
          </value>
          <value t="str">
            <val>-38.45</val>
          </value>
          <value t="str">
            <val>-0.96</val>
          </value>
          <value t="str">
            <val>-4.31</val>
          </value>
          <value>
            <val>-4</val>
          </value>
          <value>
            <val>0</val>
          </value>
        </values>
      </ddeItem>
      <ddeItem name="6558.TW-ChipsField3,ChipsField1,ChipsField25,CashAndStockDividend,CashDividendYieldRate,ProfitFourSeason,ProfitSingle,CName,ExchangeIndustry,CompanyPos" advise="1">
        <values cols="10">
          <value>
            <val>-4</val>
          </value>
          <value>
            <val>21</val>
          </value>
          <value t="str">
            <val>--</val>
          </value>
          <value t="str">
            <val>0.00</val>
          </value>
          <value>
            <val>0</val>
          </value>
          <value t="str">
            <val>-0.63</val>
          </value>
          <value t="str">
            <val>0.01</val>
          </value>
          <value t="str">
            <val>興能高</val>
          </value>
          <value t="str">
            <val>上市其他電子</val>
          </value>
          <value t="str">
            <val>以穿載式應用為主的鋰電池廠商</val>
          </value>
        </values>
      </ddeItem>
      <ddeItem name="6558.TW-CName,InvestorConferenceDate,DateofMeetingofShareHolders,TradingDate" advise="1">
        <values cols="4">
          <value t="str">
            <val>興能高</val>
          </value>
          <value t="str">
            <val>2022/12/06</val>
          </value>
          <value t="str">
            <val>2022/06/09</val>
          </value>
          <value t="str">
            <val>2022/12/22</val>
          </value>
        </values>
      </ddeItem>
      <ddeItem name="6558.TW-ID,Name,MarketValue,Capital,NetIncomeGrowthRate,OperIncomeGrowthRate,FinancialStatementsTime,TFXRatio,MonthlyNetSalesYoY,RevenueMonth" advise="1">
        <values cols="10">
          <value t="str">
            <val>6558</val>
          </value>
          <value t="str">
            <val>興能高</val>
          </value>
          <value t="str">
            <val>19.0</val>
          </value>
          <value t="str">
            <val>9.37</val>
          </value>
          <value t="str">
            <val>-297.50</val>
          </value>
          <value t="str">
            <val>-286.56</val>
          </value>
          <value t="str">
            <val>2022/09</val>
          </value>
          <value t="str">
            <val>-5.99</val>
          </value>
          <value t="str">
            <val>-17.03</val>
          </value>
          <value t="str">
            <val>2022/11</val>
          </value>
        </values>
      </ddeItem>
      <ddeItem name="6558.TW-OperatingProfitRatio,Price,PriceChangeRatio,InOutRatioNumber,Value,YearReturn,MonthReturn,WeekReturn,FinanceBalanceDif,ChipsField2" advise="1">
        <values cols="10">
          <value t="str">
            <val>-12.28</val>
          </value>
          <value>
            <val>21.95</val>
          </value>
          <value>
            <val>1.1499999999999999</val>
          </value>
          <value t="str">
            <val>35.88%</val>
          </value>
          <value t="str">
            <val>287萬</val>
          </value>
          <value t="str">
            <val>-30.97</val>
          </value>
          <value t="str">
            <val>+6.04</val>
          </value>
          <value t="str">
            <val>-9.86</val>
          </value>
          <value>
            <val>-15</val>
          </value>
          <value>
            <val>0</val>
          </value>
        </values>
      </ddeItem>
      <ddeItem name="657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</val>
          </value>
          <value t="str">
            <val>--</val>
          </value>
          <value t="str">
            <val>0.00</val>
          </value>
          <value>
            <val>0</val>
          </value>
          <value t="str">
            <val>-2.36</val>
          </value>
          <value t="str">
            <val>-0.55</val>
          </value>
          <value t="str">
            <val>虹揚-KY</val>
          </value>
          <value t="str">
            <val>上市半導體</val>
          </value>
          <value t="str">
            <val>二極體及橋式整流器製造商</val>
          </value>
        </values>
      </ddeItem>
      <ddeItem name="6573.TW-CName,InvestorConferenceDate,DateofMeetingofShareHolders,TradingDate" advise="1">
        <values cols="4">
          <value t="str">
            <val>虹揚-KY</val>
          </value>
          <value t="str">
            <val>2022/12/06</val>
          </value>
          <value t="str">
            <val>2022/06/22</val>
          </value>
          <value t="str">
            <val>2022/12/22</val>
          </value>
        </values>
      </ddeItem>
      <ddeItem name="6573.TW-ID,Name,MarketValue,Capital,NetIncomeGrowthRate,OperIncomeGrowthRate,FinancialStatementsTime,TFXRatio,MonthlyNetSalesYoY,RevenueMonth" advise="1">
        <values cols="10">
          <value t="str">
            <val>6573</val>
          </value>
          <value t="str">
            <val>虹揚-KY</val>
          </value>
          <value t="str">
            <val>11.1</val>
          </value>
          <value t="str">
            <val>8.05</val>
          </value>
          <value t="str">
            <val>-44.44</val>
          </value>
          <value t="str">
            <val>-127.35</val>
          </value>
          <value t="str">
            <val>2022/09</val>
          </value>
          <value t="str">
            <val>26.14</val>
          </value>
          <value t="str">
            <val>-40.02</val>
          </value>
          <value t="str">
            <val>2022/11</val>
          </value>
        </values>
      </ddeItem>
      <ddeItem name="6573.TW-OperatingProfitRatio,Price,PriceChangeRatio,InOutRatioNumber,Value,YearReturn,MonthReturn,WeekReturn,FinanceBalanceDif,ChipsField2" advise="1">
        <values cols="10">
          <value t="str">
            <val>-13.60</val>
          </value>
          <value>
            <val>13.8</val>
          </value>
          <value>
            <val>1.1000000000000001</val>
          </value>
          <value t="str">
            <val>79.68%</val>
          </value>
          <value t="str">
            <val>937萬</val>
          </value>
          <value t="str">
            <val>-37.84</val>
          </value>
          <value t="str">
            <val>+2.99</val>
          </value>
          <value t="str">
            <val>+3.37</val>
          </value>
          <value>
            <val>-9</val>
          </value>
          <value>
            <val>0</val>
          </value>
        </values>
      </ddeItem>
      <ddeItem name="6579.TW-ChipsField3,ChipsField1,ChipsField25,CashAndStockDividend,CashDividendYieldRate,ProfitFourSeason,ProfitSingle,CName,ExchangeIndustry,CompanyPos" advise="1">
        <values cols="10">
          <value>
            <val>-6</val>
          </value>
          <value>
            <val>12</val>
          </value>
          <value t="str">
            <val>2022/06/24</val>
          </value>
          <value t="str">
            <val>3.10</val>
          </value>
          <value>
            <val>3.72</val>
          </value>
          <value t="str">
            <val>10.09</val>
          </value>
          <value t="str">
            <val>3.33</val>
          </value>
          <value t="str">
            <val>研揚</val>
          </value>
          <value t="str">
            <val>上市電腦及週邊設備</val>
          </value>
          <value t="str">
            <val>華碩旗下之工業電腦廠</val>
          </value>
        </values>
      </ddeItem>
      <ddeItem name="6579.TW-CName,InvestorConferenceDate,DateofMeetingofShareHolders,TradingDate" advise="1">
        <values cols="4">
          <value t="str">
            <val>研揚</val>
          </value>
          <value t="str">
            <val>2022/08/19</val>
          </value>
          <value t="str">
            <val>2022/05/27</val>
          </value>
          <value t="str">
            <val>2022/12/22</val>
          </value>
        </values>
      </ddeItem>
      <ddeItem name="6579.TW-ID,Name,MarketValue,Capital,NetIncomeGrowthRate,OperIncomeGrowthRate,FinancialStatementsTime,TFXRatio,MonthlyNetSalesYoY,RevenueMonth" advise="1">
        <values cols="10">
          <value t="str">
            <val>6579</val>
          </value>
          <value t="str">
            <val>研揚</val>
          </value>
          <value t="str">
            <val>124.2</val>
          </value>
          <value t="str">
            <val>14.91</val>
          </value>
          <value t="str">
            <val>382.83</val>
          </value>
          <value t="str">
            <val>231.18</val>
          </value>
          <value t="str">
            <val>2022/09</val>
          </value>
          <value t="str">
            <val>6.87</val>
          </value>
          <value t="str">
            <val>5.18</val>
          </value>
          <value t="str">
            <val>2022/11</val>
          </value>
        </values>
      </ddeItem>
      <ddeItem name="6579.TW-OperatingProfitRatio,Price,PriceChangeRatio,InOutRatioNumber,Value,YearReturn,MonthReturn,WeekReturn,FinanceBalanceDif,ChipsField2" advise="1">
        <values cols="10">
          <value t="str">
            <val>13.87</val>
          </value>
          <value>
            <val>83.3</val>
          </value>
          <value>
            <val>0.97</val>
          </value>
          <value t="str">
            <val>38.46%</val>
          </value>
          <value t="str">
            <val>648萬</val>
          </value>
          <value t="str">
            <val>+29.96</val>
          </value>
          <value t="str">
            <val>+3.35</val>
          </value>
          <value t="str">
            <val>-6.40</val>
          </value>
          <value>
            <val>-13</val>
          </value>
          <value>
            <val>0</val>
          </value>
        </values>
      </ddeItem>
      <ddeItem name="658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-11</val>
          </value>
          <value t="str">
            <val>2022/03/24</val>
          </value>
          <value t="str">
            <val>4.00</val>
          </value>
          <value>
            <val>4.3499999999999996</val>
          </value>
          <value t="str">
            <val>9.10</val>
          </value>
          <value t="str">
            <val>1.94</val>
          </value>
          <value t="str">
            <val>鋼聯</val>
          </value>
          <value t="str">
            <val>上市其他</val>
          </value>
          <value t="str">
            <val>亞洲最大電弧爐集塵灰之鋅資源回收廠</val>
          </value>
        </values>
      </ddeItem>
      <ddeItem name="6581.TW-CName,InvestorConferenceDate,DateofMeetingofShareHolders,TradingDate" advise="1">
        <values cols="4">
          <value t="str">
            <val>鋼聯</val>
          </value>
          <value t="str">
            <val>2022/07/28</val>
          </value>
          <value t="str">
            <val>2022/05/26</val>
          </value>
          <value t="str">
            <val>2022/12/22</val>
          </value>
        </values>
      </ddeItem>
      <ddeItem name="6581.TW-ID,Name,MarketValue,Capital,NetIncomeGrowthRate,OperIncomeGrowthRate,FinancialStatementsTime,TFXRatio,MonthlyNetSalesYoY,RevenueMonth" advise="1">
        <values cols="10">
          <value t="str">
            <val>6581</val>
          </value>
          <value t="str">
            <val>鋼聯</val>
          </value>
          <value t="str">
            <val>102.3</val>
          </value>
          <value t="str">
            <val>11.13</val>
          </value>
          <value t="str">
            <val>145.42</val>
          </value>
          <value t="str">
            <val>131.98</val>
          </value>
          <value t="str">
            <val>2022/09</val>
          </value>
          <value t="str">
            <val>26.03</val>
          </value>
          <value t="str">
            <val>6.66</val>
          </value>
          <value t="str">
            <val>2022/11</val>
          </value>
        </values>
      </ddeItem>
      <ddeItem name="6581.TW-OperatingProfitRatio,Price,PriceChangeRatio,InOutRatioNumber,Value,YearReturn,MonthReturn,WeekReturn,FinanceBalanceDif,ChipsField2" advise="1">
        <values cols="10">
          <value t="str">
            <val>47.43</val>
          </value>
          <value>
            <val>91.9</val>
          </value>
          <value>
            <val>0.44</val>
          </value>
          <value t="str">
            <val>12.12%</val>
          </value>
          <value t="str">
            <val>304萬</val>
          </value>
          <value t="str">
            <val>+19.83</val>
          </value>
          <value t="str">
            <val>+2.91</val>
          </value>
          <value t="str">
            <val>-3.36</val>
          </value>
          <value>
            <val>4</val>
          </value>
          <value>
            <val>0</val>
          </value>
        </values>
      </ddeItem>
      <ddeItem name="6582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-58</val>
          </value>
          <value t="str">
            <val>2022/08/25</val>
          </value>
          <value t="str">
            <val>15.00</val>
          </value>
          <value>
            <val>26.04</val>
          </value>
          <value t="str">
            <val>4.26</val>
          </value>
          <value t="str">
            <val>0.61</val>
          </value>
          <value t="str">
            <val>申豐</val>
          </value>
          <value t="str">
            <val>上市橡膠</val>
          </value>
          <value t="str">
            <val>永豐餘旗下合成乳膠廠，全球前7大NBR乳膠廠</val>
          </value>
        </values>
      </ddeItem>
      <ddeItem name="6582.TW-CName,InvestorConferenceDate,DateofMeetingofShareHolders,TradingDate" advise="1">
        <values cols="4">
          <value t="str">
            <val>申豐</val>
          </value>
          <value t="str">
            <val>2022/09/07</val>
          </value>
          <value t="str">
            <val>2022/06/29</val>
          </value>
          <value t="str">
            <val>2022/12/22</val>
          </value>
        </values>
      </ddeItem>
      <ddeItem name="6582.TW-ID,Name,MarketValue,Capital,NetIncomeGrowthRate,OperIncomeGrowthRate,FinancialStatementsTime,TFXRatio,MonthlyNetSalesYoY,RevenueMonth" advise="1">
        <values cols="10">
          <value t="str">
            <val>6582</val>
          </value>
          <value t="str">
            <val>申豐</val>
          </value>
          <value t="str">
            <val>61.2</val>
          </value>
          <value t="str">
            <val>10.62</val>
          </value>
          <value t="str">
            <val>-94.14</val>
          </value>
          <value t="str">
            <val>-94.62</val>
          </value>
          <value t="str">
            <val>2022/09</val>
          </value>
          <value t="str">
            <val>7.95</val>
          </value>
          <value t="str">
            <val>-25.63</val>
          </value>
          <value t="str">
            <val>2022/11</val>
          </value>
        </values>
      </ddeItem>
      <ddeItem name="6582.TW-OperatingProfitRatio,Price,PriceChangeRatio,InOutRatioNumber,Value,YearReturn,MonthReturn,WeekReturn,FinanceBalanceDif,ChipsField2" advise="1">
        <values cols="10">
          <value t="str">
            <val>15.31</val>
          </value>
          <value>
            <val>57.6</val>
          </value>
          <value>
            <val>-0.17</val>
          </value>
          <value t="str">
            <val>35.68%</val>
          </value>
          <value t="str">
            <val>1161萬</val>
          </value>
          <value t="str">
            <val>-58.19</val>
          </value>
          <value t="str">
            <val>+6.27</val>
          </value>
          <value t="str">
            <val>-2.70</val>
          </value>
          <value>
            <val>19</val>
          </value>
          <value>
            <val>0</val>
          </value>
        </values>
      </ddeItem>
      <ddeItem name="658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6</val>
          </value>
          <value t="str">
            <val>2022/06/15</val>
          </value>
          <value t="str">
            <val>3.00</val>
          </value>
          <value>
            <val>5.74</val>
          </value>
          <value t="str">
            <val>3.93</val>
          </value>
          <value t="str">
            <val>0.93</val>
          </value>
          <value t="str">
            <val>鼎基</val>
          </value>
          <value t="str">
            <val>上市其他</val>
          </value>
          <value t="str">
            <val>全球前三大TPU產品生產商</val>
          </value>
        </values>
      </ddeItem>
      <ddeItem name="6585.TW-CName,InvestorConferenceDate,DateofMeetingofShareHolders,TradingDate" advise="1">
        <values cols="4">
          <value t="str">
            <val>鼎基</val>
          </value>
          <value t="str">
            <val>2022/06/20</val>
          </value>
          <value t="str">
            <val>2022/05/27</val>
          </value>
          <value t="str">
            <val>2022/12/22</val>
          </value>
        </values>
      </ddeItem>
      <ddeItem name="6585.TW-ID,Name,MarketValue,Capital,NetIncomeGrowthRate,OperIncomeGrowthRate,FinancialStatementsTime,TFXRatio,MonthlyNetSalesYoY,RevenueMonth" advise="1">
        <values cols="10">
          <value t="str">
            <val>6585</val>
          </value>
          <value t="str">
            <val>鼎基</val>
          </value>
          <value t="str">
            <val>36.2</val>
          </value>
          <value t="str">
            <val>6.92</val>
          </value>
          <value t="str">
            <val>-11.80</val>
          </value>
          <value t="str">
            <val>-22.48</val>
          </value>
          <value t="str">
            <val>2022/09</val>
          </value>
          <value t="str">
            <val>-9.74</val>
          </value>
          <value t="str">
            <val>-6.46</val>
          </value>
          <value t="str">
            <val>2022/11</val>
          </value>
        </values>
      </ddeItem>
      <ddeItem name="6585.TW-OperatingProfitRatio,Price,PriceChangeRatio,InOutRatioNumber,Value,YearReturn,MonthReturn,WeekReturn,FinanceBalanceDif,ChipsField2" advise="1">
        <values cols="10">
          <value t="str">
            <val>10.29</val>
          </value>
          <value>
            <val>52.3</val>
          </value>
          <value>
            <val>3.98</val>
          </value>
          <value t="str">
            <val>61.44%</val>
          </value>
          <value t="str">
            <val>805萬</val>
          </value>
          <value t="str">
            <val>--</val>
          </value>
          <value t="str">
            <val>+0.77</val>
          </value>
          <value t="str">
            <val>+0.38</val>
          </value>
          <value>
            <val>-4</val>
          </value>
          <value>
            <val>0</val>
          </value>
        </values>
      </ddeItem>
      <ddeItem name="659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-4</val>
          </value>
          <value t="str">
            <val>2022/06/28</val>
          </value>
          <value t="str">
            <val>4.00</val>
          </value>
          <value>
            <val>9.31</val>
          </value>
          <value t="str">
            <val>7.83</val>
          </value>
          <value t="str">
            <val>0.50</val>
          </value>
          <value t="str">
            <val>動力-KY</val>
          </value>
          <value t="str">
            <val>上市電腦及週邊設備</val>
          </value>
          <value t="str">
            <val>電競PC散熱風扇供應商</val>
          </value>
        </values>
      </ddeItem>
      <ddeItem name="6591.TW-CName,InvestorConferenceDate,DateofMeetingofShareHolders,TradingDate" advise="1">
        <values cols="4">
          <value t="str">
            <val>動力-KY</val>
          </value>
          <value t="str">
            <val>2022/03/31</val>
          </value>
          <value t="str">
            <val>2022/05/31</val>
          </value>
          <value t="str">
            <val>2022/12/22</val>
          </value>
        </values>
      </ddeItem>
      <ddeItem name="6591.TW-ID,Name,MarketValue,Capital,NetIncomeGrowthRate,OperIncomeGrowthRate,FinancialStatementsTime,TFXRatio,MonthlyNetSalesYoY,RevenueMonth" advise="1">
        <values cols="10">
          <value t="str">
            <val>6591</val>
          </value>
          <value t="str">
            <val>動力-KY</val>
          </value>
          <value t="str">
            <val>14.7</val>
          </value>
          <value t="str">
            <val>3.42</val>
          </value>
          <value t="str">
            <val>21.51</val>
          </value>
          <value t="str">
            <val>-22.40</val>
          </value>
          <value t="str">
            <val>2022/09</val>
          </value>
          <value t="str">
            <val>49.39</val>
          </value>
          <value t="str">
            <val>-16.99</val>
          </value>
          <value t="str">
            <val>2022/11</val>
          </value>
        </values>
      </ddeItem>
      <ddeItem name="6591.TW-OperatingProfitRatio,Price,PriceChangeRatio,InOutRatioNumber,Value,YearReturn,MonthReturn,WeekReturn,FinanceBalanceDif,ChipsField2" advise="1">
        <values cols="10">
          <value t="str">
            <val>15.16</val>
          </value>
          <value>
            <val>42.95</val>
          </value>
          <value>
            <val>0.47</val>
          </value>
          <value t="str">
            <val>38.46%</val>
          </value>
          <value t="str">
            <val>112萬</val>
          </value>
          <value t="str">
            <val>-16.06</val>
          </value>
          <value t="str">
            <val>+3.49</val>
          </value>
          <value t="str">
            <val>-3.27</val>
          </value>
          <value>
            <val>7</val>
          </value>
          <value>
            <val>0</val>
          </value>
        </values>
      </ddeItem>
      <ddeItem name="6592.TW-ChipsField3,ChipsField1,ChipsField25,CashAndStockDividend,CashDividendYieldRate,ProfitFourSeason,ProfitSingle,CName,ExchangeIndustry,CompanyPos" advise="1">
        <values cols="10">
          <value>
            <val>-21</val>
          </value>
          <value>
            <val>-2</val>
          </value>
          <value t="str">
            <val>2022/07/12</val>
          </value>
          <value t="str">
            <val>4.20</val>
          </value>
          <value>
            <val>4.16</val>
          </value>
          <value t="str">
            <val>7.00</val>
          </value>
          <value t="str">
            <val>1.77</val>
          </value>
          <value t="str">
            <val>和潤企業</val>
          </value>
          <value t="str">
            <val>上市其他</val>
          </value>
          <value t="str">
            <val>和泰旗下車輛融資及租賃公司</val>
          </value>
        </values>
      </ddeItem>
      <ddeItem name="6592.TW-CName,InvestorConferenceDate,DateofMeetingofShareHolders,TradingDate" advise="1">
        <values cols="4">
          <value t="str">
            <val>和潤企業</val>
          </value>
          <value t="str">
            <val>2022/08/23</val>
          </value>
          <value t="str">
            <val>2022/06/23</val>
          </value>
          <value t="str">
            <val>2022/12/22</val>
          </value>
        </values>
      </ddeItem>
      <ddeItem name="6592.TW-ID,Name,MarketValue,Capital,NetIncomeGrowthRate,OperIncomeGrowthRate,FinancialStatementsTime,TFXRatio,MonthlyNetSalesYoY,RevenueMonth" advise="1">
        <values cols="10">
          <value t="str">
            <val>6592</val>
          </value>
          <value t="str">
            <val>和潤企業</val>
          </value>
          <value t="str">
            <val>520.1</val>
          </value>
          <value t="str">
            <val>51.50</val>
          </value>
          <value t="str">
            <val>22.95</val>
          </value>
          <value t="str">
            <val>16.64</val>
          </value>
          <value t="str">
            <val>2022/09</val>
          </value>
          <value t="str">
            <val>3.55</val>
          </value>
          <value t="str">
            <val>20.01</val>
          </value>
          <value t="str">
            <val>2022/11</val>
          </value>
        </values>
      </ddeItem>
      <ddeItem name="6592.TW-OperatingProfitRatio,Price,PriceChangeRatio,InOutRatioNumber,Value,YearReturn,MonthReturn,WeekReturn,FinanceBalanceDif,ChipsField2" advise="1">
        <values cols="10">
          <value t="str">
            <val>21.79</val>
          </value>
          <value>
            <val>101</val>
          </value>
          <value>
            <val>0.5</val>
          </value>
          <value t="str">
            <val>40.88%</val>
          </value>
          <value t="str">
            <val>1401萬</val>
          </value>
          <value t="str">
            <val>+16.27</val>
          </value>
          <value t="str">
            <val>+4.34</val>
          </value>
          <value t="str">
            <val>-1.46</val>
          </value>
          <value>
            <val>-15</val>
          </value>
          <value>
            <val>0</val>
          </value>
        </values>
      </ddeItem>
      <ddeItem name="659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20</val>
          </value>
          <value t="str">
            <val>--</val>
          </value>
          <value t="str">
            <val>0.00</val>
          </value>
          <value>
            <val>0</val>
          </value>
          <value t="str">
            <val>-2.14</val>
          </value>
          <value t="str">
            <val>-0.54</val>
          </value>
          <value t="str">
            <val>ABC-KY</val>
          </value>
          <value t="str">
            <val>上市生技醫療</val>
          </value>
          <value t="str">
            <val>泛宏碁集團醫療檢測廠</val>
          </value>
        </values>
      </ddeItem>
      <ddeItem name="6598.TW-CName,InvestorConferenceDate,DateofMeetingofShareHolders,TradingDate" advise="1">
        <values cols="4">
          <value t="str">
            <val>ABC-KY</val>
          </value>
          <value t="str">
            <val>2022/10/13</val>
          </value>
          <value t="str">
            <val>2022/06/13</val>
          </value>
          <value t="str">
            <val>2022/12/22</val>
          </value>
        </values>
      </ddeItem>
      <ddeItem name="6598.TW-ID,Name,MarketValue,Capital,NetIncomeGrowthRate,OperIncomeGrowthRate,FinancialStatementsTime,TFXRatio,MonthlyNetSalesYoY,RevenueMonth" advise="1">
        <values cols="10">
          <value t="str">
            <val>6598</val>
          </value>
          <value t="str">
            <val>ABC-KY</val>
          </value>
          <value t="str">
            <val>24.4</val>
          </value>
          <value t="str">
            <val>8.18</val>
          </value>
          <value t="str">
            <val>-7.01</val>
          </value>
          <value t="str">
            <val>-8.38</val>
          </value>
          <value t="str">
            <val>2022/09</val>
          </value>
          <value t="str">
            <val>81.53</val>
          </value>
          <value t="str">
            <val>31.90</val>
          </value>
          <value t="str">
            <val>2022/11</val>
          </value>
        </values>
      </ddeItem>
      <ddeItem name="6598.TW-OperatingProfitRatio,Price,PriceChangeRatio,InOutRatioNumber,Value,YearReturn,MonthReturn,WeekReturn,FinanceBalanceDif,ChipsField2" advise="1">
        <values cols="10">
          <value t="str">
            <val>-56.85</val>
          </value>
          <value>
            <val>29.85</val>
          </value>
          <value>
            <val>3.47</val>
          </value>
          <value t="str">
            <val>67.32%</val>
          </value>
          <value t="str">
            <val>768萬</val>
          </value>
          <value t="str">
            <val>-32.92</val>
          </value>
          <value t="str">
            <val>+7.18</val>
          </value>
          <value t="str">
            <val>-5.39</val>
          </value>
          <value>
            <val>-5</val>
          </value>
          <value>
            <val>0</val>
          </value>
        </values>
      </ddeItem>
      <ddeItem name="6605.TW-ChipsField3,ChipsField1,ChipsField25,CashAndStockDividend,CashDividendYieldRate,ProfitFourSeason,ProfitSingle,CName,ExchangeIndustry,CompanyPos" advise="1">
        <values cols="10">
          <value>
            <val>-17</val>
          </value>
          <value>
            <val>56</val>
          </value>
          <value t="str">
            <val>2022/07/11</val>
          </value>
          <value t="str">
            <val>3.00</val>
          </value>
          <value>
            <val>4.21</val>
          </value>
          <value t="str">
            <val>10.73</val>
          </value>
          <value t="str">
            <val>3.22</val>
          </value>
          <value t="str">
            <val>帝寶</val>
          </value>
          <value t="str">
            <val>上市汽車</val>
          </value>
          <value t="str">
            <val>主攻歐美AM市場之車燈製造商</val>
          </value>
        </values>
      </ddeItem>
      <ddeItem name="6605.TW-CName,InvestorConferenceDate,DateofMeetingofShareHolders,TradingDate" advise="1">
        <values cols="4">
          <value t="str">
            <val>帝寶</val>
          </value>
          <value t="str">
            <val>2022/12/02</val>
          </value>
          <value t="str">
            <val>2022/06/24</val>
          </value>
          <value t="str">
            <val>2022/12/22</val>
          </value>
        </values>
      </ddeItem>
      <ddeItem name="6605.TW-ID,Name,MarketValue,Capital,NetIncomeGrowthRate,OperIncomeGrowthRate,FinancialStatementsTime,TFXRatio,MonthlyNetSalesYoY,RevenueMonth" advise="1">
        <values cols="10">
          <value t="str">
            <val>6605</val>
          </value>
          <value t="str">
            <val>帝寶</val>
          </value>
          <value t="str">
            <val>118.1</val>
          </value>
          <value t="str">
            <val>16.58</val>
          </value>
          <value t="str">
            <val>82.16</val>
          </value>
          <value t="str">
            <val>11.39</val>
          </value>
          <value t="str">
            <val>2022/09</val>
          </value>
          <value t="str">
            <val>-3.96</val>
          </value>
          <value t="str">
            <val>-2.56</val>
          </value>
          <value t="str">
            <val>2022/11</val>
          </value>
        </values>
      </ddeItem>
      <ddeItem name="6605.TW-OperatingProfitRatio,Price,PriceChangeRatio,InOutRatioNumber,Value,YearReturn,MonthReturn,WeekReturn,FinanceBalanceDif,ChipsField2" advise="1">
        <values cols="10">
          <value t="str">
            <val>11.32</val>
          </value>
          <value>
            <val>71.2</val>
          </value>
          <value>
            <val>0.42</val>
          </value>
          <value t="str">
            <val>39.30%</val>
          </value>
          <value t="str">
            <val>1432萬</val>
          </value>
          <value t="str">
            <val>+22.33</val>
          </value>
          <value t="str">
            <val>-2.73</val>
          </value>
          <value t="str">
            <val>-5.07</val>
          </value>
          <value>
            <val>-33</val>
          </value>
          <value>
            <val>0</val>
          </value>
        </values>
      </ddeItem>
      <ddeItem name="6625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-34</val>
          </value>
          <value t="str">
            <val>--</val>
          </value>
          <value t="str">
            <val>0.00</val>
          </value>
          <value>
            <val>0</val>
          </value>
          <value t="str">
            <val>-1.11</val>
          </value>
          <value t="str">
            <val>-0.05</val>
          </value>
          <value t="str">
            <val>必應</val>
          </value>
          <value t="str">
            <val>上市其他</val>
          </value>
          <value t="str">
            <val>台灣最大的娛樂影音活動製作公司</val>
          </value>
        </values>
      </ddeItem>
      <ddeItem name="6625.TW-CName,InvestorConferenceDate,DateofMeetingofShareHolders,TradingDate" advise="1">
        <values cols="4">
          <value t="str">
            <val>必應</val>
          </value>
          <value t="str">
            <val>2022/12/21</val>
          </value>
          <value t="str">
            <val>2022/06/16</val>
          </value>
          <value t="str">
            <val>2022/12/22</val>
          </value>
        </values>
      </ddeItem>
      <ddeItem name="6625.TW-ID,Name,MarketValue,Capital,NetIncomeGrowthRate,OperIncomeGrowthRate,FinancialStatementsTime,TFXRatio,MonthlyNetSalesYoY,RevenueMonth" advise="1">
        <values cols="10">
          <value t="str">
            <val>6625</val>
          </value>
          <value t="str">
            <val>必應</val>
          </value>
          <value t="str">
            <val>17.9</val>
          </value>
          <value t="str">
            <val>4.43</val>
          </value>
          <value t="str">
            <val>32.43</val>
          </value>
          <value t="str">
            <val>43.33</val>
          </value>
          <value t="str">
            <val>2022/09</val>
          </value>
          <value t="str">
            <val>28.01</val>
          </value>
          <value t="str">
            <val>166.70</val>
          </value>
          <value t="str">
            <val>2022/11</val>
          </value>
        </values>
      </ddeItem>
      <ddeItem name="6625.TW-OperatingProfitRatio,Price,PriceChangeRatio,InOutRatioNumber,Value,YearReturn,MonthReturn,WeekReturn,FinanceBalanceDif,ChipsField2" advise="1">
        <values cols="10">
          <value t="str">
            <val>-12.23</val>
          </value>
          <value>
            <val>40.299999999999997</val>
          </value>
          <value>
            <val>0.88</val>
          </value>
          <value t="str">
            <val>38.06%</val>
          </value>
          <value t="str">
            <val>1528萬</val>
          </value>
          <value t="str">
            <val>+20.12</val>
          </value>
          <value t="str">
            <val>+23.05</val>
          </value>
          <value t="str">
            <val>+14.49</val>
          </value>
          <value>
            <val>108</val>
          </value>
          <value>
            <val>0</val>
          </value>
        </values>
      </ddeItem>
      <ddeItem name="664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-4</val>
          </value>
          <value t="str">
            <val>2022/07/05</val>
          </value>
          <value t="str">
            <val>4.50</val>
          </value>
          <value>
            <val>8.51</val>
          </value>
          <value t="str">
            <val>5.74</val>
          </value>
          <value t="str">
            <val>1.20</val>
          </value>
          <value t="str">
            <val>基士德-KY</val>
          </value>
          <value t="str">
            <val>上市其他</val>
          </value>
          <value t="str">
            <val>大陸水處理環保設備與技術服務綜合服務商</val>
          </value>
        </values>
      </ddeItem>
      <ddeItem name="6641.TW-CName,InvestorConferenceDate,DateofMeetingofShareHolders,TradingDate" advise="1">
        <values cols="4">
          <value t="str">
            <val>基士德-KY</val>
          </value>
          <value t="str">
            <val>2022/09/05</val>
          </value>
          <value t="str">
            <val>2022/06/08</val>
          </value>
          <value t="str">
            <val>2022/12/22</val>
          </value>
        </values>
      </ddeItem>
      <ddeItem name="6641.TW-ID,Name,MarketValue,Capital,NetIncomeGrowthRate,OperIncomeGrowthRate,FinancialStatementsTime,TFXRatio,MonthlyNetSalesYoY,RevenueMonth" advise="1">
        <values cols="10">
          <value t="str">
            <val>6641</val>
          </value>
          <value t="str">
            <val>基士德-KY</val>
          </value>
          <value t="str">
            <val>19.6</val>
          </value>
          <value t="str">
            <val>3.70</val>
          </value>
          <value t="str">
            <val>-8.19</val>
          </value>
          <value t="str">
            <val>-44.97</val>
          </value>
          <value t="str">
            <val>2022/09</val>
          </value>
          <value t="str">
            <val>8.82</val>
          </value>
          <value t="str">
            <val>-29.16</val>
          </value>
          <value t="str">
            <val>2022/11</val>
          </value>
        </values>
      </ddeItem>
      <ddeItem name="6641.TW-OperatingProfitRatio,Price,PriceChangeRatio,InOutRatioNumber,Value,YearReturn,MonthReturn,WeekReturn,FinanceBalanceDif,ChipsField2" advise="1">
        <values cols="10">
          <value t="str">
            <val>5.52</val>
          </value>
          <value>
            <val>52.9</val>
          </value>
          <value>
            <val>0.95</val>
          </value>
          <value t="str">
            <val>60.00%</val>
          </value>
          <value t="str">
            <val>26.3萬</val>
          </value>
          <value t="str">
            <val>-5.45</val>
          </value>
          <value t="str">
            <val>+2.12</val>
          </value>
          <value t="str">
            <val>-0.75</val>
          </value>
          <value>
            <val>0</val>
          </value>
          <value>
            <val>0</val>
          </value>
        </values>
      </ddeItem>
      <ddeItem name="665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</val>
          </value>
          <value t="str">
            <val>2022/04/28</val>
          </value>
          <value t="str">
            <val>4.00</val>
          </value>
          <value>
            <val>9.1999999999999993</val>
          </value>
          <value t="str">
            <val>7.62</val>
          </value>
          <value t="str">
            <val>1.57</val>
          </value>
          <value t="str">
            <val>科定</val>
          </value>
          <value t="str">
            <val>上市其他</val>
          </value>
          <value t="str">
            <val>主要從事木製板材之製造商</val>
          </value>
        </values>
      </ddeItem>
      <ddeItem name="6655.TW-CName,InvestorConferenceDate,DateofMeetingofShareHolders,TradingDate" advise="1">
        <values cols="4">
          <value t="str">
            <val>科定</val>
          </value>
          <value t="str">
            <val>2022/10/27</val>
          </value>
          <value t="str">
            <val>2022/06/30</val>
          </value>
          <value t="str">
            <val>2022/12/22</val>
          </value>
        </values>
      </ddeItem>
      <ddeItem name="6655.TW-ID,Name,MarketValue,Capital,NetIncomeGrowthRate,OperIncomeGrowthRate,FinancialStatementsTime,TFXRatio,MonthlyNetSalesYoY,RevenueMonth" advise="1">
        <values cols="10">
          <value t="str">
            <val>6655</val>
          </value>
          <value t="str">
            <val>科定</val>
          </value>
          <value t="str">
            <val>96.6</val>
          </value>
          <value t="str">
            <val>7.40</val>
          </value>
          <value t="str">
            <val>-1.05</val>
          </value>
          <value t="str">
            <val>0.99</val>
          </value>
          <value t="str">
            <val>2022/09</val>
          </value>
          <value t="str">
            <val>10.26</val>
          </value>
          <value t="str">
            <val>5.86</val>
          </value>
          <value t="str">
            <val>2022/11</val>
          </value>
        </values>
      </ddeItem>
      <ddeItem name="6655.TW-OperatingProfitRatio,Price,PriceChangeRatio,InOutRatioNumber,Value,YearReturn,MonthReturn,WeekReturn,FinanceBalanceDif,ChipsField2" advise="1">
        <values cols="10">
          <value t="str">
            <val>21.44</val>
          </value>
          <value>
            <val>130.5</val>
          </value>
          <value>
            <val>0</val>
          </value>
          <value t="str">
            <val>25.00%</val>
          </value>
          <value t="str">
            <val>52.2萬</val>
          </value>
          <value t="str">
            <val>+71.77</val>
          </value>
          <value t="str">
            <val>+0.38</val>
          </value>
          <value t="str">
            <val>0.00</val>
          </value>
          <value>
            <val>0</val>
          </value>
          <value>
            <val>0</val>
          </value>
        </values>
      </ddeItem>
      <ddeItem name="6666.TW-ChipsField3,ChipsField1,ChipsField25,CashAndStockDividend,CashDividendYieldRate,ProfitFourSeason,ProfitSingle,CName,ExchangeIndustry,CompanyPos" advise="1">
        <values cols="10">
          <value>
            <val>-15</val>
          </value>
          <value>
            <val>52</val>
          </value>
          <value t="str">
            <val>2022/08/16</val>
          </value>
          <value t="str">
            <val>1.50</val>
          </value>
          <value>
            <val>1.91</val>
          </value>
          <value t="str">
            <val>2.16</val>
          </value>
          <value t="str">
            <val>0.23</val>
          </value>
          <value t="str">
            <val>羅麗芬-KY</val>
          </value>
          <value t="str">
            <val>上市生技醫療</val>
          </value>
          <value t="str">
            <val>銷售以面部類為主的大陸美妝品牌公司</val>
          </value>
        </values>
      </ddeItem>
      <ddeItem name="6666.TW-CName,InvestorConferenceDate,DateofMeetingofShareHolders,TradingDate" advise="1">
        <values cols="4">
          <value t="str">
            <val>羅麗芬-KY</val>
          </value>
          <value t="str">
            <val>--</val>
          </value>
          <value t="str">
            <val>2022/06/02</val>
          </value>
          <value t="str">
            <val>2022/12/22</val>
          </value>
        </values>
      </ddeItem>
      <ddeItem name="6666.TW-ID,Name,MarketValue,Capital,NetIncomeGrowthRate,OperIncomeGrowthRate,FinancialStatementsTime,TFXRatio,MonthlyNetSalesYoY,RevenueMonth" advise="1">
        <values cols="10">
          <value t="str">
            <val>6666</val>
          </value>
          <value t="str">
            <val>羅麗芬-KY</val>
          </value>
          <value t="str">
            <val>37.2</val>
          </value>
          <value t="str">
            <val>4.74</val>
          </value>
          <value t="str">
            <val>69.27</val>
          </value>
          <value t="str">
            <val>40.71</val>
          </value>
          <value t="str">
            <val>2022/09</val>
          </value>
          <value t="str">
            <val>5.00</val>
          </value>
          <value t="str">
            <val>-35.65</val>
          </value>
          <value t="str">
            <val>2022/11</val>
          </value>
        </values>
      </ddeItem>
      <ddeItem name="6666.TW-OperatingProfitRatio,Price,PriceChangeRatio,InOutRatioNumber,Value,YearReturn,MonthReturn,WeekReturn,FinanceBalanceDif,ChipsField2" advise="1">
        <values cols="10">
          <value t="str">
            <val>8.18</val>
          </value>
          <value>
            <val>78.400000000000006</val>
          </value>
          <value>
            <val>0.64</val>
          </value>
          <value t="str">
            <val>55.86%</val>
          </value>
          <value t="str">
            <val>2024萬</val>
          </value>
          <value t="str">
            <val>+17.21</val>
          </value>
          <value t="str">
            <val>+12.00</val>
          </value>
          <value t="str">
            <val>-6.11</val>
          </value>
          <value>
            <val>-13</val>
          </value>
          <value>
            <val>0</val>
          </value>
        </values>
      </ddeItem>
      <ddeItem name="6668.TW-ChipsField3,ChipsField1,ChipsField25,CashAndStockDividend,CashDividendYieldRate,ProfitFourSeason,ProfitSingle,CName,ExchangeIndustry,CompanyPos" advise="1">
        <values cols="10">
          <value>
            <val>-4</val>
          </value>
          <value>
            <val>4</val>
          </value>
          <value t="str">
            <val>--</val>
          </value>
          <value t="str">
            <val>0.00</val>
          </value>
          <value>
            <val>0</val>
          </value>
          <value t="str">
            <val>-4.07</val>
          </value>
          <value t="str">
            <val>-0.25</val>
          </value>
          <value t="str">
            <val>中揚光</val>
          </value>
          <value t="str">
            <val>上市光電</val>
          </value>
          <value t="str">
            <val>鴻海集團轉投資光學鏡片模具廠</val>
          </value>
        </values>
      </ddeItem>
      <ddeItem name="6668.TW-CName,InvestorConferenceDate,DateofMeetingofShareHolders,TradingDate" advise="1">
        <values cols="4">
          <value t="str">
            <val>中揚光</val>
          </value>
          <value t="str">
            <val>2022/11/24</val>
          </value>
          <value t="str">
            <val>2022/06/23</val>
          </value>
          <value t="str">
            <val>2022/12/22</val>
          </value>
        </values>
      </ddeItem>
      <ddeItem name="6668.TW-ID,Name,MarketValue,Capital,NetIncomeGrowthRate,OperIncomeGrowthRate,FinancialStatementsTime,TFXRatio,MonthlyNetSalesYoY,RevenueMonth" advise="1">
        <values cols="10">
          <value t="str">
            <val>6668</val>
          </value>
          <value t="str">
            <val>中揚光</val>
          </value>
          <value t="str">
            <val>30.2</val>
          </value>
          <value t="str">
            <val>7.82</val>
          </value>
          <value t="str">
            <val>-1.26</val>
          </value>
          <value t="str">
            <val>-78.18</val>
          </value>
          <value t="str">
            <val>2022/09</val>
          </value>
          <value t="str">
            <val>71.80</val>
          </value>
          <value t="str">
            <val>42.66</val>
          </value>
          <value t="str">
            <val>2022/11</val>
          </value>
        </values>
      </ddeItem>
      <ddeItem name="6668.TW-OperatingProfitRatio,Price,PriceChangeRatio,InOutRatioNumber,Value,YearReturn,MonthReturn,WeekReturn,FinanceBalanceDif,ChipsField2" advise="1">
        <values cols="10">
          <value t="str">
            <val>-20.27</val>
          </value>
          <value>
            <val>38.6</val>
          </value>
          <value>
            <val>1.98</val>
          </value>
          <value t="str">
            <val>46.15%</val>
          </value>
          <value t="str">
            <val>453萬</val>
          </value>
          <value t="str">
            <val>-33.56</val>
          </value>
          <value t="str">
            <val>-0.26</val>
          </value>
          <value t="str">
            <val>-4.34</val>
          </value>
          <value>
            <val>-20</val>
          </value>
          <value>
            <val>0</val>
          </value>
        </values>
      </ddeItem>
      <ddeItem name="6669.TW-ChipsField3,ChipsField1,ChipsField25,CashAndStockDividend,CashDividendYieldRate,ProfitFourSeason,ProfitSingle,CName,ExchangeIndustry,CompanyPos" advise="1">
        <values cols="10">
          <value>
            <val>-4</val>
          </value>
          <value>
            <val>35</val>
          </value>
          <value t="str">
            <val>2022/06/17</val>
          </value>
          <value t="str">
            <val>25.00</val>
          </value>
          <value>
            <val>3.01</val>
          </value>
          <value t="str">
            <val>73.43</val>
          </value>
          <value t="str">
            <val>24.68</val>
          </value>
          <value t="str">
            <val>緯穎</val>
          </value>
          <value t="str">
            <val>上市電腦及週邊設備</val>
          </value>
          <value t="str">
            <val>緯創轉投資之大型雲端資料中心硬體供應商</val>
          </value>
        </values>
      </ddeItem>
      <ddeItem name="6669.TW-CName,InvestorConferenceDate,DateofMeetingofShareHolders,TradingDate" advise="1">
        <values cols="4">
          <value t="str">
            <val>緯穎</val>
          </value>
          <value t="str">
            <val>--</val>
          </value>
          <value t="str">
            <val>2022/05/31</val>
          </value>
          <value t="str">
            <val>2022/12/22</val>
          </value>
        </values>
      </ddeItem>
      <ddeItem name="6669.TW-ID,Name,MarketValue,Capital,NetIncomeGrowthRate,OperIncomeGrowthRate,FinancialStatementsTime,TFXRatio,MonthlyNetSalesYoY,RevenueMonth" advise="1">
        <values cols="10">
          <value t="str">
            <val>6669</val>
          </value>
          <value t="str">
            <val>緯穎</val>
          </value>
          <value t="str">
            <val>1451.2</val>
          </value>
          <value t="str">
            <val>17.48</val>
          </value>
          <value t="str">
            <val>69.44</val>
          </value>
          <value t="str">
            <val>55.20</val>
          </value>
          <value t="str">
            <val>2022/09</val>
          </value>
          <value t="str">
            <val>42.56</val>
          </value>
          <value t="str">
            <val>62.81</val>
          </value>
          <value t="str">
            <val>2022/11</val>
          </value>
        </values>
      </ddeItem>
      <ddeItem name="6669.TW-OperatingProfitRatio,Price,PriceChangeRatio,InOutRatioNumber,Value,YearReturn,MonthReturn,WeekReturn,FinanceBalanceDif,ChipsField2" advise="1">
        <values cols="10">
          <value t="str">
            <val>6.02</val>
          </value>
          <value>
            <val>830</val>
          </value>
          <value>
            <val>-3.15</val>
          </value>
          <value t="str">
            <val>50.16%</val>
          </value>
          <value t="str">
            <val>10.6億</val>
          </value>
          <value t="str">
            <val>-20.32</val>
          </value>
          <value t="str">
            <val>-3.26</val>
          </value>
          <value t="str">
            <val>-11.61</val>
          </value>
          <value>
            <val>-8</val>
          </value>
          <value>
            <val>0</val>
          </value>
        </values>
      </ddeItem>
      <ddeItem name="6670.TW-ChipsField3,ChipsField1,ChipsField25,CashAndStockDividend,CashDividendYieldRate,ProfitFourSeason,ProfitSingle,CName,ExchangeIndustry,CompanyPos" advise="1">
        <values cols="10">
          <value>
            <val>-6</val>
          </value>
          <value>
            <val>19</val>
          </value>
          <value t="str">
            <val>2022/07/20</val>
          </value>
          <value t="str">
            <val>12.00</val>
          </value>
          <value>
            <val>5.59</val>
          </value>
          <value t="str">
            <val>32.72</val>
          </value>
          <value t="str">
            <val>10.34</val>
          </value>
          <value t="str">
            <val>復盛應用</val>
          </value>
          <value t="str">
            <val>上市其他</val>
          </value>
          <value t="str">
            <val>全球最大之高爾夫球桿頭製造商</val>
          </value>
        </values>
      </ddeItem>
      <ddeItem name="6670.TW-CName,InvestorConferenceDate,DateofMeetingofShareHolders,TradingDate" advise="1">
        <values cols="4">
          <value t="str">
            <val>復盛應用</val>
          </value>
          <value t="str">
            <val>2022/11/29</val>
          </value>
          <value t="str">
            <val>2022/06/21</val>
          </value>
          <value t="str">
            <val>2022/12/22</val>
          </value>
        </values>
      </ddeItem>
      <ddeItem name="6670.TW-ID,Name,MarketValue,Capital,NetIncomeGrowthRate,OperIncomeGrowthRate,FinancialStatementsTime,TFXRatio,MonthlyNetSalesYoY,RevenueMonth" advise="1">
        <values cols="10">
          <value t="str">
            <val>6670</val>
          </value>
          <value t="str">
            <val>復盛應用</val>
          </value>
          <value t="str">
            <val>281.1</val>
          </value>
          <value t="str">
            <val>13.11</val>
          </value>
          <value t="str">
            <val>109.99</val>
          </value>
          <value t="str">
            <val>75.18</val>
          </value>
          <value t="str">
            <val>2022/09</val>
          </value>
          <value t="str">
            <val>-4.75</val>
          </value>
          <value t="str">
            <val>34.72</val>
          </value>
          <value t="str">
            <val>2022/11</val>
          </value>
        </values>
      </ddeItem>
      <ddeItem name="6670.TW-OperatingProfitRatio,Price,PriceChangeRatio,InOutRatioNumber,Value,YearReturn,MonthReturn,WeekReturn,FinanceBalanceDif,ChipsField2" advise="1">
        <values cols="10">
          <value t="str">
            <val>16.31</val>
          </value>
          <value>
            <val>214.5</val>
          </value>
          <value>
            <val>2.39</val>
          </value>
          <value t="str">
            <val>43.78%</val>
          </value>
          <value t="str">
            <val>1.24億</val>
          </value>
          <value t="str">
            <val>+18.82</val>
          </value>
          <value t="str">
            <val>+2.63</val>
          </value>
          <value t="str">
            <val>-3.38</val>
          </value>
          <value>
            <val>-36</val>
          </value>
          <value>
            <val>0</val>
          </value>
        </values>
      </ddeItem>
      <ddeItem name="667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2022/08/02</val>
          </value>
          <value t="str">
            <val>3.00</val>
          </value>
          <value>
            <val>8.02</val>
          </value>
          <value t="str">
            <val>2.49</val>
          </value>
          <value t="str">
            <val>0.57</val>
          </value>
          <value t="str">
            <val>三能-KY</val>
          </value>
          <value t="str">
            <val>上市其他</val>
          </value>
          <value t="str">
            <val>專業烘培器具製造商</val>
          </value>
        </values>
      </ddeItem>
      <ddeItem name="6671.TW-CName,InvestorConferenceDate,DateofMeetingofShareHolders,TradingDate" advise="1">
        <values cols="4">
          <value t="str">
            <val>三能-KY</val>
          </value>
          <value t="str">
            <val>2022/09/07</val>
          </value>
          <value t="str">
            <val>2022/06/22</val>
          </value>
          <value t="str">
            <val>2022/12/22</val>
          </value>
        </values>
      </ddeItem>
      <ddeItem name="6671.TW-ID,Name,MarketValue,Capital,NetIncomeGrowthRate,OperIncomeGrowthRate,FinancialStatementsTime,TFXRatio,MonthlyNetSalesYoY,RevenueMonth" advise="1">
        <values cols="10">
          <value t="str">
            <val>6671</val>
          </value>
          <value t="str">
            <val>三能-KY</val>
          </value>
          <value t="str">
            <val>22.7</val>
          </value>
          <value t="str">
            <val>6.08</val>
          </value>
          <value t="str">
            <val>-39.13</val>
          </value>
          <value t="str">
            <val>-30.65</val>
          </value>
          <value t="str">
            <val>2022/09</val>
          </value>
          <value t="str">
            <val>23.37</val>
          </value>
          <value t="str">
            <val>-22.47</val>
          </value>
          <value t="str">
            <val>2022/11</val>
          </value>
        </values>
      </ddeItem>
      <ddeItem name="6671.TW-OperatingProfitRatio,Price,PriceChangeRatio,InOutRatioNumber,Value,YearReturn,MonthReturn,WeekReturn,FinanceBalanceDif,ChipsField2" advise="1">
        <values cols="10">
          <value t="str">
            <val>9.67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-16.99</val>
          </value>
          <value t="str">
            <val>-0.93</val>
          </value>
          <value t="str">
            <val>-0.80</val>
          </value>
          <value>
            <val>-1</val>
          </value>
          <value>
            <val>0</val>
          </value>
        </values>
      </ddeItem>
      <ddeItem name="6672.TW-ChipsField3,ChipsField1,ChipsField25,CashAndStockDividend,CashDividendYieldRate,ProfitFourSeason,ProfitSingle,CName,ExchangeIndustry,CompanyPos" advise="1">
        <values cols="10">
          <value>
            <val>-2</val>
          </value>
          <value>
            <val>48</val>
          </value>
          <value t="str">
            <val>2022/06/21</val>
          </value>
          <value t="str">
            <val>6.60</val>
          </value>
          <value>
            <val>8.7899999999999991</val>
          </value>
          <value t="str">
            <val>6.96</val>
          </value>
          <value t="str">
            <val>1.62</val>
          </value>
          <value t="str">
            <val>騰輝電子-KY</val>
          </value>
          <value t="str">
            <val>上市電子零組件</val>
          </value>
          <value t="str">
            <val>於大陸生產的台資銅箔基板廠</val>
          </value>
        </values>
      </ddeItem>
      <ddeItem name="6672.TW-CName,InvestorConferenceDate,DateofMeetingofShareHolders,TradingDate" advise="1">
        <values cols="4">
          <value t="str">
            <val>騰輝電子-KY</val>
          </value>
          <value t="str">
            <val>2022/11/29</val>
          </value>
          <value t="str">
            <val>2022/06/17</val>
          </value>
          <value t="str">
            <val>2022/12/22</val>
          </value>
        </values>
      </ddeItem>
      <ddeItem name="6672.TW-ID,Name,MarketValue,Capital,NetIncomeGrowthRate,OperIncomeGrowthRate,FinancialStatementsTime,TFXRatio,MonthlyNetSalesYoY,RevenueMonth" advise="1">
        <values cols="10">
          <value t="str">
            <val>6672</val>
          </value>
          <value t="str">
            <val>騰輝電子-KY</val>
          </value>
          <value t="str">
            <val>53.7</val>
          </value>
          <value t="str">
            <val>7.15</val>
          </value>
          <value t="str">
            <val>-47.47</val>
          </value>
          <value t="str">
            <val>-58.24</val>
          </value>
          <value t="str">
            <val>2022/09</val>
          </value>
          <value t="str">
            <val>11.92</val>
          </value>
          <value t="str">
            <val>-30.77</val>
          </value>
          <value t="str">
            <val>2022/11</val>
          </value>
        </values>
      </ddeItem>
      <ddeItem name="6672.TW-OperatingProfitRatio,Price,PriceChangeRatio,InOutRatioNumber,Value,YearReturn,MonthReturn,WeekReturn,FinanceBalanceDif,ChipsField2" advise="1">
        <values cols="10">
          <value t="str">
            <val>9.00</val>
          </value>
          <value>
            <val>75.099999999999994</val>
          </value>
          <value>
            <val>3.44</val>
          </value>
          <value t="str">
            <val>67.25%</val>
          </value>
          <value t="str">
            <val>3814萬</val>
          </value>
          <value t="str">
            <val>-37.61</val>
          </value>
          <value t="str">
            <val>+10.77</val>
          </value>
          <value t="str">
            <val>-1.70</val>
          </value>
          <value>
            <val>-42</val>
          </value>
          <value>
            <val>0</val>
          </value>
        </values>
      </ddeItem>
      <ddeItem name="667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2022/03/30</val>
          </value>
          <value t="str">
            <val>1.00</val>
          </value>
          <value>
            <val>4.03</val>
          </value>
          <value t="str">
            <val>0.10</val>
          </value>
          <value t="str">
            <val>0.17</val>
          </value>
          <value t="str">
            <val>鋐寶科技</val>
          </value>
          <value t="str">
            <val>上市通信網路</val>
          </value>
          <value t="str">
            <val>仁寶轉投資之Cable CPE廠商</val>
          </value>
        </values>
      </ddeItem>
      <ddeItem name="6674.TW-CName,InvestorConferenceDate,DateofMeetingofShareHolders,TradingDate" advise="1">
        <values cols="4">
          <value t="str">
            <val>鋐寶科技</val>
          </value>
          <value t="str">
            <val>2022/12/15</val>
          </value>
          <value t="str">
            <val>2022/06/27</val>
          </value>
          <value t="str">
            <val>2022/12/22</val>
          </value>
        </values>
      </ddeItem>
      <ddeItem name="6674.TW-ID,Name,MarketValue,Capital,NetIncomeGrowthRate,OperIncomeGrowthRate,FinancialStatementsTime,TFXRatio,MonthlyNetSalesYoY,RevenueMonth" advise="1">
        <values cols="10">
          <value t="str">
            <val>6674</val>
          </value>
          <value t="str">
            <val>鋐寶科技</val>
          </value>
          <value t="str">
            <val>16.9</val>
          </value>
          <value t="str">
            <val>6.80</val>
          </value>
          <value t="str">
            <val>-88.81</val>
          </value>
          <value t="str">
            <val>-152.37</val>
          </value>
          <value t="str">
            <val>2022/09</val>
          </value>
          <value t="str">
            <val>-6.46</val>
          </value>
          <value t="str">
            <val>-24.35</val>
          </value>
          <value t="str">
            <val>2022/11</val>
          </value>
        </values>
      </ddeItem>
      <ddeItem name="6674.TW-OperatingProfitRatio,Price,PriceChangeRatio,InOutRatioNumber,Value,YearReturn,MonthReturn,WeekReturn,FinanceBalanceDif,ChipsField2" advise="1">
        <values cols="10">
          <value t="str">
            <val>-1.73</val>
          </value>
          <value>
            <val>24.8</val>
          </value>
          <value>
            <val>-1.2</val>
          </value>
          <value t="str">
            <val>60.00%</val>
          </value>
          <value t="str">
            <val>12.4萬</val>
          </value>
          <value t="str">
            <val>-17.14</val>
          </value>
          <value t="str">
            <val>+11.96</val>
          </value>
          <value t="str">
            <val>+1.02</val>
          </value>
          <value>
            <val>3</val>
          </value>
          <value>
            <val>0</val>
          </value>
        </values>
      </ddeItem>
      <ddeItem name="6689.TW-ChipsField3,ChipsField1,ChipsField25,CashAndStockDividend,CashDividendYieldRate,ProfitFourSeason,ProfitSingle,CName,ExchangeIndustry,CompanyPos" advise="1">
        <values cols="10">
          <value>
            <val>-5</val>
          </value>
          <value>
            <val>34</val>
          </value>
          <value t="str">
            <val>2022/07/11</val>
          </value>
          <value t="str">
            <val>2.50</val>
          </value>
          <value>
            <val>2.84</val>
          </value>
          <value t="str">
            <val>1.73</val>
          </value>
          <value t="str">
            <val>0.18</val>
          </value>
          <value t="str">
            <val>伊雲谷</val>
          </value>
          <value t="str">
            <val>上市其他電子</val>
          </value>
          <value t="str">
            <val>Amazon旗下AWS雲端服務亞太地區代理商</val>
          </value>
        </values>
      </ddeItem>
      <ddeItem name="6689.TW-CName,InvestorConferenceDate,DateofMeetingofShareHolders,TradingDate" advise="1">
        <values cols="4">
          <value t="str">
            <val>伊雲谷</val>
          </value>
          <value t="str">
            <val>2021/03/26</val>
          </value>
          <value t="str">
            <val>2022/06/23</val>
          </value>
          <value t="str">
            <val>2022/12/22</val>
          </value>
        </values>
      </ddeItem>
      <ddeItem name="6689.TW-ID,Name,MarketValue,Capital,NetIncomeGrowthRate,OperIncomeGrowthRate,FinancialStatementsTime,TFXRatio,MonthlyNetSalesYoY,RevenueMonth" advise="1">
        <values cols="10">
          <value t="str">
            <val>6689</val>
          </value>
          <value t="str">
            <val>伊雲谷</val>
          </value>
          <value t="str">
            <val>59.8</val>
          </value>
          <value t="str">
            <val>6.80</val>
          </value>
          <value t="str">
            <val>-58.96</val>
          </value>
          <value t="str">
            <val>-51.46</val>
          </value>
          <value t="str">
            <val>2022/09</val>
          </value>
          <value t="str">
            <val>5.97</val>
          </value>
          <value t="str">
            <val>-1.32</val>
          </value>
          <value t="str">
            <val>2022/11</val>
          </value>
        </values>
      </ddeItem>
      <ddeItem name="6689.TW-OperatingProfitRatio,Price,PriceChangeRatio,InOutRatioNumber,Value,YearReturn,MonthReturn,WeekReturn,FinanceBalanceDif,ChipsField2" advise="1">
        <values cols="10">
          <value t="str">
            <val>1.56</val>
          </value>
          <value>
            <val>88</val>
          </value>
          <value>
            <val>6.15</val>
          </value>
          <value t="str">
            <val>75.63%</val>
          </value>
          <value t="str">
            <val>6172萬</val>
          </value>
          <value t="str">
            <val>--</val>
          </value>
          <value t="str">
            <val>0.00</val>
          </value>
          <value t="str">
            <val>+2.56</val>
          </value>
          <value>
            <val>0</val>
          </value>
          <value>
            <val>0</val>
          </value>
        </values>
      </ddeItem>
      <ddeItem name="6691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2</val>
          </value>
          <value t="str">
            <val>2022/07/12</val>
          </value>
          <value t="str">
            <val>14.00</val>
          </value>
          <value>
            <val>7.12</val>
          </value>
          <value t="str">
            <val>23.99</val>
          </value>
          <value t="str">
            <val>8.17</val>
          </value>
          <value t="str">
            <val>洋基工程</val>
          </value>
          <value t="str">
            <val>上市其他電子</val>
          </value>
          <value t="str">
            <val>高科技廠房無塵室機電工程業者</val>
          </value>
        </values>
      </ddeItem>
      <ddeItem name="6691.TW-CName,InvestorConferenceDate,DateofMeetingofShareHolders,TradingDate" advise="1">
        <values cols="4">
          <value t="str">
            <val>洋基工程</val>
          </value>
          <value t="str">
            <val>2022/08/24</val>
          </value>
          <value t="str">
            <val>2022/05/26</val>
          </value>
          <value t="str">
            <val>2022/12/22</val>
          </value>
        </values>
      </ddeItem>
      <ddeItem name="6691.TW-ID,Name,MarketValue,Capital,NetIncomeGrowthRate,OperIncomeGrowthRate,FinancialStatementsTime,TFXRatio,MonthlyNetSalesYoY,RevenueMonth" advise="1">
        <values cols="10">
          <value t="str">
            <val>6691</val>
          </value>
          <value t="str">
            <val>洋基工程</val>
          </value>
          <value t="str">
            <val>133.4</val>
          </value>
          <value t="str">
            <val>6.79</val>
          </value>
          <value t="str">
            <val>93.90</val>
          </value>
          <value t="str">
            <val>89.45</val>
          </value>
          <value t="str">
            <val>2022/09</val>
          </value>
          <value t="str">
            <val>7.87</val>
          </value>
          <value t="str">
            <val>50.43</val>
          </value>
          <value t="str">
            <val>2022/11</val>
          </value>
        </values>
      </ddeItem>
      <ddeItem name="6691.TW-OperatingProfitRatio,Price,PriceChangeRatio,InOutRatioNumber,Value,YearReturn,MonthReturn,WeekReturn,FinanceBalanceDif,ChipsField2" advise="1">
        <values cols="10">
          <value t="str">
            <val>16.19</val>
          </value>
          <value>
            <val>196.5</val>
          </value>
          <value>
            <val>0</val>
          </value>
          <value t="str">
            <val>29.09%</val>
          </value>
          <value t="str">
            <val>1099萬</val>
          </value>
          <value t="str">
            <val>--</val>
          </value>
          <value t="str">
            <val>+3.97</val>
          </value>
          <value t="str">
            <val>-0.25</val>
          </value>
          <value>
            <val>5</val>
          </value>
          <value>
            <val>0</val>
          </value>
        </values>
      </ddeItem>
      <ddeItem name="669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-24</val>
          </value>
          <value t="str">
            <val>--</val>
          </value>
          <value t="str">
            <val>0.00</val>
          </value>
          <value>
            <val>0</val>
          </value>
          <value t="str">
            <val>1.35</val>
          </value>
          <value t="str">
            <val>0.29</val>
          </value>
          <value t="str">
            <val>芯鼎</val>
          </value>
          <value t="str">
            <val>上市半導體</val>
          </value>
          <value t="str">
            <val>凌陽旗下影像及視訊處理IC設計公司</val>
          </value>
        </values>
      </ddeItem>
      <ddeItem name="6695.TW-CName,InvestorConferenceDate,DateofMeetingofShareHolders,TradingDate" advise="1">
        <values cols="4">
          <value t="str">
            <val>芯鼎</val>
          </value>
          <value t="str">
            <val>--</val>
          </value>
          <value t="str">
            <val>2022/05/03</val>
          </value>
          <value t="str">
            <val>2022/12/22</val>
          </value>
        </values>
      </ddeItem>
      <ddeItem name="6695.TW-ID,Name,MarketValue,Capital,NetIncomeGrowthRate,OperIncomeGrowthRate,FinancialStatementsTime,TFXRatio,MonthlyNetSalesYoY,RevenueMonth" advise="1">
        <values cols="10">
          <value t="str">
            <val>6695</val>
          </value>
          <value t="str">
            <val>芯鼎</val>
          </value>
          <value t="str">
            <val>35.8</val>
          </value>
          <value t="str">
            <val>9.51</val>
          </value>
          <value t="str">
            <val>-24.70</val>
          </value>
          <value t="str">
            <val>-69.43</val>
          </value>
          <value t="str">
            <val>2022/09</val>
          </value>
          <value t="str">
            <val>-24.98</val>
          </value>
          <value t="str">
            <val>-38.61</val>
          </value>
          <value t="str">
            <val>2022/11</val>
          </value>
        </values>
      </ddeItem>
      <ddeItem name="6695.TW-OperatingProfitRatio,Price,PriceChangeRatio,InOutRatioNumber,Value,YearReturn,MonthReturn,WeekReturn,FinanceBalanceDif,ChipsField2" advise="1">
        <values cols="10">
          <value t="str">
            <val>2.55</val>
          </value>
          <value>
            <val>42.05</val>
          </value>
          <value>
            <val>0.72</val>
          </value>
          <value t="str">
            <val>27.16%</val>
          </value>
          <value t="str">
            <val>986萬</val>
          </value>
          <value t="str">
            <val>--</val>
          </value>
          <value t="str">
            <val>+2.44</val>
          </value>
          <value t="str">
            <val>-8.59</val>
          </value>
          <value>
            <val>0</val>
          </value>
          <value>
            <val>0</val>
          </value>
        </values>
      </ddeItem>
      <ddeItem name="669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0.00</val>
          </value>
          <value>
            <val>0</val>
          </value>
          <value t="str">
            <val>0.10</val>
          </value>
          <value t="str">
            <val>-0.25</val>
          </value>
          <value t="str">
            <val>旭暉應材</val>
          </value>
          <value t="str">
            <val>上市其他電子</val>
          </value>
          <value t="str">
            <val>高精細金屬遮罩生產商</val>
          </value>
        </values>
      </ddeItem>
      <ddeItem name="6698.TW-CName,InvestorConferenceDate,DateofMeetingofShareHolders,TradingDate" advise="1">
        <values cols="4">
          <value t="str">
            <val>旭暉應材</val>
          </value>
          <value t="str">
            <val>2022/11/10</val>
          </value>
          <value t="str">
            <val>2022/06/08</val>
          </value>
          <value t="str">
            <val>2022/12/22</val>
          </value>
        </values>
      </ddeItem>
      <ddeItem name="6698.TW-ID,Name,MarketValue,Capital,NetIncomeGrowthRate,OperIncomeGrowthRate,FinancialStatementsTime,TFXRatio,MonthlyNetSalesYoY,RevenueMonth" advise="1">
        <values cols="10">
          <value t="str">
            <val>6698</val>
          </value>
          <value t="str">
            <val>旭暉應材</val>
          </value>
          <value t="str">
            <val>19.0</val>
          </value>
          <value t="str">
            <val>6.64</val>
          </value>
          <value t="str">
            <val>-22.65</val>
          </value>
          <value t="str">
            <val>-47.76</val>
          </value>
          <value t="str">
            <val>2022/09</val>
          </value>
          <value t="str">
            <val>-9.48</val>
          </value>
          <value t="str">
            <val>23.43</val>
          </value>
          <value t="str">
            <val>2022/11</val>
          </value>
        </values>
      </ddeItem>
      <ddeItem name="6698.TW-OperatingProfitRatio,Price,PriceChangeRatio,InOutRatioNumber,Value,YearReturn,MonthReturn,WeekReturn,FinanceBalanceDif,ChipsField2" advise="1">
        <values cols="10">
          <value t="str">
            <val>1.45</val>
          </value>
          <value>
            <val>28.6</val>
          </value>
          <value>
            <val>0.53</val>
          </value>
          <value t="str">
            <val>41.30%</val>
          </value>
          <value t="str">
            <val>132萬</val>
          </value>
          <value t="str">
            <val>-47.04</val>
          </value>
          <value t="str">
            <val>-0.35</val>
          </value>
          <value t="str">
            <val>-4.03</val>
          </value>
          <value>
            <val>2</val>
          </value>
          <value>
            <val>0</val>
          </value>
        </values>
      </ddeItem>
      <ddeItem name="6706.TW-ChipsField3,ChipsField1,ChipsField25,CashAndStockDividend,CashDividendYieldRate,ProfitFourSeason,ProfitSingle,CName,ExchangeIndustry,CompanyPos" advise="1">
        <values cols="10">
          <value>
            <val>-9</val>
          </value>
          <value>
            <val>-70</val>
          </value>
          <value t="str">
            <val>2022/07/28</val>
          </value>
          <value t="str">
            <val>10.00</val>
          </value>
          <value>
            <val>11.38</val>
          </value>
          <value t="str">
            <val>17.24</val>
          </value>
          <value t="str">
            <val>3.33</val>
          </value>
          <value t="str">
            <val>惠特</val>
          </value>
          <value t="str">
            <val>上市光電</val>
          </value>
          <value t="str">
            <val>鼎元旗下，全球最大LED點測分選設備製造商</val>
          </value>
        </values>
      </ddeItem>
      <ddeItem name="6706.TW-CName,InvestorConferenceDate,DateofMeetingofShareHolders,TradingDate" advise="1">
        <values cols="4">
          <value t="str">
            <val>惠特</val>
          </value>
          <value t="str">
            <val>2022/11/22</val>
          </value>
          <value t="str">
            <val>2022/06/24</val>
          </value>
          <value t="str">
            <val>2022/12/22</val>
          </value>
        </values>
      </ddeItem>
      <ddeItem name="6706.TW-ID,Name,MarketValue,Capital,NetIncomeGrowthRate,OperIncomeGrowthRate,FinancialStatementsTime,TFXRatio,MonthlyNetSalesYoY,RevenueMonth" advise="1">
        <values cols="10">
          <value t="str">
            <val>6706</val>
          </value>
          <value t="str">
            <val>惠特</val>
          </value>
          <value t="str">
            <val>64.6</val>
          </value>
          <value t="str">
            <val>7.35</val>
          </value>
          <value t="str">
            <val>38.24</val>
          </value>
          <value t="str">
            <val>-21.79</val>
          </value>
          <value t="str">
            <val>2022/09</val>
          </value>
          <value t="str">
            <val>1.03</val>
          </value>
          <value t="str">
            <val>-76.78</val>
          </value>
          <value t="str">
            <val>2022/11</val>
          </value>
        </values>
      </ddeItem>
      <ddeItem name="6706.TW-OperatingProfitRatio,Price,PriceChangeRatio,InOutRatioNumber,Value,YearReturn,MonthReturn,WeekReturn,FinanceBalanceDif,ChipsField2" advise="1">
        <values cols="10">
          <value t="str">
            <val>16.32</val>
          </value>
          <value>
            <val>87.9</val>
          </value>
          <value>
            <val>1.1499999999999999</val>
          </value>
          <value t="str">
            <val>42.17%</val>
          </value>
          <value t="str">
            <val>1592萬</val>
          </value>
          <value t="str">
            <val>-56.30</val>
          </value>
          <value t="str">
            <val>+0.11</val>
          </value>
          <value t="str">
            <val>-7.38</val>
          </value>
          <value>
            <val>13</val>
          </value>
          <value>
            <val>0</val>
          </value>
        </values>
      </ddeItem>
      <ddeItem name="6715.TW-ChipsField3,ChipsField1,ChipsField25,CashAndStockDividend,CashDividendYieldRate,ProfitFourSeason,ProfitSingle,CName,ExchangeIndustry,CompanyPos" advise="1">
        <values cols="10">
          <value>
            <val>-2</val>
          </value>
          <value>
            <val>-36</val>
          </value>
          <value t="str">
            <val>2022/07/14</val>
          </value>
          <value t="str">
            <val>1.80</val>
          </value>
          <value>
            <val>1.35</val>
          </value>
          <value t="str">
            <val>8.33</val>
          </value>
          <value t="str">
            <val>3.24</val>
          </value>
          <value t="str">
            <val>嘉基</val>
          </value>
          <value t="str">
            <val>上市電子零組件</val>
          </value>
          <value t="str">
            <val>嘉澤轉投資之高速連接線器廠商</val>
          </value>
        </values>
      </ddeItem>
      <ddeItem name="6715.TW-CName,InvestorConferenceDate,DateofMeetingofShareHolders,TradingDate" advise="1">
        <values cols="4">
          <value t="str">
            <val>嘉基</val>
          </value>
          <value t="str">
            <val>2021/09/16</val>
          </value>
          <value t="str">
            <val>2022/06/15</val>
          </value>
          <value t="str">
            <val>2022/12/22</val>
          </value>
        </values>
      </ddeItem>
      <ddeItem name="6715.TW-ID,Name,MarketValue,Capital,NetIncomeGrowthRate,OperIncomeGrowthRate,FinancialStatementsTime,TFXRatio,MonthlyNetSalesYoY,RevenueMonth" advise="1">
        <values cols="10">
          <value t="str">
            <val>6715</val>
          </value>
          <value t="str">
            <val>嘉基</val>
          </value>
          <value t="str">
            <val>80.5</val>
          </value>
          <value t="str">
            <val>6.19</val>
          </value>
          <value t="str">
            <val>238.29</val>
          </value>
          <value t="str">
            <val>186.49</val>
          </value>
          <value t="str">
            <val>2022/09</val>
          </value>
          <value t="str">
            <val>2.21</val>
          </value>
          <value t="str">
            <val>56.62</val>
          </value>
          <value t="str">
            <val>2022/11</val>
          </value>
        </values>
      </ddeItem>
      <ddeItem name="6715.TW-OperatingProfitRatio,Price,PriceChangeRatio,InOutRatioNumber,Value,YearReturn,MonthReturn,WeekReturn,FinanceBalanceDif,ChipsField2" advise="1">
        <values cols="10">
          <value t="str">
            <val>20.24</val>
          </value>
          <value>
            <val>133</val>
          </value>
          <value>
            <val>1.1399999999999999</val>
          </value>
          <value t="str">
            <val>54.99%</val>
          </value>
          <value t="str">
            <val>5626萬</val>
          </value>
          <value t="str">
            <val>+14.04</val>
          </value>
          <value t="str">
            <val>-1.85</val>
          </value>
          <value t="str">
            <val>-10.14</val>
          </value>
          <value>
            <val>-2</val>
          </value>
          <value>
            <val>0</val>
          </value>
        </values>
      </ddeItem>
      <ddeItem name="6719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-23</val>
          </value>
          <value t="str">
            <val>2022/08/30</val>
          </value>
          <value t="str">
            <val>7.49</val>
          </value>
          <value>
            <val>2.9</val>
          </value>
          <value t="str">
            <val>19.07</val>
          </value>
          <value t="str">
            <val>3.76</val>
          </value>
          <value t="str">
            <val>力智</val>
          </value>
          <value t="str">
            <val>上市半導體</val>
          </value>
          <value t="str">
            <val>華碩轉投資的電源管理IC設計公司</val>
          </value>
        </values>
      </ddeItem>
      <ddeItem name="6719.TW-CName,InvestorConferenceDate,DateofMeetingofShareHolders,TradingDate" advise="1">
        <values cols="4">
          <value t="str">
            <val>力智</val>
          </value>
          <value t="str">
            <val>2022/11/18</val>
          </value>
          <value t="str">
            <val>2022/05/27</val>
          </value>
          <value t="str">
            <val>2022/12/22</val>
          </value>
        </values>
      </ddeItem>
      <ddeItem name="6719.TW-ID,Name,MarketValue,Capital,NetIncomeGrowthRate,OperIncomeGrowthRate,FinancialStatementsTime,TFXRatio,MonthlyNetSalesYoY,RevenueMonth" advise="1">
        <values cols="10">
          <value t="str">
            <val>6719</val>
          </value>
          <value t="str">
            <val>力智</val>
          </value>
          <value t="str">
            <val>202.4</val>
          </value>
          <value t="str">
            <val>7.83</val>
          </value>
          <value t="str">
            <val>41.99</val>
          </value>
          <value t="str">
            <val>30.47</val>
          </value>
          <value t="str">
            <val>2022/09</val>
          </value>
          <value t="str">
            <val>-10.97</val>
          </value>
          <value t="str">
            <val>-45.21</val>
          </value>
          <value t="str">
            <val>2022/11</val>
          </value>
        </values>
      </ddeItem>
      <ddeItem name="6719.TW-OperatingProfitRatio,Price,PriceChangeRatio,InOutRatioNumber,Value,YearReturn,MonthReturn,WeekReturn,FinanceBalanceDif,ChipsField2" advise="1">
        <values cols="10">
          <value t="str">
            <val>24.72</val>
          </value>
          <value>
            <val>258.5</val>
          </value>
          <value>
            <val>0.78</val>
          </value>
          <value t="str">
            <val>42.86%</val>
          </value>
          <value t="str">
            <val>2.66億</val>
          </value>
          <value t="str">
            <val>--</val>
          </value>
          <value t="str">
            <val>-0.58</val>
          </value>
          <value t="str">
            <val>-7.18</val>
          </value>
          <value>
            <val>14</val>
          </value>
          <value>
            <val>8</val>
          </value>
        </values>
      </ddeItem>
      <ddeItem name="674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2022/08/03</val>
          </value>
          <value t="str">
            <val>0.50</val>
          </value>
          <value>
            <val>1.39</val>
          </value>
          <value t="str">
            <val>0.23</val>
          </value>
          <value t="str">
            <val>0.26</val>
          </value>
          <value t="str">
            <val>安普新</val>
          </value>
          <value t="str">
            <val>上市其他電子</val>
          </value>
          <value t="str">
            <val>台灣音樂娛樂或電競用耳機製造商</val>
          </value>
        </values>
      </ddeItem>
      <ddeItem name="6743.TW-CName,InvestorConferenceDate,DateofMeetingofShareHolders,TradingDate" advise="1">
        <values cols="4">
          <value t="str">
            <val>安普新</val>
          </value>
          <value t="str">
            <val>2022/11/28</val>
          </value>
          <value t="str">
            <val>2022/06/14</val>
          </value>
          <value t="str">
            <val>2022/12/22</val>
          </value>
        </values>
      </ddeItem>
      <ddeItem name="6743.TW-ID,Name,MarketValue,Capital,NetIncomeGrowthRate,OperIncomeGrowthRate,FinancialStatementsTime,TFXRatio,MonthlyNetSalesYoY,RevenueMonth" advise="1">
        <values cols="10">
          <value t="str">
            <val>6743</val>
          </value>
          <value t="str">
            <val>安普新</val>
          </value>
          <value t="str">
            <val>54.1</val>
          </value>
          <value t="str">
            <val>15.00</val>
          </value>
          <value t="str">
            <val>2298.57</val>
          </value>
          <value t="str">
            <val>1517.18</val>
          </value>
          <value t="str">
            <val>2022/09</val>
          </value>
          <value t="str">
            <val>-7.14</val>
          </value>
          <value t="str">
            <val>-39.70</val>
          </value>
          <value t="str">
            <val>2022/11</val>
          </value>
        </values>
      </ddeItem>
      <ddeItem name="6743.TW-OperatingProfitRatio,Price,PriceChangeRatio,InOutRatioNumber,Value,YearReturn,MonthReturn,WeekReturn,FinanceBalanceDif,ChipsField2" advise="1">
        <values cols="10">
          <value t="str">
            <val>2.00</val>
          </value>
          <value>
            <val>36.049999999999997</val>
          </value>
          <value>
            <val>0.42</val>
          </value>
          <value t="str">
            <val>48.48%</val>
          </value>
          <value t="str">
            <val>278萬</val>
          </value>
          <value t="str">
            <val>-49.22</val>
          </value>
          <value t="str">
            <val>+6.66</val>
          </value>
          <value t="str">
            <val>-4.38</val>
          </value>
          <value>
            <val>-3</val>
          </value>
          <value>
            <val>0</val>
          </value>
        </values>
      </ddeItem>
      <ddeItem name="675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-13</val>
          </value>
          <value t="str">
            <val>2022/07/07</val>
          </value>
          <value t="str">
            <val>3.50</val>
          </value>
          <value>
            <val>7.44</val>
          </value>
          <value t="str">
            <val>5.06</val>
          </value>
          <value t="str">
            <val>1.70</val>
          </value>
          <value t="str">
            <val>匯僑設計</val>
          </value>
          <value t="str">
            <val>上市其他</val>
          </value>
          <value t="str">
            <val>主要從事建築室內設計及裝潢裝修工程</val>
          </value>
        </values>
      </ddeItem>
      <ddeItem name="6754.TW-CName,InvestorConferenceDate,DateofMeetingofShareHolders,TradingDate" advise="1">
        <values cols="4">
          <value t="str">
            <val>匯僑設計</val>
          </value>
          <value t="str">
            <val>2022/11/24</val>
          </value>
          <value t="str">
            <val>2022/06/09</val>
          </value>
          <value t="str">
            <val>2022/12/22</val>
          </value>
        </values>
      </ddeItem>
      <ddeItem name="6754.TW-ID,Name,MarketValue,Capital,NetIncomeGrowthRate,OperIncomeGrowthRate,FinancialStatementsTime,TFXRatio,MonthlyNetSalesYoY,RevenueMonth" advise="1">
        <values cols="10">
          <value t="str">
            <val>6754</val>
          </value>
          <value t="str">
            <val>匯僑設計</val>
          </value>
          <value t="str">
            <val>31.1</val>
          </value>
          <value t="str">
            <val>6.60</val>
          </value>
          <value t="str">
            <val>94.03</val>
          </value>
          <value t="str">
            <val>55.82</val>
          </value>
          <value t="str">
            <val>2022/09</val>
          </value>
          <value t="str">
            <val>-17.70</val>
          </value>
          <value t="str">
            <val>3.87</val>
          </value>
          <value t="str">
            <val>2022/11</val>
          </value>
        </values>
      </ddeItem>
      <ddeItem name="6754.TW-OperatingProfitRatio,Price,PriceChangeRatio,InOutRatioNumber,Value,YearReturn,MonthReturn,WeekReturn,FinanceBalanceDif,ChipsField2" advise="1">
        <values cols="10">
          <value t="str">
            <val>7.46</val>
          </value>
          <value>
            <val>47.05</val>
          </value>
          <value>
            <val>1.18</val>
          </value>
          <value t="str">
            <val>80.30%</val>
          </value>
          <value t="str">
            <val>309萬</val>
          </value>
          <value t="str">
            <val>+25.22</val>
          </value>
          <value t="str">
            <val>-7.20</val>
          </value>
          <value t="str">
            <val>-2.79</val>
          </value>
          <value>
            <val>-6</val>
          </value>
          <value>
            <val>0</val>
          </value>
        </values>
      </ddeItem>
      <ddeItem name="6756.TW-ChipsField3,ChipsField1,ChipsField25,CashAndStockDividend,CashDividendYieldRate,ProfitFourSeason,ProfitSingle,CName,ExchangeIndustry,CompanyPos" advise="1">
        <values cols="10">
          <value>
            <val>-5</val>
          </value>
          <value>
            <val>30</val>
          </value>
          <value t="str">
            <val>2022/04/07</val>
          </value>
          <value t="str">
            <val>10.99</val>
          </value>
          <value>
            <val>5.64</val>
          </value>
          <value t="str">
            <val>13.62</val>
          </value>
          <value t="str">
            <val>2.01</val>
          </value>
          <value t="str">
            <val>威鋒電子</val>
          </value>
          <value t="str">
            <val>上市半導體</val>
          </value>
          <value t="str">
            <val>威盛旗下USB高速傳輸控制晶片廠</val>
          </value>
        </values>
      </ddeItem>
      <ddeItem name="6756.TW-CName,InvestorConferenceDate,DateofMeetingofShareHolders,TradingDate" advise="1">
        <values cols="4">
          <value t="str">
            <val>威鋒電子</val>
          </value>
          <value t="str">
            <val>2022/11/02</val>
          </value>
          <value t="str">
            <val>2022/06/17</val>
          </value>
          <value t="str">
            <val>2022/12/22</val>
          </value>
        </values>
      </ddeItem>
      <ddeItem name="6756.TW-ID,Name,MarketValue,Capital,NetIncomeGrowthRate,OperIncomeGrowthRate,FinancialStatementsTime,TFXRatio,MonthlyNetSalesYoY,RevenueMonth" advise="1">
        <values cols="10">
          <value t="str">
            <val>6756</val>
          </value>
          <value t="str">
            <val>威鋒電子</val>
          </value>
          <value t="str">
            <val>133.6</val>
          </value>
          <value t="str">
            <val>6.85</val>
          </value>
          <value t="str">
            <val>7.68</val>
          </value>
          <value t="str">
            <val>-11.91</val>
          </value>
          <value t="str">
            <val>2022/09</val>
          </value>
          <value t="str">
            <val>-29.64</val>
          </value>
          <value t="str">
            <val>-56.70</val>
          </value>
          <value t="str">
            <val>2022/11</val>
          </value>
        </values>
      </ddeItem>
      <ddeItem name="6756.TW-OperatingProfitRatio,Price,PriceChangeRatio,InOutRatioNumber,Value,YearReturn,MonthReturn,WeekReturn,FinanceBalanceDif,ChipsField2" advise="1">
        <values cols="10">
          <value t="str">
            <val>26.66</val>
          </value>
          <value>
            <val>195</val>
          </value>
          <value>
            <val>1.04</val>
          </value>
          <value t="str">
            <val>42.86%</val>
          </value>
          <value t="str">
            <val>4451萬</val>
          </value>
          <value t="str">
            <val>-60.72</val>
          </value>
          <value t="str">
            <val>-6.70</val>
          </value>
          <value t="str">
            <val>-7.14</val>
          </value>
          <value>
            <val>13</val>
          </value>
          <value>
            <val>0</val>
          </value>
        </values>
      </ddeItem>
      <ddeItem name="6768.TW-ChipsField3,ChipsField1,ChipsField25,CashAndStockDividend,CashDividendYieldRate,ProfitFourSeason,ProfitSingle,CName,ExchangeIndustry,CompanyPos" advise="1">
        <values cols="10">
          <value>
            <val>-4</val>
          </value>
          <value>
            <val>-2</val>
          </value>
          <value t="str">
            <val>2022/06/23</val>
          </value>
          <value t="str">
            <val>3.50</val>
          </value>
          <value>
            <val>4.7699999999999996</val>
          </value>
          <value t="str">
            <val>8.26</val>
          </value>
          <value t="str">
            <val>3.36</val>
          </value>
          <value t="str">
            <val>志強-KY</val>
          </value>
          <value t="str">
            <val>上市其他</val>
          </value>
          <value t="str">
            <val>足球鞋製造龍頭大廠</val>
          </value>
        </values>
      </ddeItem>
      <ddeItem name="6768.TW-CName,InvestorConferenceDate,DateofMeetingofShareHolders,TradingDate" advise="1">
        <values cols="4">
          <value t="str">
            <val>志強-KY</val>
          </value>
          <value t="str">
            <val>2022/11/23</val>
          </value>
          <value t="str">
            <val>2022/05/27</val>
          </value>
          <value t="str">
            <val>2022/12/22</val>
          </value>
        </values>
      </ddeItem>
      <ddeItem name="6768.TW-ID,Name,MarketValue,Capital,NetIncomeGrowthRate,OperIncomeGrowthRate,FinancialStatementsTime,TFXRatio,MonthlyNetSalesYoY,RevenueMonth" advise="1">
        <values cols="10">
          <value t="str">
            <val>6768</val>
          </value>
          <value t="str">
            <val>志強-KY</val>
          </value>
          <value t="str">
            <val>143.7</val>
          </value>
          <value t="str">
            <val>19.60</val>
          </value>
          <value t="str">
            <val>190.23</val>
          </value>
          <value t="str">
            <val>172.25</val>
          </value>
          <value t="str">
            <val>2022/09</val>
          </value>
          <value t="str">
            <val>-18.59</val>
          </value>
          <value t="str">
            <val>45.41</val>
          </value>
          <value t="str">
            <val>2022/11</val>
          </value>
        </values>
      </ddeItem>
      <ddeItem name="6768.TW-OperatingProfitRatio,Price,PriceChangeRatio,InOutRatioNumber,Value,YearReturn,MonthReturn,WeekReturn,FinanceBalanceDif,ChipsField2" advise="1">
        <values cols="10">
          <value t="str">
            <val>12.10</val>
          </value>
          <value>
            <val>73.3</val>
          </value>
          <value>
            <val>0.83</val>
          </value>
          <value t="str">
            <val>57.14%</val>
          </value>
          <value t="str">
            <val>6091萬</val>
          </value>
          <value t="str">
            <val>+14.30</val>
          </value>
          <value t="str">
            <val>-10.17</val>
          </value>
          <value t="str">
            <val>-3.04</val>
          </value>
          <value>
            <val>98</val>
          </value>
          <value>
            <val>0</val>
          </value>
        </values>
      </ddeItem>
      <ddeItem name="6770.TW-ChipsField3,ChipsField1,ChipsField25,CashAndStockDividend,CashDividendYieldRate,ProfitFourSeason,ProfitSingle,CName,ExchangeIndustry,CompanyPos" advise="1">
        <values cols="10">
          <value>
            <val>-322</val>
          </value>
          <value>
            <val>-5145</val>
          </value>
          <value t="str">
            <val>2022/08/23</val>
          </value>
          <value t="str">
            <val>0.73</val>
          </value>
          <value>
            <val>5.48</val>
          </value>
          <value t="str">
            <val>7.29</val>
          </value>
          <value t="str">
            <val>1.61</val>
          </value>
          <value t="str">
            <val>力積電</val>
          </value>
          <value t="str">
            <val>上市半導體</val>
          </value>
          <value t="str">
            <val>全球前十大晶圓代工廠之一</val>
          </value>
        </values>
      </ddeItem>
      <ddeItem name="6770.TW-CName,InvestorConferenceDate,DateofMeetingofShareHolders,TradingDate" advise="1">
        <values cols="4">
          <value t="str">
            <val>力積電</val>
          </value>
          <value t="str">
            <val>2022/10/13</val>
          </value>
          <value t="str">
            <val>2022/06/17</val>
          </value>
          <value t="str">
            <val>2022/12/22</val>
          </value>
        </values>
      </ddeItem>
      <ddeItem name="6770.TW-ID,Name,MarketValue,Capital,NetIncomeGrowthRate,OperIncomeGrowthRate,FinancialStatementsTime,TFXRatio,MonthlyNetSalesYoY,RevenueMonth" advise="1">
        <values cols="10">
          <value t="str">
            <val>6770</val>
          </value>
          <value t="str">
            <val>力積電</val>
          </value>
          <value t="str">
            <val>1318.3</val>
          </value>
          <value t="str">
            <val>397.77</val>
          </value>
          <value t="str">
            <val>99.30</val>
          </value>
          <value t="str">
            <val>87.38</val>
          </value>
          <value t="str">
            <val>2022/09</val>
          </value>
          <value t="str">
            <val>-20.59</val>
          </value>
          <value t="str">
            <val>-32.42</val>
          </value>
          <value t="str">
            <val>2022/11</val>
          </value>
        </values>
      </ddeItem>
      <ddeItem name="6770.TW-OperatingProfitRatio,Price,PriceChangeRatio,InOutRatioNumber,Value,YearReturn,MonthReturn,WeekReturn,FinanceBalanceDif,ChipsField2" advise="1">
        <values cols="10">
          <value t="str">
            <val>38.10</val>
          </value>
          <value>
            <val>33.4</val>
          </value>
          <value>
            <val>2.2999999999999998</val>
          </value>
          <value t="str">
            <val>70.46%</val>
          </value>
          <value t="str">
            <val>6.11億</val>
          </value>
          <value t="str">
            <val>-50.80</val>
          </value>
          <value t="str">
            <val>+1.67</val>
          </value>
          <value t="str">
            <val>+0.15</val>
          </value>
          <value>
            <val>15</val>
          </value>
          <value>
            <val>6276</val>
          </value>
        </values>
      </ddeItem>
      <ddeItem name="677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</val>
          </value>
          <value t="str">
            <val>2022/07/06</val>
          </value>
          <value t="str">
            <val>3.20</val>
          </value>
          <value>
            <val>8.2100000000000009</val>
          </value>
          <value t="str">
            <val>5.04</val>
          </value>
          <value t="str">
            <val>1.29</val>
          </value>
          <value t="str">
            <val>展碁國際</val>
          </value>
          <value t="str">
            <val>上市電子通路</val>
          </value>
          <value t="str">
            <val>台灣第二大電子通路代理商</val>
          </value>
        </values>
      </ddeItem>
      <ddeItem name="6776.TW-CName,InvestorConferenceDate,DateofMeetingofShareHolders,TradingDate" advise="1">
        <values cols="4">
          <value t="str">
            <val>展碁國際</val>
          </value>
          <value t="str">
            <val>2022/04/15</val>
          </value>
          <value t="str">
            <val>2022/06/09</val>
          </value>
          <value t="str">
            <val>2022/12/22</val>
          </value>
        </values>
      </ddeItem>
      <ddeItem name="6776.TW-ID,Name,MarketValue,Capital,NetIncomeGrowthRate,OperIncomeGrowthRate,FinancialStatementsTime,TFXRatio,MonthlyNetSalesYoY,RevenueMonth" advise="1">
        <values cols="10">
          <value t="str">
            <val>6776</val>
          </value>
          <value t="str">
            <val>展碁國際</val>
          </value>
          <value t="str">
            <val>31.8</val>
          </value>
          <value t="str">
            <val>8.16</val>
          </value>
          <value t="str">
            <val>41.61</val>
          </value>
          <value t="str">
            <val>94.91</val>
          </value>
          <value t="str">
            <val>2022/09</val>
          </value>
          <value t="str">
            <val>14.54</val>
          </value>
          <value t="str">
            <val>-8.89</val>
          </value>
          <value t="str">
            <val>2022/11</val>
          </value>
        </values>
      </ddeItem>
      <ddeItem name="6776.TW-OperatingProfitRatio,Price,PriceChangeRatio,InOutRatioNumber,Value,YearReturn,MonthReturn,WeekReturn,FinanceBalanceDif,ChipsField2" advise="1">
        <values cols="10">
          <value t="str">
            <val>2.18</val>
          </value>
          <value>
            <val>39</val>
          </value>
          <value>
            <val>0.91</val>
          </value>
          <value t="str">
            <val>100.00%</val>
          </value>
          <value t="str">
            <val>3.90萬</val>
          </value>
          <value t="str">
            <val>+1.54</val>
          </value>
          <value t="str">
            <val>+1.30</val>
          </value>
          <value t="str">
            <val>0.00</val>
          </value>
          <value>
            <val>0</val>
          </value>
          <value>
            <val>0</val>
          </value>
        </values>
      </ddeItem>
      <ddeItem name="6781.TW-ChipsField3,ChipsField1,ChipsField25,CashAndStockDividend,CashDividendYieldRate,ProfitFourSeason,ProfitSingle,CName,ExchangeIndustry,CompanyPos" advise="1">
        <values cols="10">
          <value>
            <val>2</val>
          </value>
          <value>
            <val>-58</val>
          </value>
          <value t="str">
            <val>2022/07/13</val>
          </value>
          <value t="str">
            <val>15.00</val>
          </value>
          <value>
            <val>2.2400000000000002</val>
          </value>
          <value t="str">
            <val>36.93</val>
          </value>
          <value t="str">
            <val>10.70</val>
          </value>
          <value t="str">
            <val>AES-KY</val>
          </value>
          <value t="str">
            <val>上市電子零組件</val>
          </value>
          <value t="str">
            <val>新普轉投資之鋰電池模組製造商</val>
          </value>
        </values>
      </ddeItem>
      <ddeItem name="6781.TW-CName,InvestorConferenceDate,DateofMeetingofShareHolders,TradingDate" advise="1">
        <values cols="4">
          <value t="str">
            <val>AES-KY</val>
          </value>
          <value t="str">
            <val>--</val>
          </value>
          <value t="str">
            <val>2022/06/14</val>
          </value>
          <value t="str">
            <val>2022/12/22</val>
          </value>
        </values>
      </ddeItem>
      <ddeItem name="6781.TW-ID,Name,MarketValue,Capital,NetIncomeGrowthRate,OperIncomeGrowthRate,FinancialStatementsTime,TFXRatio,MonthlyNetSalesYoY,RevenueMonth" advise="1">
        <values cols="10">
          <value t="str">
            <val>6781</val>
          </value>
          <value t="str">
            <val>AES-KY</val>
          </value>
          <value t="str">
            <val>573.2</val>
          </value>
          <value t="str">
            <val>8.54</val>
          </value>
          <value t="str">
            <val>36.96</val>
          </value>
          <value t="str">
            <val>35.68</val>
          </value>
          <value t="str">
            <val>2022/09</val>
          </value>
          <value t="str">
            <val>-14.37</val>
          </value>
          <value t="str">
            <val>0.89</val>
          </value>
          <value t="str">
            <val>2022/11</val>
          </value>
        </values>
      </ddeItem>
      <ddeItem name="6781.TW-OperatingProfitRatio,Price,PriceChangeRatio,InOutRatioNumber,Value,YearReturn,MonthReturn,WeekReturn,FinanceBalanceDif,ChipsField2" advise="1">
        <values cols="10">
          <value t="str">
            <val>26.38</val>
          </value>
          <value>
            <val>671</val>
          </value>
          <value>
            <val>-1.76</val>
          </value>
          <value t="str">
            <val>45.16%</val>
          </value>
          <value t="str">
            <val>7.46億</val>
          </value>
          <value t="str">
            <val>-56.49</val>
          </value>
          <value t="str">
            <val>+3.71</val>
          </value>
          <value t="str">
            <val>-6.55</val>
          </value>
          <value>
            <val>-4</val>
          </value>
          <value>
            <val>-3</val>
          </value>
        </values>
      </ddeItem>
      <ddeItem name="6782.TW-ChipsField3,ChipsField1,ChipsField25,CashAndStockDividend,CashDividendYieldRate,ProfitFourSeason,ProfitSingle,CName,ExchangeIndustry,CompanyPos" advise="1">
        <values cols="10">
          <value>
            <val>5</val>
          </value>
          <value>
            <val>27</val>
          </value>
          <value t="str">
            <val>2022/07/27</val>
          </value>
          <value t="str">
            <val>4.00</val>
          </value>
          <value>
            <val>1.33</val>
          </value>
          <value t="str">
            <val>12.57</val>
          </value>
          <value t="str">
            <val>3.37</val>
          </value>
          <value t="str">
            <val>視陽</val>
          </value>
          <value t="str">
            <val>上市生技醫療</val>
          </value>
          <value t="str">
            <val>明基材轉投資，為亞洲最大矽水膠隱形眼鏡製造商</val>
          </value>
        </values>
      </ddeItem>
      <ddeItem name="6782.TW-CName,InvestorConferenceDate,DateofMeetingofShareHolders,TradingDate" advise="1">
        <values cols="4">
          <value t="str">
            <val>視陽</val>
          </value>
          <value t="str">
            <val>--</val>
          </value>
          <value t="str">
            <val>2022/06/17</val>
          </value>
          <value t="str">
            <val>2022/12/22</val>
          </value>
        </values>
      </ddeItem>
      <ddeItem name="6782.TW-ID,Name,MarketValue,Capital,NetIncomeGrowthRate,OperIncomeGrowthRate,FinancialStatementsTime,TFXRatio,MonthlyNetSalesYoY,RevenueMonth" advise="1">
        <values cols="10">
          <value t="str">
            <val>6782</val>
          </value>
          <value t="str">
            <val>視陽</val>
          </value>
          <value t="str">
            <val>189.0</val>
          </value>
          <value t="str">
            <val>6.30</val>
          </value>
          <value t="str">
            <val>97.08</val>
          </value>
          <value t="str">
            <val>115.65</val>
          </value>
          <value t="str">
            <val>2022/09</val>
          </value>
          <value t="str">
            <val>-11.45</val>
          </value>
          <value t="str">
            <val>10.13</val>
          </value>
          <value t="str">
            <val>2022/11</val>
          </value>
        </values>
      </ddeItem>
      <ddeItem name="6782.TW-OperatingProfitRatio,Price,PriceChangeRatio,InOutRatioNumber,Value,YearReturn,MonthReturn,WeekReturn,FinanceBalanceDif,ChipsField2" advise="1">
        <values cols="10">
          <value t="str">
            <val>26.57</val>
          </value>
          <value>
            <val>300</val>
          </value>
          <value>
            <val>-3.23</val>
          </value>
          <value t="str">
            <val>23.60%</val>
          </value>
          <value t="str">
            <val>5.01億</val>
          </value>
          <value t="str">
            <val>--</val>
          </value>
          <value t="str">
            <val>--</val>
          </value>
          <value t="str">
            <val>-13.79</val>
          </value>
          <value>
            <val>0</val>
          </value>
          <value>
            <val>0</val>
          </value>
        </values>
      </ddeItem>
      <ddeItem name="6789.TW-ChipsField3,ChipsField1,ChipsField25,CashAndStockDividend,CashDividendYieldRate,ProfitFourSeason,ProfitSingle,CName,ExchangeIndustry,CompanyPos" advise="1">
        <values cols="10">
          <value>
            <val>-19</val>
          </value>
          <value>
            <val>37</val>
          </value>
          <value t="str">
            <val>2022/07/14</val>
          </value>
          <value t="str">
            <val>1.86</val>
          </value>
          <value>
            <val>0.94</val>
          </value>
          <value t="str">
            <val>6.86</val>
          </value>
          <value t="str">
            <val>1.21</val>
          </value>
          <value t="str">
            <val>采鈺</val>
          </value>
          <value t="str">
            <val>上市半導體</val>
          </value>
          <value t="str">
            <val>台積電旗下影像感測器後段製程生產企業</val>
          </value>
        </values>
      </ddeItem>
      <ddeItem name="6789.TW-CName,InvestorConferenceDate,DateofMeetingofShareHolders,TradingDate" advise="1">
        <values cols="4">
          <value t="str">
            <val>采鈺</val>
          </value>
          <value t="str">
            <val>2022/11/09</val>
          </value>
          <value t="str">
            <val>2022/05/24</val>
          </value>
          <value t="str">
            <val>2022/12/22</val>
          </value>
        </values>
      </ddeItem>
      <ddeItem name="6789.TW-ID,Name,MarketValue,Capital,NetIncomeGrowthRate,OperIncomeGrowthRate,FinancialStatementsTime,TFXRatio,MonthlyNetSalesYoY,RevenueMonth" advise="1">
        <values cols="10">
          <value t="str">
            <val>6789</val>
          </value>
          <value t="str">
            <val>采鈺</val>
          </value>
          <value t="str">
            <val>624.7</val>
          </value>
          <value t="str">
            <val>31.55</val>
          </value>
          <value t="str">
            <val>-7.08</val>
          </value>
          <value t="str">
            <val>-10.38</val>
          </value>
          <value t="str">
            <val>2022/09</val>
          </value>
          <value t="str">
            <val>-3.88</val>
          </value>
          <value t="str">
            <val>-14.34</val>
          </value>
          <value t="str">
            <val>2022/11</val>
          </value>
        </values>
      </ddeItem>
      <ddeItem name="6789.TW-OperatingProfitRatio,Price,PriceChangeRatio,InOutRatioNumber,Value,YearReturn,MonthReturn,WeekReturn,FinanceBalanceDif,ChipsField2" advise="1">
        <values cols="10">
          <value t="str">
            <val>25.73</val>
          </value>
          <value>
            <val>198</val>
          </value>
          <value>
            <val>-0.75</val>
          </value>
          <value t="str">
            <val>32.45%</val>
          </value>
          <value t="str">
            <val>1.69億</val>
          </value>
          <value t="str">
            <val>--</val>
          </value>
          <value t="str">
            <val>-5.94</val>
          </value>
          <value t="str">
            <val>-13.16</val>
          </value>
          <value>
            <val>0</val>
          </value>
          <value>
            <val>0</val>
          </value>
        </values>
      </ddeItem>
      <ddeItem name="6790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0</val>
          </value>
          <value t="str">
            <val>2022/07/04</val>
          </value>
          <value t="str">
            <val>3.00</val>
          </value>
          <value>
            <val>8.43</val>
          </value>
          <value t="str">
            <val>2.98</val>
          </value>
          <value t="str">
            <val>0.56</val>
          </value>
          <value t="str">
            <val>永豐實</val>
          </value>
          <value t="str">
            <val>上市造紙</val>
          </value>
          <value t="str">
            <val>台灣家庭用紙龍頭製造商，為永豐餘旗下子公司</val>
          </value>
        </values>
      </ddeItem>
      <ddeItem name="6790.TW-CName,InvestorConferenceDate,DateofMeetingofShareHolders,TradingDate" advise="1">
        <values cols="4">
          <value t="str">
            <val>永豐實</val>
          </value>
          <value t="str">
            <val>2022/11/24</val>
          </value>
          <value t="str">
            <val>2022/06/15</val>
          </value>
          <value t="str">
            <val>2022/12/22</val>
          </value>
        </values>
      </ddeItem>
      <ddeItem name="6790.TW-ID,Name,MarketValue,Capital,NetIncomeGrowthRate,OperIncomeGrowthRate,FinancialStatementsTime,TFXRatio,MonthlyNetSalesYoY,RevenueMonth" advise="1">
        <values cols="10">
          <value t="str">
            <val>6790</val>
          </value>
          <value t="str">
            <val>永豐實</val>
          </value>
          <value t="str">
            <val>95.1</val>
          </value>
          <value t="str">
            <val>26.71</val>
          </value>
          <value t="str">
            <val>-33.41</val>
          </value>
          <value t="str">
            <val>-24.75</val>
          </value>
          <value t="str">
            <val>2022/09</val>
          </value>
          <value t="str">
            <val>5.90</val>
          </value>
          <value t="str">
            <val>6.61</val>
          </value>
          <value t="str">
            <val>2022/11</val>
          </value>
        </values>
      </ddeItem>
      <ddeItem name="6790.TW-OperatingProfitRatio,Price,PriceChangeRatio,InOutRatioNumber,Value,YearReturn,MonthReturn,WeekReturn,FinanceBalanceDif,ChipsField2" advise="1">
        <values cols="10">
          <value t="str">
            <val>9.90</val>
          </value>
          <value>
            <val>35.6</val>
          </value>
          <value>
            <val>-0.42</val>
          </value>
          <value t="str">
            <val>52.00%</val>
          </value>
          <value t="str">
            <val>89.3萬</val>
          </value>
          <value t="str">
            <val>-21.08</val>
          </value>
          <value t="str">
            <val>-0.14</val>
          </value>
          <value t="str">
            <val>-2.47</val>
          </value>
          <value>
            <val>-2</val>
          </value>
          <value>
            <val>0</val>
          </value>
        </values>
      </ddeItem>
      <ddeItem name="679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2022/07/07</val>
          </value>
          <value t="str">
            <val>5.50</val>
          </value>
          <value>
            <val>7.79</val>
          </value>
          <value t="str">
            <val>5.77</val>
          </value>
          <value t="str">
            <val>1.02</val>
          </value>
          <value t="str">
            <val>詠業</val>
          </value>
          <value t="str">
            <val>上市通信網路</val>
          </value>
          <value t="str">
            <val>達方轉投資的天線、壓電陶瓷元件、電路保護元件廠</val>
          </value>
        </values>
      </ddeItem>
      <ddeItem name="6792.TW-CName,InvestorConferenceDate,DateofMeetingofShareHolders,TradingDate" advise="1">
        <values cols="4">
          <value t="str">
            <val>詠業</val>
          </value>
          <value t="str">
            <val>2022/11/02</val>
          </value>
          <value t="str">
            <val>2022/06/22</val>
          </value>
          <value t="str">
            <val>2022/12/22</val>
          </value>
        </values>
      </ddeItem>
      <ddeItem name="6792.TW-ID,Name,MarketValue,Capital,NetIncomeGrowthRate,OperIncomeGrowthRate,FinancialStatementsTime,TFXRatio,MonthlyNetSalesYoY,RevenueMonth" advise="1">
        <values cols="10">
          <value t="str">
            <val>6792</val>
          </value>
          <value t="str">
            <val>詠業</val>
          </value>
          <value t="str">
            <val>33.8</val>
          </value>
          <value t="str">
            <val>4.79</val>
          </value>
          <value t="str">
            <val>-9.52</val>
          </value>
          <value t="str">
            <val>-18.75</val>
          </value>
          <value t="str">
            <val>2022/09</val>
          </value>
          <value t="str">
            <val>-4.31</val>
          </value>
          <value t="str">
            <val>-23.00</val>
          </value>
          <value t="str">
            <val>2022/11</val>
          </value>
        </values>
      </ddeItem>
      <ddeItem name="6792.TW-OperatingProfitRatio,Price,PriceChangeRatio,InOutRatioNumber,Value,YearReturn,MonthReturn,WeekReturn,FinanceBalanceDif,ChipsField2" advise="1">
        <values cols="10">
          <value t="str">
            <val>18.60</val>
          </value>
          <value>
            <val>70.599999999999994</val>
          </value>
          <value>
            <val>-0.14000000000000001</val>
          </value>
          <value t="str">
            <val>21.62%</val>
          </value>
          <value t="str">
            <val>263萬</val>
          </value>
          <value t="str">
            <val>-64.40</val>
          </value>
          <value t="str">
            <val>-1.53</val>
          </value>
          <value t="str">
            <val>-5.87</val>
          </value>
          <value>
            <val>1</val>
          </value>
          <value>
            <val>0</val>
          </value>
        </values>
      </ddeItem>
      <ddeItem name="679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</val>
          </value>
          <value t="str">
            <val>2022/07/07</val>
          </value>
          <value t="str">
            <val>1.60</val>
          </value>
          <value>
            <val>2.11</val>
          </value>
          <value t="str">
            <val>2.58</val>
          </value>
          <value t="str">
            <val>0.69</val>
          </value>
          <value t="str">
            <val>晉弘</val>
          </value>
          <value t="str">
            <val>上市生技醫療</val>
          </value>
          <value t="str">
            <val>醫療影像診斷系統解決方案供應商</val>
          </value>
        </values>
      </ddeItem>
      <ddeItem name="6796.TW-CName,InvestorConferenceDate,DateofMeetingofShareHolders,TradingDate" advise="1">
        <values cols="4">
          <value t="str">
            <val>晉弘</val>
          </value>
          <value t="str">
            <val>2022/12/02</val>
          </value>
          <value t="str">
            <val>2022/06/17</val>
          </value>
          <value t="str">
            <val>2022/12/22</val>
          </value>
        </values>
      </ddeItem>
      <ddeItem name="6796.TW-ID,Name,MarketValue,Capital,NetIncomeGrowthRate,OperIncomeGrowthRate,FinancialStatementsTime,TFXRatio,MonthlyNetSalesYoY,RevenueMonth" advise="1">
        <values cols="10">
          <value t="str">
            <val>6796</val>
          </value>
          <value t="str">
            <val>晉弘</val>
          </value>
          <value t="str">
            <val>25.2</val>
          </value>
          <value t="str">
            <val>3.32</val>
          </value>
          <value t="str">
            <val>32.22</val>
          </value>
          <value t="str">
            <val>-37.58</val>
          </value>
          <value t="str">
            <val>2022/09</val>
          </value>
          <value t="str">
            <val>9.56</val>
          </value>
          <value t="str">
            <val>-0.77</val>
          </value>
          <value t="str">
            <val>2022/11</val>
          </value>
        </values>
      </ddeItem>
      <ddeItem name="6796.TW-OperatingProfitRatio,Price,PriceChangeRatio,InOutRatioNumber,Value,YearReturn,MonthReturn,WeekReturn,FinanceBalanceDif,ChipsField2" advise="1">
        <values cols="10">
          <value t="str">
            <val>9.23</val>
          </value>
          <value>
            <val>75.900000000000006</val>
          </value>
          <value>
            <val>2.4300000000000002</val>
          </value>
          <value t="str">
            <val>47.37%</val>
          </value>
          <value t="str">
            <val>287萬</val>
          </value>
          <value t="str">
            <val>--</val>
          </value>
          <value t="str">
            <val>-6.18</val>
          </value>
          <value t="str">
            <val>-1.56</val>
          </value>
          <value>
            <val>0</val>
          </value>
          <value>
            <val>0</val>
          </value>
        </values>
      </ddeItem>
      <ddeItem name="679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12</val>
          </value>
          <value t="str">
            <val>2022/08/02</val>
          </value>
          <value t="str">
            <val>2.73</val>
          </value>
          <value>
            <val>2.86</val>
          </value>
          <value t="str">
            <val>8.68</val>
          </value>
          <value t="str">
            <val>1.77</val>
          </value>
          <value t="str">
            <val>來頡</val>
          </value>
          <value t="str">
            <val>上市半導體</val>
          </value>
          <value t="str">
            <val>台灣一家電源管理IC供應商</val>
          </value>
        </values>
      </ddeItem>
      <ddeItem name="6799.TW-CName,InvestorConferenceDate,DateofMeetingofShareHolders,TradingDate" advise="1">
        <values cols="4">
          <value t="str">
            <val>來頡</val>
          </value>
          <value t="str">
            <val>2022/11/24</val>
          </value>
          <value t="str">
            <val>2022/05/26</val>
          </value>
          <value t="str">
            <val>2022/12/22</val>
          </value>
        </values>
      </ddeItem>
      <ddeItem name="6799.TW-ID,Name,MarketValue,Capital,NetIncomeGrowthRate,OperIncomeGrowthRate,FinancialStatementsTime,TFXRatio,MonthlyNetSalesYoY,RevenueMonth" advise="1">
        <values cols="10">
          <value t="str">
            <val>6799</val>
          </value>
          <value t="str">
            <val>來頡</val>
          </value>
          <value t="str">
            <val>39.0</val>
          </value>
          <value t="str">
            <val>4.08</val>
          </value>
          <value t="str">
            <val>29.74</val>
          </value>
          <value t="str">
            <val>21.85</val>
          </value>
          <value t="str">
            <val>2022/09</val>
          </value>
          <value t="str">
            <val>-14.73</val>
          </value>
          <value t="str">
            <val>-22.44</val>
          </value>
          <value t="str">
            <val>2022/11</val>
          </value>
        </values>
      </ddeItem>
      <ddeItem name="6799.TW-OperatingProfitRatio,Price,PriceChangeRatio,InOutRatioNumber,Value,YearReturn,MonthReturn,WeekReturn,FinanceBalanceDif,ChipsField2" advise="1">
        <values cols="10">
          <value t="str">
            <val>31.03</val>
          </value>
          <value>
            <val>95.5</val>
          </value>
          <value>
            <val>0</val>
          </value>
          <value t="str">
            <val>59.32%</val>
          </value>
          <value t="str">
            <val>1140萬</val>
          </value>
          <value t="str">
            <val>--</val>
          </value>
          <value t="str">
            <val>-11.57</val>
          </value>
          <value t="str">
            <val>-8.17</val>
          </value>
          <value>
            <val>0</val>
          </value>
          <value>
            <val>0</val>
          </value>
        </values>
      </ddeItem>
      <ddeItem name="6806.TW-ChipsField3,ChipsField1,ChipsField25,CashAndStockDividend,CashDividendYieldRate,ProfitFourSeason,ProfitSingle,CName,ExchangeIndustry,CompanyPos" advise="1">
        <values cols="10">
          <value>
            <val>-16</val>
          </value>
          <value>
            <val>-841</val>
          </value>
          <value t="str">
            <val>2022/08/26</val>
          </value>
          <value t="str">
            <val>2.00</val>
          </value>
          <value>
            <val>2.4300000000000002</val>
          </value>
          <value t="str">
            <val>1.60</val>
          </value>
          <value t="str">
            <val>0.16</val>
          </value>
          <value t="str">
            <val>森崴能源</val>
          </value>
          <value t="str">
            <val>上市其他</val>
          </value>
          <value t="str">
            <val>正崴集團旗下提供能源工程及整合服務</val>
          </value>
        </values>
      </ddeItem>
      <ddeItem name="6806.TW-CName,InvestorConferenceDate,DateofMeetingofShareHolders,TradingDate" advise="1">
        <values cols="4">
          <value t="str">
            <val>森崴能源</val>
          </value>
          <value t="str">
            <val>2022/11/30</val>
          </value>
          <value t="str">
            <val>2022/06/15</val>
          </value>
          <value t="str">
            <val>2022/12/22</val>
          </value>
        </values>
      </ddeItem>
      <ddeItem name="6806.TW-ID,Name,MarketValue,Capital,NetIncomeGrowthRate,OperIncomeGrowthRate,FinancialStatementsTime,TFXRatio,MonthlyNetSalesYoY,RevenueMonth" advise="1">
        <values cols="10">
          <value t="str">
            <val>6806</val>
          </value>
          <value t="str">
            <val>森崴能源</val>
          </value>
          <value t="str">
            <val>178.1</val>
          </value>
          <value t="str">
            <val>21.62</val>
          </value>
          <value t="str">
            <val>-58.13</val>
          </value>
          <value t="str">
            <val>-71.75</val>
          </value>
          <value t="str">
            <val>2022/09</val>
          </value>
          <value t="str">
            <val>5.18</val>
          </value>
          <value t="str">
            <val>-53.98</val>
          </value>
          <value t="str">
            <val>2022/11</val>
          </value>
        </values>
      </ddeItem>
      <ddeItem name="6806.TW-OperatingProfitRatio,Price,PriceChangeRatio,InOutRatioNumber,Value,YearReturn,MonthReturn,WeekReturn,FinanceBalanceDif,ChipsField2" advise="1">
        <values cols="10">
          <value t="str">
            <val>4.40</val>
          </value>
          <value>
            <val>82.4</val>
          </value>
          <value>
            <val>0.12</val>
          </value>
          <value t="str">
            <val>51.04%</val>
          </value>
          <value t="str">
            <val>11.2億</val>
          </value>
          <value t="str">
            <val>-19.20</val>
          </value>
          <value t="str">
            <val>+33.33</val>
          </value>
          <value t="str">
            <val>+1.23</val>
          </value>
          <value>
            <val>544</val>
          </value>
          <value>
            <val>0</val>
          </value>
        </values>
      </ddeItem>
      <ddeItem name="680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2022/07/18</val>
          </value>
          <value t="str">
            <val>2.37</val>
          </value>
          <value>
            <val>9.48</val>
          </value>
          <value t="str">
            <val>2.73</val>
          </value>
          <value t="str">
            <val>1.12</val>
          </value>
          <value t="str">
            <val>峰源-KY</val>
          </value>
          <value t="str">
            <val>上市其他</val>
          </value>
          <value t="str">
            <val>室內傢俱研發生產銷售商</val>
          </value>
        </values>
      </ddeItem>
      <ddeItem name="6807.TW-CName,InvestorConferenceDate,DateofMeetingofShareHolders,TradingDate" advise="1">
        <values cols="4">
          <value t="str">
            <val>峰源-KY</val>
          </value>
          <value t="str">
            <val>2022/03/23</val>
          </value>
          <value t="str">
            <val>2022/06/28</val>
          </value>
          <value t="str">
            <val>2022/12/22</val>
          </value>
        </values>
      </ddeItem>
      <ddeItem name="6807.TW-ID,Name,MarketValue,Capital,NetIncomeGrowthRate,OperIncomeGrowthRate,FinancialStatementsTime,TFXRatio,MonthlyNetSalesYoY,RevenueMonth" advise="1">
        <values cols="10">
          <value t="str">
            <val>6807</val>
          </value>
          <value t="str">
            <val>峰源-KY</val>
          </value>
          <value t="str">
            <val>13.5</val>
          </value>
          <value t="str">
            <val>5.40</val>
          </value>
          <value t="str">
            <val>-40.73</val>
          </value>
          <value t="str">
            <val>-84.42</val>
          </value>
          <value t="str">
            <val>2022/09</val>
          </value>
          <value t="str">
            <val>1.98</val>
          </value>
          <value t="str">
            <val>-31.12</val>
          </value>
          <value t="str">
            <val>2022/11</val>
          </value>
        </values>
      </ddeItem>
      <ddeItem name="6807.TW-OperatingProfitRatio,Price,PriceChangeRatio,InOutRatioNumber,Value,YearReturn,MonthReturn,WeekReturn,FinanceBalanceDif,ChipsField2" advise="1">
        <values cols="10">
          <value t="str">
            <val>0.98</val>
          </value>
          <value>
            <val>25</val>
          </value>
          <value>
            <val>1.63</val>
          </value>
          <value t="str">
            <val>62.50%</val>
          </value>
          <value t="str">
            <val>40.0萬</val>
          </value>
          <value t="str">
            <val>--</val>
          </value>
          <value t="str">
            <val>-3.66</val>
          </value>
          <value t="str">
            <val>-0.79</val>
          </value>
          <value>
            <val>0</val>
          </value>
          <value>
            <val>0</val>
          </value>
        </values>
      </ddeItem>
      <ddeItem name="6830.TW-ChipsField3,ChipsField1,ChipsField25,CashAndStockDividend,CashDividendYieldRate,ProfitFourSeason,ProfitSingle,CName,ExchangeIndustry,CompanyPos" advise="1">
        <values cols="10">
          <value>
            <val>-9</val>
          </value>
          <value>
            <val>0</val>
          </value>
          <value t="str">
            <val>2022/07/12</val>
          </value>
          <value t="str">
            <val>4.50</val>
          </value>
          <value>
            <val>4.59</val>
          </value>
          <value t="str">
            <val>6.65</val>
          </value>
          <value t="str">
            <val>1.80</val>
          </value>
          <value t="str">
            <val>汎銓</val>
          </value>
          <value t="str">
            <val>上市其他電子</val>
          </value>
          <value t="str">
            <val>半導體材料分析服務龍頭，市占率五成以上</val>
          </value>
        </values>
      </ddeItem>
      <ddeItem name="6830.TW-CName,InvestorConferenceDate,DateofMeetingofShareHolders,TradingDate" advise="1">
        <values cols="4">
          <value t="str">
            <val>汎銓</val>
          </value>
          <value t="str">
            <val>2021/07/20</val>
          </value>
          <value t="str">
            <val>2022/06/27</val>
          </value>
          <value t="str">
            <val>2022/12/22</val>
          </value>
        </values>
      </ddeItem>
      <ddeItem name="6830.TW-ID,Name,MarketValue,Capital,NetIncomeGrowthRate,OperIncomeGrowthRate,FinancialStatementsTime,TFXRatio,MonthlyNetSalesYoY,RevenueMonth" advise="1">
        <values cols="10">
          <value t="str">
            <val>6830</val>
          </value>
          <value t="str">
            <val>汎銓</val>
          </value>
          <value t="str">
            <val>45.9</val>
          </value>
          <value t="str">
            <val>4.68</val>
          </value>
          <value t="str">
            <val>15.78</val>
          </value>
          <value t="str">
            <val>42.38</val>
          </value>
          <value t="str">
            <val>2022/09</val>
          </value>
          <value t="str">
            <val>8.20</val>
          </value>
          <value t="str">
            <val>12.29</val>
          </value>
          <value t="str">
            <val>2022/11</val>
          </value>
        </values>
      </ddeItem>
      <ddeItem name="6830.TW-OperatingProfitRatio,Price,PriceChangeRatio,InOutRatioNumber,Value,YearReturn,MonthReturn,WeekReturn,FinanceBalanceDif,ChipsField2" advise="1">
        <values cols="10">
          <value t="str">
            <val>20.70</val>
          </value>
          <value>
            <val>98.1</val>
          </value>
          <value>
            <val>3.7</val>
          </value>
          <value t="str">
            <val>57.25%</val>
          </value>
          <value t="str">
            <val>1376萬</val>
          </value>
          <value t="str">
            <val>--</val>
          </value>
          <value t="str">
            <val>+6.05</val>
          </value>
          <value t="str">
            <val>-1.01</val>
          </value>
          <value>
            <val>0</val>
          </value>
          <value>
            <val>0</val>
          </value>
        </values>
      </ddeItem>
      <ddeItem name="683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2022/06/14</val>
          </value>
          <value t="str">
            <val>1.60</val>
          </value>
          <value>
            <val>6.29</val>
          </value>
          <value t="str">
            <val>2.15</val>
          </value>
          <value t="str">
            <val>0.31</val>
          </value>
          <value t="str">
            <val>天二科技</val>
          </value>
          <value t="str">
            <val>上市電子零組件</val>
          </value>
          <value t="str">
            <val>被動元件貼片電阻製造商</val>
          </value>
        </values>
      </ddeItem>
      <ddeItem name="6834.TW-CName,InvestorConferenceDate,DateofMeetingofShareHolders,TradingDate" advise="1">
        <values cols="4">
          <value t="str">
            <val>天二科技</val>
          </value>
          <value t="str">
            <val>--</val>
          </value>
          <value t="str">
            <val>2022/05/26</val>
          </value>
          <value t="str">
            <val>2022/12/22</val>
          </value>
        </values>
      </ddeItem>
      <ddeItem name="6834.TW-ID,Name,MarketValue,Capital,NetIncomeGrowthRate,OperIncomeGrowthRate,FinancialStatementsTime,TFXRatio,MonthlyNetSalesYoY,RevenueMonth" advise="1">
        <values cols="10">
          <value t="str">
            <val>6834</val>
          </value>
          <value t="str">
            <val>天二科技</val>
          </value>
          <value t="str">
            <val>22.5</val>
          </value>
          <value t="str">
            <val>8.85</val>
          </value>
          <value t="str">
            <val>-4.42</val>
          </value>
          <value t="str">
            <val>-45.76</val>
          </value>
          <value t="str">
            <val>2022/09</val>
          </value>
          <value t="str">
            <val>2.40</val>
          </value>
          <value t="str">
            <val>-40.75</val>
          </value>
          <value t="str">
            <val>2022/11</val>
          </value>
        </values>
      </ddeItem>
      <ddeItem name="6834.TW-OperatingProfitRatio,Price,PriceChangeRatio,InOutRatioNumber,Value,YearReturn,MonthReturn,WeekReturn,FinanceBalanceDif,ChipsField2" advise="1">
        <values cols="10">
          <value t="str">
            <val>9.36</val>
          </value>
          <value>
            <val>25.45</val>
          </value>
          <value>
            <val>0.59</val>
          </value>
          <value t="str">
            <val>40.00%</val>
          </value>
          <value t="str">
            <val>12.7萬</val>
          </value>
          <value t="str">
            <val>--</val>
          </value>
          <value t="str">
            <val>+3.46</val>
          </value>
          <value t="str">
            <val>-2.30</val>
          </value>
          <value>
            <val>0</val>
          </value>
          <value>
            <val>0</val>
          </value>
        </values>
      </ddeItem>
      <ddeItem name="6835.TW-ChipsField3,ChipsField1,ChipsField25,CashAndStockDividend,CashDividendYieldRate,ProfitFourSeason,ProfitSingle,CName,ExchangeIndustry,CompanyPos" advise="1">
        <values cols="10">
          <value>
            <val>-27</val>
          </value>
          <value>
            <val>-3</val>
          </value>
          <value t="str">
            <val>2022/07/04</val>
          </value>
          <value t="str">
            <val>2.00</val>
          </value>
          <value>
            <val>5</val>
          </value>
          <value t="str">
            <val>--</val>
          </value>
          <value t="str">
            <val>1.81</val>
          </value>
          <value t="str">
            <val>圓裕</val>
          </value>
          <value t="str">
            <val>上市電子零組件</val>
          </value>
          <value t="str">
            <val>台灣軟板及連接線組製造商</val>
          </value>
        </values>
      </ddeItem>
      <ddeItem name="6835.TW-CName,InvestorConferenceDate,DateofMeetingofShareHolders,TradingDate" advise="1">
        <values cols="4">
          <value t="str">
            <val>圓裕</val>
          </value>
          <value t="str">
            <val>2021/07/27</val>
          </value>
          <value t="str">
            <val>2022/06/27</val>
          </value>
          <value t="str">
            <val>2022/12/22</val>
          </value>
        </values>
      </ddeItem>
      <ddeItem name="6835.TW-ID,Name,MarketValue,Capital,NetIncomeGrowthRate,OperIncomeGrowthRate,FinancialStatementsTime,TFXRatio,MonthlyNetSalesYoY,RevenueMonth" advise="1">
        <values cols="10">
          <value t="str">
            <val>6835</val>
          </value>
          <value t="str">
            <val>圓裕</val>
          </value>
          <value t="str">
            <val>26.5</val>
          </value>
          <value t="str">
            <val>6.62</val>
          </value>
          <value t="str">
            <val>131.91</val>
          </value>
          <value t="str">
            <val>42.99</val>
          </value>
          <value t="str">
            <val>2022/09</val>
          </value>
          <value t="str">
            <val>7.53</val>
          </value>
          <value t="str">
            <val>-12.96</val>
          </value>
          <value t="str">
            <val>2022/11</val>
          </value>
        </values>
      </ddeItem>
      <ddeItem name="6835.TW-OperatingProfitRatio,Price,PriceChangeRatio,InOutRatioNumber,Value,YearReturn,MonthReturn,WeekReturn,FinanceBalanceDif,ChipsField2" advise="1">
        <values cols="10">
          <value t="str">
            <val>9.04</val>
          </value>
          <value>
            <val>40</val>
          </value>
          <value>
            <val>9.59</val>
          </value>
          <value t="str">
            <val>77.03%</val>
          </value>
          <value t="str">
            <val>2537萬</val>
          </value>
          <value t="str">
            <val>--</val>
          </value>
          <value t="str">
            <val>0.00</val>
          </value>
          <value t="str">
            <val>+2.56</val>
          </value>
          <value>
            <val>0</val>
          </value>
          <value>
            <val>0</val>
          </value>
        </values>
      </ddeItem>
      <ddeItem name="6854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-20</val>
          </value>
          <value t="str">
            <val>--</val>
          </value>
          <value t="str">
            <val>--</val>
          </value>
          <value>
            <val>0</val>
          </value>
          <value t="str">
            <val>-9.84</val>
          </value>
          <value t="str">
            <val>-1.02</val>
          </value>
          <value t="str">
            <val>錼創科技-KY創</val>
          </value>
          <value t="str">
            <val>上市半導體,上市創新板</val>
          </value>
          <value t="str">
            <val>全球首家MicroLED晶片載板供應商</val>
          </value>
        </values>
      </ddeItem>
      <ddeItem name="6854.TW-CName,InvestorConferenceDate,DateofMeetingofShareHolders,TradingDate" advise="1">
        <values cols="4">
          <value t="str">
            <val>錼創科技-KY創</val>
          </value>
          <value t="str">
            <val>--</val>
          </value>
          <value t="str">
            <val>--</val>
          </value>
          <value t="str">
            <val>2022/12/22</val>
          </value>
        </values>
      </ddeItem>
      <ddeItem name="6854.TW-ID,Name,MarketValue,Capital,NetIncomeGrowthRate,OperIncomeGrowthRate,FinancialStatementsTime,TFXRatio,MonthlyNetSalesYoY,RevenueMonth" advise="1">
        <values cols="10">
          <value t="str">
            <val>6854</val>
          </value>
          <value t="str">
            <val>錼創科技-KY創</val>
          </value>
          <value t="str">
            <val>114.1</val>
          </value>
          <value t="str">
            <val>--</val>
          </value>
          <value t="str">
            <val>56.57</val>
          </value>
          <value t="str">
            <val>26.90</val>
          </value>
          <value t="str">
            <val>2022/09</val>
          </value>
          <value t="str">
            <val>107.23</val>
          </value>
          <value t="str">
            <val>76.58</val>
          </value>
          <value t="str">
            <val>2022/11</val>
          </value>
        </values>
      </ddeItem>
      <ddeItem name="6854.TW-OperatingProfitRatio,Price,PriceChangeRatio,InOutRatioNumber,Value,YearReturn,MonthReturn,WeekReturn,FinanceBalanceDif,ChipsField2" advise="1">
        <values cols="10">
          <value t="str">
            <val>-185.34</val>
          </value>
          <value>
            <val>106.5</val>
          </value>
          <value>
            <val>-2.74</val>
          </value>
          <value t="str">
            <val>17.31%</val>
          </value>
          <value t="str">
            <val>576萬</val>
          </value>
          <value t="str">
            <val>--</val>
          </value>
          <value t="str">
            <val>+10.13</val>
          </value>
          <value t="str">
            <val>+3.40</val>
          </value>
          <value>
            <val>0</val>
          </value>
          <value>
            <val>0</val>
          </value>
        </values>
      </ddeItem>
      <ddeItem name="801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-14</val>
          </value>
          <value t="str">
            <val>--</val>
          </value>
          <value t="str">
            <val>0.00</val>
          </value>
          <value>
            <val>0</val>
          </value>
          <value t="str">
            <val>-1.61</val>
          </value>
          <value t="str">
            <val>-0.19</val>
          </value>
          <value t="str">
            <val>台通</val>
          </value>
          <value t="str">
            <val>上市通信網路</val>
          </value>
          <value t="str">
            <val>鴻海轉投資光纖線纜與光纖被動元件製造商</val>
          </value>
        </values>
      </ddeItem>
      <ddeItem name="8011.TW-CName,InvestorConferenceDate,DateofMeetingofShareHolders,TradingDate" advise="1">
        <values cols="4">
          <value t="str">
            <val>台通</val>
          </value>
          <value t="str">
            <val>2022/08/12</val>
          </value>
          <value t="str">
            <val>2022/05/31</val>
          </value>
          <value t="str">
            <val>2022/12/22</val>
          </value>
        </values>
      </ddeItem>
      <ddeItem name="8011.TW-ID,Name,MarketValue,Capital,NetIncomeGrowthRate,OperIncomeGrowthRate,FinancialStatementsTime,TFXRatio,MonthlyNetSalesYoY,RevenueMonth" advise="1">
        <values cols="10">
          <value t="str">
            <val>8011</val>
          </value>
          <value t="str">
            <val>台通</val>
          </value>
          <value t="str">
            <val>21.5</val>
          </value>
          <value t="str">
            <val>15.09</val>
          </value>
          <value t="str">
            <val>-15.03</val>
          </value>
          <value t="str">
            <val>-41.96</val>
          </value>
          <value t="str">
            <val>2022/09</val>
          </value>
          <value t="str">
            <val>24.41</val>
          </value>
          <value t="str">
            <val>-18.16</val>
          </value>
          <value t="str">
            <val>2022/11</val>
          </value>
        </values>
      </ddeItem>
      <ddeItem name="8011.TW-OperatingProfitRatio,Price,PriceChangeRatio,InOutRatioNumber,Value,YearReturn,MonthReturn,WeekReturn,FinanceBalanceDif,ChipsField2" advise="1">
        <values cols="10">
          <value t="str">
            <val>-13.08</val>
          </value>
          <value>
            <val>14.25</val>
          </value>
          <value>
            <val>0.35</val>
          </value>
          <value t="str">
            <val>31.87%</val>
          </value>
          <value t="str">
            <val>136萬</val>
          </value>
          <value t="str">
            <val>-25.97</val>
          </value>
          <value t="str">
            <val>+0.71</val>
          </value>
          <value t="str">
            <val>-4.36</val>
          </value>
          <value>
            <val>-8</val>
          </value>
          <value>
            <val>0</val>
          </value>
        </values>
      </ddeItem>
      <ddeItem name="8016.TW-ChipsField3,ChipsField1,ChipsField25,CashAndStockDividend,CashDividendYieldRate,ProfitFourSeason,ProfitSingle,CName,ExchangeIndustry,CompanyPos" advise="1">
        <values cols="10">
          <value>
            <val>-11</val>
          </value>
          <value>
            <val>47</val>
          </value>
          <value t="str">
            <val>2022/07/14</val>
          </value>
          <value t="str">
            <val>32.00</val>
          </value>
          <value>
            <val>18.39</val>
          </value>
          <value t="str">
            <val>41.82</val>
          </value>
          <value t="str">
            <val>6.09</val>
          </value>
          <value t="str">
            <val>矽創</val>
          </value>
          <value t="str">
            <val>上市半導體</val>
          </value>
          <value t="str">
            <val>台灣感測元件及顯示屏驅動IC廠</val>
          </value>
        </values>
      </ddeItem>
      <ddeItem name="8016.TW-CName,InvestorConferenceDate,DateofMeetingofShareHolders,TradingDate" advise="1">
        <values cols="4">
          <value t="str">
            <val>矽創</val>
          </value>
          <value t="str">
            <val>2022/12/07</val>
          </value>
          <value t="str">
            <val>2022/06/23</val>
          </value>
          <value t="str">
            <val>2022/12/22</val>
          </value>
        </values>
      </ddeItem>
      <ddeItem name="8016.TW-ID,Name,MarketValue,Capital,NetIncomeGrowthRate,OperIncomeGrowthRate,FinancialStatementsTime,TFXRatio,MonthlyNetSalesYoY,RevenueMonth" advise="1">
        <values cols="10">
          <value t="str">
            <val>8016</val>
          </value>
          <value t="str">
            <val>矽創</val>
          </value>
          <value t="str">
            <val>209.0</val>
          </value>
          <value t="str">
            <val>12.01</val>
          </value>
          <value t="str">
            <val>-25.19</val>
          </value>
          <value t="str">
            <val>-26.59</val>
          </value>
          <value t="str">
            <val>2022/09</val>
          </value>
          <value t="str">
            <val>-9.35</val>
          </value>
          <value t="str">
            <val>-36.72</val>
          </value>
          <value t="str">
            <val>2022/11</val>
          </value>
        </values>
      </ddeItem>
      <ddeItem name="8016.TW-OperatingProfitRatio,Price,PriceChangeRatio,InOutRatioNumber,Value,YearReturn,MonthReturn,WeekReturn,FinanceBalanceDif,ChipsField2" advise="1">
        <values cols="10">
          <value t="str">
            <val>30.08</val>
          </value>
          <value>
            <val>174</val>
          </value>
          <value>
            <val>0.87</val>
          </value>
          <value t="str">
            <val>58.45%</val>
          </value>
          <value t="str">
            <val>9053萬</val>
          </value>
          <value t="str">
            <val>-34.15</val>
          </value>
          <value t="str">
            <val>-6.95</val>
          </value>
          <value t="str">
            <val>-3.87</val>
          </value>
          <value>
            <val>-7</val>
          </value>
          <value>
            <val>1</val>
          </value>
        </values>
      </ddeItem>
      <ddeItem name="8021.TW-ChipsField3,ChipsField1,ChipsField25,CashAndStockDividend,CashDividendYieldRate,ProfitFourSeason,ProfitSingle,CName,ExchangeIndustry,CompanyPos" advise="1">
        <values cols="10">
          <value>
            <val>-6</val>
          </value>
          <value>
            <val>6</val>
          </value>
          <value t="str">
            <val>2022/07/21</val>
          </value>
          <value t="str">
            <val>2.30</val>
          </value>
          <value>
            <val>7.73</val>
          </value>
          <value t="str">
            <val>2.62</val>
          </value>
          <value t="str">
            <val>0.30</val>
          </value>
          <value t="str">
            <val>尖點</val>
          </value>
          <value t="str">
            <val>上市其他電子</val>
          </value>
          <value t="str">
            <val>全球前三大PCB鑽針生產商之一</val>
          </value>
        </values>
      </ddeItem>
      <ddeItem name="8021.TW-CName,InvestorConferenceDate,DateofMeetingofShareHolders,TradingDate" advise="1">
        <values cols="4">
          <value t="str">
            <val>尖點</val>
          </value>
          <value t="str">
            <val>2022/11/04</val>
          </value>
          <value t="str">
            <val>2022/06/09</val>
          </value>
          <value t="str">
            <val>2022/12/22</val>
          </value>
        </values>
      </ddeItem>
      <ddeItem name="8021.TW-ID,Name,MarketValue,Capital,NetIncomeGrowthRate,OperIncomeGrowthRate,FinancialStatementsTime,TFXRatio,MonthlyNetSalesYoY,RevenueMonth" advise="1">
        <values cols="10">
          <value t="str">
            <val>8021</val>
          </value>
          <value t="str">
            <val>尖點</val>
          </value>
          <value t="str">
            <val>42.3</val>
          </value>
          <value t="str">
            <val>14.22</val>
          </value>
          <value t="str">
            <val>-19.64</val>
          </value>
          <value t="str">
            <val>-12.18</val>
          </value>
          <value t="str">
            <val>2022/09</val>
          </value>
          <value t="str">
            <val>-2.65</val>
          </value>
          <value t="str">
            <val>-15.69</val>
          </value>
          <value t="str">
            <val>2022/11</val>
          </value>
        </values>
      </ddeItem>
      <ddeItem name="8021.TW-OperatingProfitRatio,Price,PriceChangeRatio,InOutRatioNumber,Value,YearReturn,MonthReturn,WeekReturn,FinanceBalanceDif,ChipsField2" advise="1">
        <values cols="10">
          <value t="str">
            <val>15.83</val>
          </value>
          <value>
            <val>29.75</val>
          </value>
          <value>
            <val>1.02</val>
          </value>
          <value t="str">
            <val>52.87%</val>
          </value>
          <value t="str">
            <val>734萬</val>
          </value>
          <value t="str">
            <val>-20.27</val>
          </value>
          <value t="str">
            <val>+2.76</val>
          </value>
          <value t="str">
            <val>+0.68</val>
          </value>
          <value>
            <val>-1</val>
          </value>
          <value>
            <val>0</val>
          </value>
        </values>
      </ddeItem>
      <ddeItem name="8028.TW-ChipsField3,ChipsField1,ChipsField25,CashAndStockDividend,CashDividendYieldRate,ProfitFourSeason,ProfitSingle,CName,ExchangeIndustry,CompanyPos" advise="1">
        <values cols="10">
          <value>
            <val>-7</val>
          </value>
          <value>
            <val>39</val>
          </value>
          <value t="str">
            <val>2022/07/21</val>
          </value>
          <value t="str">
            <val>1.40</val>
          </value>
          <value>
            <val>2.36</val>
          </value>
          <value t="str">
            <val>2.75</val>
          </value>
          <value t="str">
            <val>0.82</val>
          </value>
          <value t="str">
            <val>昇陽半導體</val>
          </value>
          <value t="str">
            <val>上市半導體</val>
          </value>
          <value t="str">
            <val>主要從事再生晶圓與晶圓薄化代工業務</val>
          </value>
        </values>
      </ddeItem>
      <ddeItem name="8028.TW-CName,InvestorConferenceDate,DateofMeetingofShareHolders,TradingDate" advise="1">
        <values cols="4">
          <value t="str">
            <val>昇陽半導體</val>
          </value>
          <value t="str">
            <val>2022/12/07</val>
          </value>
          <value t="str">
            <val>2022/05/27</val>
          </value>
          <value t="str">
            <val>2022/12/22</val>
          </value>
        </values>
      </ddeItem>
      <ddeItem name="8028.TW-ID,Name,MarketValue,Capital,NetIncomeGrowthRate,OperIncomeGrowthRate,FinancialStatementsTime,TFXRatio,MonthlyNetSalesYoY,RevenueMonth" advise="1">
        <values cols="10">
          <value t="str">
            <val>8028</val>
          </value>
          <value t="str">
            <val>昇陽半導體</val>
          </value>
          <value t="str">
            <val>88.1</val>
          </value>
          <value t="str">
            <val>15.26</val>
          </value>
          <value t="str">
            <val>148.17</val>
          </value>
          <value t="str">
            <val>96.77</val>
          </value>
          <value t="str">
            <val>2022/09</val>
          </value>
          <value t="str">
            <val>-2.51</val>
          </value>
          <value t="str">
            <val>15.41</val>
          </value>
          <value t="str">
            <val>2022/11</val>
          </value>
        </values>
      </ddeItem>
      <ddeItem name="8028.TW-OperatingProfitRatio,Price,PriceChangeRatio,InOutRatioNumber,Value,YearReturn,MonthReturn,WeekReturn,FinanceBalanceDif,ChipsField2" advise="1">
        <values cols="10">
          <value t="str">
            <val>9.73</val>
          </value>
          <value>
            <val>59.2</val>
          </value>
          <value>
            <val>0.51</val>
          </value>
          <value t="str">
            <val>39.38%</val>
          </value>
          <value t="str">
            <val>2.45億</val>
          </value>
          <value t="str">
            <val>+30.39</val>
          </value>
          <value t="str">
            <val>+6.67</val>
          </value>
          <value t="str">
            <val>-5.88</val>
          </value>
          <value>
            <val>1</val>
          </value>
          <value>
            <val>-155</val>
          </value>
        </values>
      </ddeItem>
      <ddeItem name="803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103</val>
          </value>
          <value t="str">
            <val>--</val>
          </value>
          <value t="str">
            <val>0.00</val>
          </value>
          <value>
            <val>0</val>
          </value>
          <value t="str">
            <val>0.01</val>
          </value>
          <value t="str">
            <val>0.08</val>
          </value>
          <value t="str">
            <val>雷虎</val>
          </value>
          <value t="str">
            <val>上市其他</val>
          </value>
          <value t="str">
            <val>全球前五大遙控模型玩具廠</val>
          </value>
        </values>
      </ddeItem>
      <ddeItem name="8033.TW-CName,InvestorConferenceDate,DateofMeetingofShareHolders,TradingDate" advise="1">
        <values cols="4">
          <value t="str">
            <val>雷虎</val>
          </value>
          <value t="str">
            <val>2022/12/15</val>
          </value>
          <value t="str">
            <val>2022/06/09</val>
          </value>
          <value t="str">
            <val>2022/12/22</val>
          </value>
        </values>
      </ddeItem>
      <ddeItem name="8033.TW-ID,Name,MarketValue,Capital,NetIncomeGrowthRate,OperIncomeGrowthRate,FinancialStatementsTime,TFXRatio,MonthlyNetSalesYoY,RevenueMonth" advise="1">
        <values cols="10">
          <value t="str">
            <val>8033</val>
          </value>
          <value t="str">
            <val>雷虎</val>
          </value>
          <value t="str">
            <val>56.7</val>
          </value>
          <value t="str">
            <val>13.26</val>
          </value>
          <value t="str">
            <val>-24.80</val>
          </value>
          <value t="str">
            <val>-93.31</val>
          </value>
          <value t="str">
            <val>2022/09</val>
          </value>
          <value t="str">
            <val>2.73</val>
          </value>
          <value t="str">
            <val>13.82</val>
          </value>
          <value t="str">
            <val>2022/11</val>
          </value>
        </values>
      </ddeItem>
      <ddeItem name="8033.TW-OperatingProfitRatio,Price,PriceChangeRatio,InOutRatioNumber,Value,YearReturn,MonthReturn,WeekReturn,FinanceBalanceDif,ChipsField2" advise="1">
        <values cols="10">
          <value t="str">
            <val>0.68</val>
          </value>
          <value>
            <val>42.75</val>
          </value>
          <value>
            <val>2.27</val>
          </value>
          <value t="str">
            <val>46.42%</val>
          </value>
          <value t="str">
            <val>3.30億</val>
          </value>
          <value t="str">
            <val>+150.00</val>
          </value>
          <value t="str">
            <val>-7.07</val>
          </value>
          <value t="str">
            <val>+3.64</val>
          </value>
          <value>
            <val>0</val>
          </value>
          <value>
            <val>0</val>
          </value>
        </values>
      </ddeItem>
      <ddeItem name="8039.TW-ChipsField3,ChipsField1,ChipsField25,CashAndStockDividend,CashDividendYieldRate,ProfitFourSeason,ProfitSingle,CName,ExchangeIndustry,CompanyPos" advise="1">
        <values cols="10">
          <value>
            <val>3</val>
          </value>
          <value>
            <val>-84</val>
          </value>
          <value t="str">
            <val>2022/07/20</val>
          </value>
          <value t="str">
            <val>2.50</val>
          </value>
          <value>
            <val>6.06</val>
          </value>
          <value t="str">
            <val>3.87</val>
          </value>
          <value t="str">
            <val>1.23</val>
          </value>
          <value t="str">
            <val>台虹</val>
          </value>
          <value t="str">
            <val>上市電子零組件</val>
          </value>
          <value t="str">
            <val>全球前三大FCCL製造商</val>
          </value>
        </values>
      </ddeItem>
      <ddeItem name="8039.TW-CName,InvestorConferenceDate,DateofMeetingofShareHolders,TradingDate" advise="1">
        <values cols="4">
          <value t="str">
            <val>台虹</val>
          </value>
          <value t="str">
            <val>2022/12/02</val>
          </value>
          <value t="str">
            <val>2022/05/26</val>
          </value>
          <value t="str">
            <val>2022/12/22</val>
          </value>
        </values>
      </ddeItem>
      <ddeItem name="8039.TW-ID,Name,MarketValue,Capital,NetIncomeGrowthRate,OperIncomeGrowthRate,FinancialStatementsTime,TFXRatio,MonthlyNetSalesYoY,RevenueMonth" advise="1">
        <values cols="10">
          <value t="str">
            <val>8039</val>
          </value>
          <value t="str">
            <val>台虹</val>
          </value>
          <value t="str">
            <val>86.3</val>
          </value>
          <value t="str">
            <val>20.91</val>
          </value>
          <value t="str">
            <val>10.20</val>
          </value>
          <value t="str">
            <val>-30.05</val>
          </value>
          <value t="str">
            <val>2022/09</val>
          </value>
          <value t="str">
            <val>-24.20</val>
          </value>
          <value t="str">
            <val>-15.21</val>
          </value>
          <value t="str">
            <val>2022/11</val>
          </value>
        </values>
      </ddeItem>
      <ddeItem name="8039.TW-OperatingProfitRatio,Price,PriceChangeRatio,InOutRatioNumber,Value,YearReturn,MonthReturn,WeekReturn,FinanceBalanceDif,ChipsField2" advise="1">
        <values cols="10">
          <value t="str">
            <val>8.26</val>
          </value>
          <value>
            <val>41.25</val>
          </value>
          <value>
            <val>0.12</val>
          </value>
          <value t="str">
            <val>8.18%</val>
          </value>
          <value t="str">
            <val>463萬</val>
          </value>
          <value t="str">
            <val>-4.82</val>
          </value>
          <value t="str">
            <val>-1.67</val>
          </value>
          <value t="str">
            <val>-0.84</val>
          </value>
          <value>
            <val>-4</val>
          </value>
          <value>
            <val>0</val>
          </value>
        </values>
      </ddeItem>
      <ddeItem name="8046.TW-ChipsField3,ChipsField1,ChipsField25,CashAndStockDividend,CashDividendYieldRate,ProfitFourSeason,ProfitSingle,CName,ExchangeIndustry,CompanyPos" advise="1">
        <values cols="10">
          <value>
            <val>346</val>
          </value>
          <value>
            <val>-5556</val>
          </value>
          <value t="str">
            <val>2022/06/29</val>
          </value>
          <value t="str">
            <val>10.00</val>
          </value>
          <value>
            <val>4.12</val>
          </value>
          <value t="str">
            <val>27.58</val>
          </value>
          <value t="str">
            <val>8.54</val>
          </value>
          <value t="str">
            <val>南電</val>
          </value>
          <value t="str">
            <val>上市電子零組件</val>
          </value>
          <value t="str">
            <val>全球最大覆晶載板(FC)廠商</val>
          </value>
        </values>
      </ddeItem>
      <ddeItem name="8046.TW-CName,InvestorConferenceDate,DateofMeetingofShareHolders,TradingDate" advise="1">
        <values cols="4">
          <value t="str">
            <val>南電</val>
          </value>
          <value t="str">
            <val>2022/11/10</val>
          </value>
          <value t="str">
            <val>2022/05/27</val>
          </value>
          <value t="str">
            <val>2022/12/22</val>
          </value>
        </values>
      </ddeItem>
      <ddeItem name="8046.TW-ID,Name,MarketValue,Capital,NetIncomeGrowthRate,OperIncomeGrowthRate,FinancialStatementsTime,TFXRatio,MonthlyNetSalesYoY,RevenueMonth" advise="1">
        <values cols="10">
          <value t="str">
            <val>8046</val>
          </value>
          <value t="str">
            <val>南電</val>
          </value>
          <value t="str">
            <val>1570.2</val>
          </value>
          <value t="str">
            <val>64.62</val>
          </value>
          <value t="str">
            <val>103.00</val>
          </value>
          <value t="str">
            <val>95.74</val>
          </value>
          <value t="str">
            <val>2022/09</val>
          </value>
          <value t="str">
            <val>-0.85</val>
          </value>
          <value t="str">
            <val>25.01</val>
          </value>
          <value t="str">
            <val>2022/11</val>
          </value>
        </values>
      </ddeItem>
      <ddeItem name="8046.TW-OperatingProfitRatio,Price,PriceChangeRatio,InOutRatioNumber,Value,YearReturn,MonthReturn,WeekReturn,FinanceBalanceDif,ChipsField2" advise="1">
        <values cols="10">
          <value t="str">
            <val>35.39</val>
          </value>
          <value>
            <val>243</val>
          </value>
          <value>
            <val>2.5299999999999998</val>
          </value>
          <value t="str">
            <val>56.19%</val>
          </value>
          <value t="str">
            <val>30.3億</val>
          </value>
          <value t="str">
            <val>-56.38</val>
          </value>
          <value t="str">
            <val>-6.90</val>
          </value>
          <value t="str">
            <val>-11.31</val>
          </value>
          <value>
            <val>223</val>
          </value>
          <value>
            <val>2485</val>
          </value>
        </values>
      </ddeItem>
      <ddeItem name="8070.TW-ChipsField3,ChipsField1,ChipsField25,CashAndStockDividend,CashDividendYieldRate,ProfitFourSeason,ProfitSingle,CName,ExchangeIndustry,CompanyPos" advise="1">
        <values cols="10">
          <value>
            <val>-23</val>
          </value>
          <value>
            <val>-120</val>
          </value>
          <value t="str">
            <val>2022/12/15</val>
          </value>
          <value t="str">
            <val>0.73</val>
          </value>
          <value>
            <val>6.51</val>
          </value>
          <value t="str">
            <val>3.47</val>
          </value>
          <value t="str">
            <val>1.17</val>
          </value>
          <value t="str">
            <val>長華*</val>
          </value>
          <value t="str">
            <val>上市電子通路</val>
          </value>
          <value t="str">
            <val>半導體封裝材料代理通路商</val>
          </value>
        </values>
      </ddeItem>
      <ddeItem name="8070.TW-CName,InvestorConferenceDate,DateofMeetingofShareHolders,TradingDate" advise="1">
        <values cols="4">
          <value t="str">
            <val>長華*</val>
          </value>
          <value t="str">
            <val>2021/11/09</val>
          </value>
          <value t="str">
            <val>2022/06/17</val>
          </value>
          <value t="str">
            <val>2022/12/22</val>
          </value>
        </values>
      </ddeItem>
      <ddeItem name="8070.TW-ID,Name,MarketValue,Capital,NetIncomeGrowthRate,OperIncomeGrowthRate,FinancialStatementsTime,TFXRatio,MonthlyNetSalesYoY,RevenueMonth" advise="1">
        <values cols="10">
          <value t="str">
            <val>8070</val>
          </value>
          <value t="str">
            <val>長華*</val>
          </value>
          <value t="str">
            <val>211.7</val>
          </value>
          <value t="str">
            <val>6.89</val>
          </value>
          <value t="str">
            <val>76.19</val>
          </value>
          <value t="str">
            <val>58.72</val>
          </value>
          <value t="str">
            <val>2022/09</val>
          </value>
          <value t="str">
            <val>-7.53</val>
          </value>
          <value t="str">
            <val>-15.99</val>
          </value>
          <value t="str">
            <val>2022/11</val>
          </value>
        </values>
      </ddeItem>
      <ddeItem name="8070.TW-OperatingProfitRatio,Price,PriceChangeRatio,InOutRatioNumber,Value,YearReturn,MonthReturn,WeekReturn,FinanceBalanceDif,ChipsField2" advise="1">
        <values cols="10">
          <value t="str">
            <val>16.01</val>
          </value>
          <value>
            <val>30.7</val>
          </value>
          <value>
            <val>0.82</val>
          </value>
          <value t="str">
            <val>29.41%</val>
          </value>
          <value t="str">
            <val>731萬</val>
          </value>
          <value t="str">
            <val>-0.87</val>
          </value>
          <value t="str">
            <val>-0.58</val>
          </value>
          <value t="str">
            <val>-1.67</val>
          </value>
          <value>
            <val>-115</val>
          </value>
          <value>
            <val>0</val>
          </value>
        </values>
      </ddeItem>
      <ddeItem name="807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58</val>
          </value>
          <value t="str">
            <val>2022/07/11</val>
          </value>
          <value t="str">
            <val>0.35</val>
          </value>
          <value>
            <val>1.31</val>
          </value>
          <value t="str">
            <val>1.25</val>
          </value>
          <value t="str">
            <val>0.53</val>
          </value>
          <value t="str">
            <val>陞泰</val>
          </value>
          <value t="str">
            <val>上市電子通路</val>
          </value>
          <value t="str">
            <val>台灣最大DVR安控系統廠商</val>
          </value>
        </values>
      </ddeItem>
      <ddeItem name="8072.TW-CName,InvestorConferenceDate,DateofMeetingofShareHolders,TradingDate" advise="1">
        <values cols="4">
          <value t="str">
            <val>陞泰</val>
          </value>
          <value t="str">
            <val>2022/11/11</val>
          </value>
          <value t="str">
            <val>2022/06/22</val>
          </value>
          <value t="str">
            <val>2022/12/22</val>
          </value>
        </values>
      </ddeItem>
      <ddeItem name="8072.TW-ID,Name,MarketValue,Capital,NetIncomeGrowthRate,OperIncomeGrowthRate,FinancialStatementsTime,TFXRatio,MonthlyNetSalesYoY,RevenueMonth" advise="1">
        <values cols="10">
          <value t="str">
            <val>8072</val>
          </value>
          <value t="str">
            <val>陞泰</val>
          </value>
          <value t="str">
            <val>21.4</val>
          </value>
          <value t="str">
            <val>8.00</val>
          </value>
          <value t="str">
            <val>181.15</val>
          </value>
          <value t="str">
            <val>-29.85</val>
          </value>
          <value t="str">
            <val>2022/09</val>
          </value>
          <value t="str">
            <val>-14.01</val>
          </value>
          <value t="str">
            <val>-20.41</val>
          </value>
          <value t="str">
            <val>2022/11</val>
          </value>
        </values>
      </ddeItem>
      <ddeItem name="8072.TW-OperatingProfitRatio,Price,PriceChangeRatio,InOutRatioNumber,Value,YearReturn,MonthReturn,WeekReturn,FinanceBalanceDif,ChipsField2" advise="1">
        <values cols="10">
          <value t="str">
            <val>2.45</val>
          </value>
          <value>
            <val>26.75</val>
          </value>
          <value>
            <val>0</val>
          </value>
          <value t="str">
            <val>37.90%</val>
          </value>
          <value t="str">
            <val>676萬</val>
          </value>
          <value t="str">
            <val>+10.42</val>
          </value>
          <value t="str">
            <val>-20.51</val>
          </value>
          <value t="str">
            <val>-6.30</val>
          </value>
          <value>
            <val>-6</val>
          </value>
          <value>
            <val>0</val>
          </value>
        </values>
      </ddeItem>
      <ddeItem name="8081.TW-ChipsField3,ChipsField1,ChipsField25,CashAndStockDividend,CashDividendYieldRate,ProfitFourSeason,ProfitSingle,CName,ExchangeIndustry,CompanyPos" advise="1">
        <values cols="10">
          <value>
            <val>-5</val>
          </value>
          <value>
            <val>16</val>
          </value>
          <value t="str">
            <val>2022/06/29</val>
          </value>
          <value t="str">
            <val>16.00</val>
          </value>
          <value>
            <val>11.23</val>
          </value>
          <value t="str">
            <val>27.48</val>
          </value>
          <value t="str">
            <val>5.20</val>
          </value>
          <value t="str">
            <val>致新</val>
          </value>
          <value t="str">
            <val>上市半導體</val>
          </value>
          <value t="str">
            <val>台灣前三大類比IC設計公司</val>
          </value>
        </values>
      </ddeItem>
      <ddeItem name="8081.TW-CName,InvestorConferenceDate,DateofMeetingofShareHolders,TradingDate" advise="1">
        <values cols="4">
          <value t="str">
            <val>致新</val>
          </value>
          <value t="str">
            <val>2022/11/10</val>
          </value>
          <value t="str">
            <val>2022/06/09</val>
          </value>
          <value t="str">
            <val>2022/12/22</val>
          </value>
        </values>
      </ddeItem>
      <ddeItem name="8081.TW-ID,Name,MarketValue,Capital,NetIncomeGrowthRate,OperIncomeGrowthRate,FinancialStatementsTime,TFXRatio,MonthlyNetSalesYoY,RevenueMonth" advise="1">
        <values cols="10">
          <value t="str">
            <val>8081</val>
          </value>
          <value t="str">
            <val>致新</val>
          </value>
          <value t="str">
            <val>122.8</val>
          </value>
          <value t="str">
            <val>8.62</val>
          </value>
          <value t="str">
            <val>8.74</val>
          </value>
          <value t="str">
            <val>-10.84</val>
          </value>
          <value t="str">
            <val>2022/09</val>
          </value>
          <value t="str">
            <val>5.75</val>
          </value>
          <value t="str">
            <val>-22.48</val>
          </value>
          <value t="str">
            <val>2022/11</val>
          </value>
        </values>
      </ddeItem>
      <ddeItem name="8081.TW-OperatingProfitRatio,Price,PriceChangeRatio,InOutRatioNumber,Value,YearReturn,MonthReturn,WeekReturn,FinanceBalanceDif,ChipsField2" advise="1">
        <values cols="10">
          <value t="str">
            <val>27.34</val>
          </value>
          <value>
            <val>142.5</val>
          </value>
          <value>
            <val>0.71</val>
          </value>
          <value t="str">
            <val>42.06%</val>
          </value>
          <value t="str">
            <val>3496萬</val>
          </value>
          <value t="str">
            <val>-39.43</val>
          </value>
          <value t="str">
            <val>+2.15</val>
          </value>
          <value t="str">
            <val>-4.68</val>
          </value>
          <value>
            <val>-23</val>
          </value>
          <value>
            <val>0</val>
          </value>
        </values>
      </ddeItem>
      <ddeItem name="810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1.68</val>
          </value>
          <value t="str">
            <val>-1.18</val>
          </value>
          <value t="str">
            <val>華冠</val>
          </value>
          <value t="str">
            <val>上市通信網路</val>
          </value>
          <value t="str">
            <val>華宇集團旗下手機ODM代工廠</val>
          </value>
        </values>
      </ddeItem>
      <ddeItem name="8101.TW-CName,InvestorConferenceDate,DateofMeetingofShareHolders,TradingDate" advise="1">
        <values cols="4">
          <value t="str">
            <val>華冠</val>
          </value>
          <value t="str">
            <val>2021/12/29</val>
          </value>
          <value t="str">
            <val>2022/06/21</val>
          </value>
          <value t="str">
            <val>2022/12/22</val>
          </value>
        </values>
      </ddeItem>
      <ddeItem name="8101.TW-ID,Name,MarketValue,Capital,NetIncomeGrowthRate,OperIncomeGrowthRate,FinancialStatementsTime,TFXRatio,MonthlyNetSalesYoY,RevenueMonth" advise="1">
        <values cols="10">
          <value t="str">
            <val>8101</val>
          </value>
          <value t="str">
            <val>華冠</val>
          </value>
          <value t="str">
            <val>4.3</val>
          </value>
          <value t="str">
            <val>7.28</val>
          </value>
          <value t="str">
            <val>73.15</val>
          </value>
          <value t="str">
            <val>45.26</val>
          </value>
          <value t="str">
            <val>2022/09</val>
          </value>
          <value t="str">
            <val>-8.33</val>
          </value>
          <value t="str">
            <val>88.50</val>
          </value>
          <value t="str">
            <val>2022/11</val>
          </value>
        </values>
      </ddeItem>
      <ddeItem name="8101.TW-OperatingProfitRatio,Price,PriceChangeRatio,InOutRatioNumber,Value,YearReturn,MonthReturn,WeekReturn,FinanceBalanceDif,ChipsField2" advise="1">
        <values cols="10">
          <value t="str">
            <val>-81.70</val>
          </value>
          <value>
            <val>5.88</val>
          </value>
          <value>
            <val>-0.51</val>
          </value>
          <value t="str">
            <val>40.00%</val>
          </value>
          <value t="str">
            <val>2.94萬</val>
          </value>
          <value t="str">
            <val>-27.53</val>
          </value>
          <value t="str">
            <val>-2.81</val>
          </value>
          <value t="str">
            <val>-0.34</val>
          </value>
          <value>
            <val>0</val>
          </value>
          <value>
            <val>0</val>
          </value>
        </values>
      </ddeItem>
      <ddeItem name="8103.TW-ChipsField3,ChipsField1,ChipsField25,CashAndStockDividend,CashDividendYieldRate,ProfitFourSeason,ProfitSingle,CName,ExchangeIndustry,CompanyPos" advise="1">
        <values cols="10">
          <value>
            <val>-9</val>
          </value>
          <value>
            <val>-5</val>
          </value>
          <value t="str">
            <val>2022/08/05</val>
          </value>
          <value t="str">
            <val>2.00</val>
          </value>
          <value>
            <val>6.27</val>
          </value>
          <value t="str">
            <val>4.92</val>
          </value>
          <value t="str">
            <val>1.32</val>
          </value>
          <value t="str">
            <val>瀚荃</val>
          </value>
          <value t="str">
            <val>上市電子零組件</val>
          </value>
          <value t="str">
            <val>各種應用之連接器及線纜組件廠</val>
          </value>
        </values>
      </ddeItem>
      <ddeItem name="8103.TW-CName,InvestorConferenceDate,DateofMeetingofShareHolders,TradingDate" advise="1">
        <values cols="4">
          <value t="str">
            <val>瀚荃</val>
          </value>
          <value t="str">
            <val>2022/12/16</val>
          </value>
          <value t="str">
            <val>2022/06/23</val>
          </value>
          <value t="str">
            <val>2022/12/22</val>
          </value>
        </values>
      </ddeItem>
      <ddeItem name="8103.TW-ID,Name,MarketValue,Capital,NetIncomeGrowthRate,OperIncomeGrowthRate,FinancialStatementsTime,TFXRatio,MonthlyNetSalesYoY,RevenueMonth" advise="1">
        <values cols="10">
          <value t="str">
            <val>8103</val>
          </value>
          <value t="str">
            <val>瀚荃</val>
          </value>
          <value t="str">
            <val>25.2</val>
          </value>
          <value t="str">
            <val>7.90</val>
          </value>
          <value t="str">
            <val>18.35</val>
          </value>
          <value t="str">
            <val>-23.70</val>
          </value>
          <value t="str">
            <val>2022/09</val>
          </value>
          <value t="str">
            <val>-14.41</val>
          </value>
          <value t="str">
            <val>-40.89</val>
          </value>
          <value t="str">
            <val>2022/11</val>
          </value>
        </values>
      </ddeItem>
      <ddeItem name="8103.TW-OperatingProfitRatio,Price,PriceChangeRatio,InOutRatioNumber,Value,YearReturn,MonthReturn,WeekReturn,FinanceBalanceDif,ChipsField2" advise="1">
        <values cols="10">
          <value t="str">
            <val>10.73</val>
          </value>
          <value>
            <val>31.9</val>
          </value>
          <value>
            <val>0</val>
          </value>
          <value t="str">
            <val>28.95%</val>
          </value>
          <value t="str">
            <val>122萬</val>
          </value>
          <value t="str">
            <val>-29.83</val>
          </value>
          <value t="str">
            <val>-0.31</val>
          </value>
          <value t="str">
            <val>-1.54</val>
          </value>
          <value>
            <val>0</val>
          </value>
          <value>
            <val>0</val>
          </value>
        </values>
      </ddeItem>
      <ddeItem name="810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9</val>
          </value>
          <value t="str">
            <val>2022/07/20</val>
          </value>
          <value t="str">
            <val>2.01</val>
          </value>
          <value>
            <val>5.69</val>
          </value>
          <value t="str">
            <val>0.51</val>
          </value>
          <value t="str">
            <val>0.13</val>
          </value>
          <value t="str">
            <val>錸寶</val>
          </value>
          <value t="str">
            <val>上市光電</val>
          </value>
          <value t="str">
            <val>錸德轉投資的全球PMOLED龍頭廠商</val>
          </value>
        </values>
      </ddeItem>
      <ddeItem name="8104.TW-CName,InvestorConferenceDate,DateofMeetingofShareHolders,TradingDate" advise="1">
        <values cols="4">
          <value t="str">
            <val>錸寶</val>
          </value>
          <value t="str">
            <val>2022/12/02</val>
          </value>
          <value t="str">
            <val>2022/06/23</val>
          </value>
          <value t="str">
            <val>2022/12/22</val>
          </value>
        </values>
      </ddeItem>
      <ddeItem name="8104.TW-ID,Name,MarketValue,Capital,NetIncomeGrowthRate,OperIncomeGrowthRate,FinancialStatementsTime,TFXRatio,MonthlyNetSalesYoY,RevenueMonth" advise="1">
        <values cols="10">
          <value t="str">
            <val>8104</val>
          </value>
          <value t="str">
            <val>錸寶</val>
          </value>
          <value t="str">
            <val>26.4</val>
          </value>
          <value t="str">
            <val>7.47</val>
          </value>
          <value t="str">
            <val>-85.78</val>
          </value>
          <value t="str">
            <val>-68.59</val>
          </value>
          <value t="str">
            <val>2022/09</val>
          </value>
          <value t="str">
            <val>9.44</val>
          </value>
          <value t="str">
            <val>31.77</val>
          </value>
          <value t="str">
            <val>2022/11</val>
          </value>
        </values>
      </ddeItem>
      <ddeItem name="8104.TW-OperatingProfitRatio,Price,PriceChangeRatio,InOutRatioNumber,Value,YearReturn,MonthReturn,WeekReturn,FinanceBalanceDif,ChipsField2" advise="1">
        <values cols="10">
          <value t="str">
            <val>2.33</val>
          </value>
          <value>
            <val>35.35</val>
          </value>
          <value>
            <val>0.28000000000000003</val>
          </value>
          <value t="str">
            <val>32.97%</val>
          </value>
          <value t="str">
            <val>331萬</val>
          </value>
          <value t="str">
            <val>-44.18</val>
          </value>
          <value t="str">
            <val>+5.21</val>
          </value>
          <value t="str">
            <val>-6.48</val>
          </value>
          <value>
            <val>-3</val>
          </value>
          <value>
            <val>0</val>
          </value>
        </values>
      </ddeItem>
      <ddeItem name="8105.TW-ChipsField3,ChipsField1,ChipsField25,CashAndStockDividend,CashDividendYieldRate,ProfitFourSeason,ProfitSingle,CName,ExchangeIndustry,CompanyPos" advise="1">
        <values cols="10">
          <value>
            <val>-23</val>
          </value>
          <value>
            <val>-63</val>
          </value>
          <value t="str">
            <val>--</val>
          </value>
          <value t="str">
            <val>0.00</val>
          </value>
          <value>
            <val>0</val>
          </value>
          <value t="str">
            <val>1.65</val>
          </value>
          <value t="str">
            <val>0.60</val>
          </value>
          <value t="str">
            <val>凌巨</val>
          </value>
          <value t="str">
            <val>上市光電</val>
          </value>
          <value t="str">
            <val>凸版集團的子公司，主要提供利基型顯示模組</val>
          </value>
        </values>
      </ddeItem>
      <ddeItem name="8105.TW-CName,InvestorConferenceDate,DateofMeetingofShareHolders,TradingDate" advise="1">
        <values cols="4">
          <value t="str">
            <val>凌巨</val>
          </value>
          <value t="str">
            <val>2022/12/14</val>
          </value>
          <value t="str">
            <val>2022/06/23</val>
          </value>
          <value t="str">
            <val>2022/12/22</val>
          </value>
        </values>
      </ddeItem>
      <ddeItem name="8105.TW-ID,Name,MarketValue,Capital,NetIncomeGrowthRate,OperIncomeGrowthRate,FinancialStatementsTime,TFXRatio,MonthlyNetSalesYoY,RevenueMonth" advise="1">
        <values cols="10">
          <value t="str">
            <val>8105</val>
          </value>
          <value t="str">
            <val>凌巨</val>
          </value>
          <value t="str">
            <val>54.8</val>
          </value>
          <value t="str">
            <val>44.15</val>
          </value>
          <value t="str">
            <val>1250.25</val>
          </value>
          <value t="str">
            <val>559.71</val>
          </value>
          <value t="str">
            <val>2022/09</val>
          </value>
          <value t="str">
            <val>-0.12</val>
          </value>
          <value t="str">
            <val>4.00</val>
          </value>
          <value t="str">
            <val>2022/11</val>
          </value>
        </values>
      </ddeItem>
      <ddeItem name="8105.TW-OperatingProfitRatio,Price,PriceChangeRatio,InOutRatioNumber,Value,YearReturn,MonthReturn,WeekReturn,FinanceBalanceDif,ChipsField2" advise="1">
        <values cols="10">
          <value t="str">
            <val>3.05</val>
          </value>
          <value>
            <val>12.4</val>
          </value>
          <value>
            <val>1.22</val>
          </value>
          <value t="str">
            <val>59.37%</val>
          </value>
          <value t="str">
            <val>871萬</val>
          </value>
          <value t="str">
            <val>-6.06</val>
          </value>
          <value t="str">
            <val>-4.98</val>
          </value>
          <value t="str">
            <val>-4.25</val>
          </value>
          <value>
            <val>55</val>
          </value>
          <value>
            <val>0</val>
          </value>
        </values>
      </ddeItem>
      <ddeItem name="8110.TW-ChipsField3,ChipsField1,ChipsField25,CashAndStockDividend,CashDividendYieldRate,ProfitFourSeason,ProfitSingle,CName,ExchangeIndustry,CompanyPos" advise="1">
        <values cols="10">
          <value>
            <val>-28</val>
          </value>
          <value>
            <val>-95</val>
          </value>
          <value t="str">
            <val>2022/08/02</val>
          </value>
          <value t="str">
            <val>0.13</val>
          </value>
          <value>
            <val>1.1100000000000001</val>
          </value>
          <value t="str">
            <val>0.98</val>
          </value>
          <value t="str">
            <val>0.52</val>
          </value>
          <value t="str">
            <val>華東</val>
          </value>
          <value t="str">
            <val>上市半導體</val>
          </value>
          <value t="str">
            <val>華新集團旗下封測廠</val>
          </value>
        </values>
      </ddeItem>
      <ddeItem name="8110.TW-CName,InvestorConferenceDate,DateofMeetingofShareHolders,TradingDate" advise="1">
        <values cols="4">
          <value t="str">
            <val>華東</val>
          </value>
          <value t="str">
            <val>2022/11/17</val>
          </value>
          <value t="str">
            <val>2022/06/14</val>
          </value>
          <value t="str">
            <val>2022/12/22</val>
          </value>
        </values>
      </ddeItem>
      <ddeItem name="8110.TW-ID,Name,MarketValue,Capital,NetIncomeGrowthRate,OperIncomeGrowthRate,FinancialStatementsTime,TFXRatio,MonthlyNetSalesYoY,RevenueMonth" advise="1">
        <values cols="10">
          <value t="str">
            <val>8110</val>
          </value>
          <value t="str">
            <val>華東</val>
          </value>
          <value t="str">
            <val>61.3</val>
          </value>
          <value t="str">
            <val>51.77</val>
          </value>
          <value t="str">
            <val>632.06</val>
          </value>
          <value t="str">
            <val>1645.14</val>
          </value>
          <value t="str">
            <val>2022/09</val>
          </value>
          <value t="str">
            <val>-8.41</val>
          </value>
          <value t="str">
            <val>-9.48</val>
          </value>
          <value t="str">
            <val>2022/11</val>
          </value>
        </values>
      </ddeItem>
      <ddeItem name="8110.TW-OperatingProfitRatio,Price,PriceChangeRatio,InOutRatioNumber,Value,YearReturn,MonthReturn,WeekReturn,FinanceBalanceDif,ChipsField2" advise="1">
        <values cols="10">
          <value t="str">
            <val>4.08</val>
          </value>
          <value>
            <val>11.75</val>
          </value>
          <value>
            <val>0.86</val>
          </value>
          <value t="str">
            <val>43.73%</val>
          </value>
          <value t="str">
            <val>482萬</val>
          </value>
          <value t="str">
            <val>-35.30</val>
          </value>
          <value t="str">
            <val>-6.00</val>
          </value>
          <value t="str">
            <val>-6.00</val>
          </value>
          <value>
            <val>65</val>
          </value>
          <value>
            <val>0</val>
          </value>
        </values>
      </ddeItem>
      <ddeItem name="8112.TW-ChipsField3,ChipsField1,ChipsField25,CashAndStockDividend,CashDividendYieldRate,ProfitFourSeason,ProfitSingle,CName,ExchangeIndustry,CompanyPos" advise="1">
        <values cols="10">
          <value>
            <val>-37</val>
          </value>
          <value>
            <val>-40</val>
          </value>
          <value t="str">
            <val>2022/07/14</val>
          </value>
          <value t="str">
            <val>4.00</val>
          </value>
          <value>
            <val>11.17</val>
          </value>
          <value t="str">
            <val>6.43</val>
          </value>
          <value t="str">
            <val>1.02</val>
          </value>
          <value t="str">
            <val>至上</val>
          </value>
          <value t="str">
            <val>上市電子通路</val>
          </value>
          <value t="str">
            <val>主要代理品牌以Samsung為主之IC通路商</val>
          </value>
        </values>
      </ddeItem>
      <ddeItem name="8112.TW-CName,InvestorConferenceDate,DateofMeetingofShareHolders,TradingDate" advise="1">
        <values cols="4">
          <value t="str">
            <val>至上</val>
          </value>
          <value t="str">
            <val>2022/08/26</val>
          </value>
          <value t="str">
            <val>2022/06/17</val>
          </value>
          <value t="str">
            <val>2022/12/22</val>
          </value>
        </values>
      </ddeItem>
      <ddeItem name="8112.TW-ID,Name,MarketValue,Capital,NetIncomeGrowthRate,OperIncomeGrowthRate,FinancialStatementsTime,TFXRatio,MonthlyNetSalesYoY,RevenueMonth" advise="1">
        <values cols="10">
          <value t="str">
            <val>8112</val>
          </value>
          <value t="str">
            <val>至上</val>
          </value>
          <value t="str">
            <val>153.4</val>
          </value>
          <value t="str">
            <val>42.85</val>
          </value>
          <value t="str">
            <val>-13.32</val>
          </value>
          <value t="str">
            <val>-2.68</val>
          </value>
          <value t="str">
            <val>2022/09</val>
          </value>
          <value t="str">
            <val>-26.57</val>
          </value>
          <value t="str">
            <val>-51.89</val>
          </value>
          <value t="str">
            <val>2022/11</val>
          </value>
        </values>
      </ddeItem>
      <ddeItem name="8112.TW-OperatingProfitRatio,Price,PriceChangeRatio,InOutRatioNumber,Value,YearReturn,MonthReturn,WeekReturn,FinanceBalanceDif,ChipsField2" advise="1">
        <values cols="10">
          <value t="str">
            <val>2.40</val>
          </value>
          <value>
            <val>35.799999999999997</val>
          </value>
          <value>
            <val>0.85</val>
          </value>
          <value t="str">
            <val>46.77%</val>
          </value>
          <value t="str">
            <val>1869萬</val>
          </value>
          <value t="str">
            <val>-16.12</val>
          </value>
          <value t="str">
            <val>-2.05</val>
          </value>
          <value t="str">
            <val>-1.92</val>
          </value>
          <value>
            <val>-47</val>
          </value>
          <value>
            <val>0</val>
          </value>
        </values>
      </ddeItem>
      <ddeItem name="8114.TW-ChipsField3,ChipsField1,ChipsField25,CashAndStockDividend,CashDividendYieldRate,ProfitFourSeason,ProfitSingle,CName,ExchangeIndustry,CompanyPos" advise="1">
        <values cols="10">
          <value>
            <val>-6</val>
          </value>
          <value>
            <val>142</val>
          </value>
          <value t="str">
            <val>2022/07/01</val>
          </value>
          <value t="str">
            <val>4.50</val>
          </value>
          <value>
            <val>4.13</val>
          </value>
          <value t="str">
            <val>12.82</val>
          </value>
          <value t="str">
            <val>4.27</val>
          </value>
          <value t="str">
            <val>振樺電</val>
          </value>
          <value t="str">
            <val>上市電腦及週邊設備</val>
          </value>
          <value t="str">
            <val>台灣前三大POS廠</val>
          </value>
        </values>
      </ddeItem>
      <ddeItem name="8114.TW-CName,InvestorConferenceDate,DateofMeetingofShareHolders,TradingDate" advise="1">
        <values cols="4">
          <value t="str">
            <val>振樺電</val>
          </value>
          <value t="str">
            <val>2022/12/23</val>
          </value>
          <value t="str">
            <val>2022/06/06</val>
          </value>
          <value t="str">
            <val>2022/12/22</val>
          </value>
        </values>
      </ddeItem>
      <ddeItem name="8114.TW-ID,Name,MarketValue,Capital,NetIncomeGrowthRate,OperIncomeGrowthRate,FinancialStatementsTime,TFXRatio,MonthlyNetSalesYoY,RevenueMonth" advise="1">
        <values cols="10">
          <value t="str">
            <val>8114</val>
          </value>
          <value t="str">
            <val>振樺電</val>
          </value>
          <value t="str">
            <val>82.0</val>
          </value>
          <value t="str">
            <val>7.55</val>
          </value>
          <value t="str">
            <val>168.04</val>
          </value>
          <value t="str">
            <val>77.28</val>
          </value>
          <value t="str">
            <val>2022/09</val>
          </value>
          <value t="str">
            <val>-12.16</val>
          </value>
          <value t="str">
            <val>-2.43</val>
          </value>
          <value t="str">
            <val>2022/11</val>
          </value>
        </values>
      </ddeItem>
      <ddeItem name="8114.TW-OperatingProfitRatio,Price,PriceChangeRatio,InOutRatioNumber,Value,YearReturn,MonthReturn,WeekReturn,FinanceBalanceDif,ChipsField2" advise="1">
        <values cols="10">
          <value t="str">
            <val>13.57</val>
          </value>
          <value>
            <val>109</val>
          </value>
          <value>
            <val>0</val>
          </value>
          <value t="str">
            <val>23.98%</val>
          </value>
          <value t="str">
            <val>2727萬</val>
          </value>
          <value t="str">
            <val>-7.15</val>
          </value>
          <value t="str">
            <val>-8.79</val>
          </value>
          <value t="str">
            <val>-4.80</val>
          </value>
          <value>
            <val>-8</val>
          </value>
          <value>
            <val>-100</val>
          </value>
        </values>
      </ddeItem>
      <ddeItem name="8131.TW-ChipsField3,ChipsField1,ChipsField25,CashAndStockDividend,CashDividendYieldRate,ProfitFourSeason,ProfitSingle,CName,ExchangeIndustry,CompanyPos" advise="1">
        <values cols="10">
          <value>
            <val>-22</val>
          </value>
          <value>
            <val>-23</val>
          </value>
          <value t="str">
            <val>2022/07/19</val>
          </value>
          <value t="str">
            <val>2.50</val>
          </value>
          <value>
            <val>6.46</val>
          </value>
          <value t="str">
            <val>4.97</val>
          </value>
          <value t="str">
            <val>1.42</val>
          </value>
          <value t="str">
            <val>福懋科</val>
          </value>
          <value t="str">
            <val>上市半導體</val>
          </value>
          <value t="str">
            <val>台塑集團轉投資之IC封裝測試廠</val>
          </value>
        </values>
      </ddeItem>
      <ddeItem name="8131.TW-CName,InvestorConferenceDate,DateofMeetingofShareHolders,TradingDate" advise="1">
        <values cols="4">
          <value t="str">
            <val>福懋科</val>
          </value>
          <value t="str">
            <val>2022/12/12</val>
          </value>
          <value t="str">
            <val>2022/06/24</val>
          </value>
          <value t="str">
            <val>2022/12/22</val>
          </value>
        </values>
      </ddeItem>
      <ddeItem name="8131.TW-ID,Name,MarketValue,Capital,NetIncomeGrowthRate,OperIncomeGrowthRate,FinancialStatementsTime,TFXRatio,MonthlyNetSalesYoY,RevenueMonth" advise="1">
        <values cols="10">
          <value t="str">
            <val>8131</val>
          </value>
          <value t="str">
            <val>福懋科</val>
          </value>
          <value t="str">
            <val>171.1</val>
          </value>
          <value t="str">
            <val>44.22</val>
          </value>
          <value t="str">
            <val>56.45</val>
          </value>
          <value t="str">
            <val>12.15</val>
          </value>
          <value t="str">
            <val>2022/09</val>
          </value>
          <value t="str">
            <val>-7.54</val>
          </value>
          <value t="str">
            <val>-3.44</val>
          </value>
          <value t="str">
            <val>2022/11</val>
          </value>
        </values>
      </ddeItem>
      <ddeItem name="8131.TW-OperatingProfitRatio,Price,PriceChangeRatio,InOutRatioNumber,Value,YearReturn,MonthReturn,WeekReturn,FinanceBalanceDif,ChipsField2" advise="1">
        <values cols="10">
          <value t="str">
            <val>18.88</val>
          </value>
          <value>
            <val>38.700000000000003</val>
          </value>
          <value>
            <val>0</val>
          </value>
          <value t="str">
            <val>32.67%</val>
          </value>
          <value t="str">
            <val>786萬</val>
          </value>
          <value t="str">
            <val>+6.72</val>
          </value>
          <value t="str">
            <val>-0.26</val>
          </value>
          <value t="str">
            <val>-1.28</val>
          </value>
          <value>
            <val>4</val>
          </value>
          <value>
            <val>0</val>
          </value>
        </values>
      </ddeItem>
      <ddeItem name="8150.TW-ChipsField3,ChipsField1,ChipsField25,CashAndStockDividend,CashDividendYieldRate,ProfitFourSeason,ProfitSingle,CName,ExchangeIndustry,CompanyPos" advise="1">
        <values cols="10">
          <value>
            <val>-132</val>
          </value>
          <value>
            <val>-485</val>
          </value>
          <value t="str">
            <val>2022/06/29</val>
          </value>
          <value t="str">
            <val>4.30</val>
          </value>
          <value>
            <val>13.23</val>
          </value>
          <value t="str">
            <val>6.37</val>
          </value>
          <value t="str">
            <val>0.92</val>
          </value>
          <value t="str">
            <val>南茂</val>
          </value>
          <value t="str">
            <val>上市半導體</val>
          </value>
          <value t="str">
            <val>全球第2大LCD驅動IC封測廠</val>
          </value>
        </values>
      </ddeItem>
      <ddeItem name="8150.TW-CName,InvestorConferenceDate,DateofMeetingofShareHolders,TradingDate" advise="1">
        <values cols="4">
          <value t="str">
            <val>南茂</val>
          </value>
          <value t="str">
            <val>2022/11/03</val>
          </value>
          <value t="str">
            <val>2022/05/26</val>
          </value>
          <value t="str">
            <val>2022/12/22</val>
          </value>
        </values>
      </ddeItem>
      <ddeItem name="8150.TW-ID,Name,MarketValue,Capital,NetIncomeGrowthRate,OperIncomeGrowthRate,FinancialStatementsTime,TFXRatio,MonthlyNetSalesYoY,RevenueMonth" advise="1">
        <values cols="10">
          <value t="str">
            <val>8150</val>
          </value>
          <value t="str">
            <val>南茂</val>
          </value>
          <value t="str">
            <val>236.4</val>
          </value>
          <value t="str">
            <val>72.72</val>
          </value>
          <value t="str">
            <val>-11.66</val>
          </value>
          <value t="str">
            <val>-31.24</val>
          </value>
          <value t="str">
            <val>2022/09</val>
          </value>
          <value t="str">
            <val>-0.99</val>
          </value>
          <value t="str">
            <val>-30.32</val>
          </value>
          <value t="str">
            <val>2022/11</val>
          </value>
        </values>
      </ddeItem>
      <ddeItem name="8150.TW-OperatingProfitRatio,Price,PriceChangeRatio,InOutRatioNumber,Value,YearReturn,MonthReturn,WeekReturn,FinanceBalanceDif,ChipsField2" advise="1">
        <values cols="10">
          <value t="str">
            <val>15.43</val>
          </value>
          <value>
            <val>32.5</val>
          </value>
          <value>
            <val>0.93</val>
          </value>
          <value t="str">
            <val>52.86%</val>
          </value>
          <value t="str">
            <val>2354萬</val>
          </value>
          <value t="str">
            <val>-24.31</val>
          </value>
          <value t="str">
            <val>-2.11</val>
          </value>
          <value t="str">
            <val>-2.69</val>
          </value>
          <value>
            <val>44</val>
          </value>
          <value>
            <val>61</val>
          </value>
        </values>
      </ddeItem>
      <ddeItem name="8163.TW-ChipsField3,ChipsField1,ChipsField25,CashAndStockDividend,CashDividendYieldRate,ProfitFourSeason,ProfitSingle,CName,ExchangeIndustry,CompanyPos" advise="1">
        <values cols="10">
          <value>
            <val>-16</val>
          </value>
          <value>
            <val>-136</val>
          </value>
          <value t="str">
            <val>2022/07/07</val>
          </value>
          <value t="str">
            <val>3.00</val>
          </value>
          <value>
            <val>7.93</val>
          </value>
          <value t="str">
            <val>4.30</val>
          </value>
          <value t="str">
            <val>1.21</val>
          </value>
          <value t="str">
            <val>達方</val>
          </value>
          <value t="str">
            <val>上市電腦及週邊設備</val>
          </value>
          <value t="str">
            <val>屬明基友達集團，為全球前兩大NB鍵盤廠</val>
          </value>
        </values>
      </ddeItem>
      <ddeItem name="8163.TW-CName,InvestorConferenceDate,DateofMeetingofShareHolders,TradingDate" advise="1">
        <values cols="4">
          <value t="str">
            <val>達方</val>
          </value>
          <value t="str">
            <val>2022/11/03</val>
          </value>
          <value t="str">
            <val>2022/06/16</val>
          </value>
          <value t="str">
            <val>2022/12/22</val>
          </value>
        </values>
      </ddeItem>
      <ddeItem name="8163.TW-ID,Name,MarketValue,Capital,NetIncomeGrowthRate,OperIncomeGrowthRate,FinancialStatementsTime,TFXRatio,MonthlyNetSalesYoY,RevenueMonth" advise="1">
        <values cols="10">
          <value t="str">
            <val>8163</val>
          </value>
          <value t="str">
            <val>達方</val>
          </value>
          <value t="str">
            <val>106.0</val>
          </value>
          <value t="str">
            <val>28.00</val>
          </value>
          <value t="str">
            <val>16.03</val>
          </value>
          <value t="str">
            <val>16.91</val>
          </value>
          <value t="str">
            <val>2022/09</val>
          </value>
          <value t="str">
            <val>-13.81</val>
          </value>
          <value t="str">
            <val>-22.46</val>
          </value>
          <value t="str">
            <val>2022/11</val>
          </value>
        </values>
      </ddeItem>
      <ddeItem name="8163.TW-OperatingProfitRatio,Price,PriceChangeRatio,InOutRatioNumber,Value,YearReturn,MonthReturn,WeekReturn,FinanceBalanceDif,ChipsField2" advise="1">
        <values cols="10">
          <value t="str">
            <val>5.48</val>
          </value>
          <value>
            <val>37.85</val>
          </value>
          <value>
            <val>1.2</val>
          </value>
          <value t="str">
            <val>35.29%</val>
          </value>
          <value t="str">
            <val>1341萬</val>
          </value>
          <value t="str">
            <val>-15.38</val>
          </value>
          <value t="str">
            <val>-3.32</val>
          </value>
          <value t="str">
            <val>-2.07</val>
          </value>
          <value>
            <val>-23</val>
          </value>
          <value>
            <val>0</val>
          </value>
        </values>
      </ddeItem>
      <ddeItem name="820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--</val>
          </value>
          <value t="str">
            <val>0.00</val>
          </value>
          <value>
            <val>0</val>
          </value>
          <value t="str">
            <val>-1.43</val>
          </value>
          <value t="str">
            <val>-0.26</val>
          </value>
          <value t="str">
            <val>無敵</val>
          </value>
          <value t="str">
            <val>上市其他電子</val>
          </value>
          <value t="str">
            <val>英業達旗下之亞洲電子辭典領導廠商</val>
          </value>
        </values>
      </ddeItem>
      <ddeItem name="8201.TW-CName,InvestorConferenceDate,DateofMeetingofShareHolders,TradingDate" advise="1">
        <values cols="4">
          <value t="str">
            <val>無敵</val>
          </value>
          <value t="str">
            <val>2022/09/16</val>
          </value>
          <value t="str">
            <val>2022/06/15</val>
          </value>
          <value t="str">
            <val>2022/12/22</val>
          </value>
        </values>
      </ddeItem>
      <ddeItem name="8201.TW-ID,Name,MarketValue,Capital,NetIncomeGrowthRate,OperIncomeGrowthRate,FinancialStatementsTime,TFXRatio,MonthlyNetSalesYoY,RevenueMonth" advise="1">
        <values cols="10">
          <value t="str">
            <val>8201</val>
          </value>
          <value t="str">
            <val>無敵</val>
          </value>
          <value t="str">
            <val>6.4</val>
          </value>
          <value t="str">
            <val>6.24</val>
          </value>
          <value t="str">
            <val>-139.68</val>
          </value>
          <value t="str">
            <val>10.66</val>
          </value>
          <value t="str">
            <val>2022/09</val>
          </value>
          <value t="str">
            <val>-37.31</val>
          </value>
          <value t="str">
            <val>-33.87</val>
          </value>
          <value t="str">
            <val>2022/11</val>
          </value>
        </values>
      </ddeItem>
      <ddeItem name="8201.TW-OperatingProfitRatio,Price,PriceChangeRatio,InOutRatioNumber,Value,YearReturn,MonthReturn,WeekReturn,FinanceBalanceDif,ChipsField2" advise="1">
        <values cols="10">
          <value t="str">
            <val>-15.70</val>
          </value>
          <value>
            <val>10.25</val>
          </value>
          <value>
            <val>1.99</val>
          </value>
          <value t="str">
            <val>22.22%</val>
          </value>
          <value t="str">
            <val>27.4萬</val>
          </value>
          <value t="str">
            <val>-41.09</val>
          </value>
          <value t="str">
            <val>-9.69</val>
          </value>
          <value t="str">
            <val>-1.91</val>
          </value>
          <value>
            <val>-1</val>
          </value>
          <value>
            <val>0</val>
          </value>
        </values>
      </ddeItem>
      <ddeItem name="8210.TW-ChipsField3,ChipsField1,ChipsField25,CashAndStockDividend,CashDividendYieldRate,ProfitFourSeason,ProfitSingle,CName,ExchangeIndustry,CompanyPos" advise="1">
        <values cols="10">
          <value>
            <val>-8</val>
          </value>
          <value>
            <val>31</val>
          </value>
          <value t="str">
            <val>2022/06/23</val>
          </value>
          <value t="str">
            <val>3.00</val>
          </value>
          <value>
            <val>4</val>
          </value>
          <value t="str">
            <val>8.30</val>
          </value>
          <value t="str">
            <val>3.66</val>
          </value>
          <value t="str">
            <val>勤誠</val>
          </value>
          <value t="str">
            <val>上市電腦及週邊設備</val>
          </value>
          <value t="str">
            <val>台灣伺服器機殼龍頭廠</val>
          </value>
        </values>
      </ddeItem>
      <ddeItem name="8210.TW-CName,InvestorConferenceDate,DateofMeetingofShareHolders,TradingDate" advise="1">
        <values cols="4">
          <value t="str">
            <val>勤誠</val>
          </value>
          <value t="str">
            <val>2022/11/14</val>
          </value>
          <value t="str">
            <val>2022/05/31</val>
          </value>
          <value t="str">
            <val>2022/12/22</val>
          </value>
        </values>
      </ddeItem>
      <ddeItem name="8210.TW-ID,Name,MarketValue,Capital,NetIncomeGrowthRate,OperIncomeGrowthRate,FinancialStatementsTime,TFXRatio,MonthlyNetSalesYoY,RevenueMonth" advise="1">
        <values cols="10">
          <value t="str">
            <val>8210</val>
          </value>
          <value t="str">
            <val>勤誠</val>
          </value>
          <value t="str">
            <val>90.5</val>
          </value>
          <value t="str">
            <val>12.06</val>
          </value>
          <value t="str">
            <val>63.48</val>
          </value>
          <value t="str">
            <val>27.40</val>
          </value>
          <value t="str">
            <val>2022/09</val>
          </value>
          <value t="str">
            <val>-0.78</val>
          </value>
          <value t="str">
            <val>-4.90</val>
          </value>
          <value t="str">
            <val>2022/11</val>
          </value>
        </values>
      </ddeItem>
      <ddeItem name="8210.TW-OperatingProfitRatio,Price,PriceChangeRatio,InOutRatioNumber,Value,YearReturn,MonthReturn,WeekReturn,FinanceBalanceDif,ChipsField2" advise="1">
        <values cols="10">
          <value t="str">
            <val>11.24</val>
          </value>
          <value>
            <val>75</val>
          </value>
          <value>
            <val>0.94</val>
          </value>
          <value t="str">
            <val>56.69%</val>
          </value>
          <value t="str">
            <val>979萬</val>
          </value>
          <value t="str">
            <val>+7.23</val>
          </value>
          <value t="str">
            <val>+3.45</val>
          </value>
          <value t="str">
            <val>+1.21</val>
          </value>
          <value>
            <val>-1</val>
          </value>
          <value>
            <val>56</val>
          </value>
        </values>
      </ddeItem>
      <ddeItem name="8213.TW-ChipsField3,ChipsField1,ChipsField25,CashAndStockDividend,CashDividendYieldRate,ProfitFourSeason,ProfitSingle,CName,ExchangeIndustry,CompanyPos" advise="1">
        <values cols="10">
          <value>
            <val>-11</val>
          </value>
          <value>
            <val>-18</val>
          </value>
          <value t="str">
            <val>2022/06/23</val>
          </value>
          <value t="str">
            <val>5.00</val>
          </value>
          <value>
            <val>13.74</val>
          </value>
          <value t="str">
            <val>7.81</val>
          </value>
          <value t="str">
            <val>1.13</val>
          </value>
          <value t="str">
            <val>志超</val>
          </value>
          <value t="str">
            <val>上市電子零組件</val>
          </value>
          <value t="str">
            <val>全球最大光電板廠商</val>
          </value>
        </values>
      </ddeItem>
      <ddeItem name="8213.TW-CName,InvestorConferenceDate,DateofMeetingofShareHolders,TradingDate" advise="1">
        <values cols="4">
          <value t="str">
            <val>志超</val>
          </value>
          <value t="str">
            <val>2022/11/09</val>
          </value>
          <value t="str">
            <val>2022/06/08</val>
          </value>
          <value t="str">
            <val>2022/12/22</val>
          </value>
        </values>
      </ddeItem>
      <ddeItem name="8213.TW-ID,Name,MarketValue,Capital,NetIncomeGrowthRate,OperIncomeGrowthRate,FinancialStatementsTime,TFXRatio,MonthlyNetSalesYoY,RevenueMonth" advise="1">
        <values cols="10">
          <value t="str">
            <val>8213</val>
          </value>
          <value t="str">
            <val>志超</val>
          </value>
          <value t="str">
            <val>98.7</val>
          </value>
          <value t="str">
            <val>27.12</val>
          </value>
          <value t="str">
            <val>-11.69</val>
          </value>
          <value t="str">
            <val>-27.80</val>
          </value>
          <value t="str">
            <val>2022/09</val>
          </value>
          <value t="str">
            <val>15.82</val>
          </value>
          <value t="str">
            <val>-30.16</val>
          </value>
          <value t="str">
            <val>2022/11</val>
          </value>
        </values>
      </ddeItem>
      <ddeItem name="8213.TW-OperatingProfitRatio,Price,PriceChangeRatio,InOutRatioNumber,Value,YearReturn,MonthReturn,WeekReturn,FinanceBalanceDif,ChipsField2" advise="1">
        <values cols="10">
          <value t="str">
            <val>7.28</val>
          </value>
          <value>
            <val>36.4</val>
          </value>
          <value>
            <val>0.55000000000000004</val>
          </value>
          <value t="str">
            <val>49.66%</val>
          </value>
          <value t="str">
            <val>542萬</val>
          </value>
          <value t="str">
            <val>-14.46</val>
          </value>
          <value t="str">
            <val>+2.10</val>
          </value>
          <value t="str">
            <val>-0.82</val>
          </value>
          <value>
            <val>-6</val>
          </value>
          <value>
            <val>0</val>
          </value>
        </values>
      </ddeItem>
      <ddeItem name="8215.TW-ChipsField3,ChipsField1,ChipsField25,CashAndStockDividend,CashDividendYieldRate,ProfitFourSeason,ProfitSingle,CName,ExchangeIndustry,CompanyPos" advise="1">
        <values cols="10">
          <value>
            <val>109</val>
          </value>
          <value>
            <val>-24</val>
          </value>
          <value t="str">
            <val>2022/07/15</val>
          </value>
          <value t="str">
            <val>1.50</val>
          </value>
          <value>
            <val>4.53</val>
          </value>
          <value t="str">
            <val>4.21</val>
          </value>
          <value t="str">
            <val>1.67</val>
          </value>
          <value t="str">
            <val>明基材</val>
          </value>
          <value t="str">
            <val>上市光電</val>
          </value>
          <value t="str">
            <val>全球前五大、台灣第一大偏光板供應商</val>
          </value>
        </values>
      </ddeItem>
      <ddeItem name="8215.TW-CName,InvestorConferenceDate,DateofMeetingofShareHolders,TradingDate" advise="1">
        <values cols="4">
          <value t="str">
            <val>明基材</val>
          </value>
          <value t="str">
            <val>2022/11/02</val>
          </value>
          <value t="str">
            <val>2022/06/16</val>
          </value>
          <value t="str">
            <val>2022/12/22</val>
          </value>
        </values>
      </ddeItem>
      <ddeItem name="8215.TW-ID,Name,MarketValue,Capital,NetIncomeGrowthRate,OperIncomeGrowthRate,FinancialStatementsTime,TFXRatio,MonthlyNetSalesYoY,RevenueMonth" advise="1">
        <values cols="10">
          <value t="str">
            <val>8215</val>
          </value>
          <value t="str">
            <val>明基材</val>
          </value>
          <value t="str">
            <val>106.1</val>
          </value>
          <value t="str">
            <val>32.07</val>
          </value>
          <value t="str">
            <val>52.44</val>
          </value>
          <value t="str">
            <val>-22.61</val>
          </value>
          <value t="str">
            <val>2022/09</val>
          </value>
          <value t="str">
            <val>6.39</val>
          </value>
          <value t="str">
            <val>-5.54</val>
          </value>
          <value t="str">
            <val>2022/11</val>
          </value>
        </values>
      </ddeItem>
      <ddeItem name="8215.TW-OperatingProfitRatio,Price,PriceChangeRatio,InOutRatioNumber,Value,YearReturn,MonthReturn,WeekReturn,FinanceBalanceDif,ChipsField2" advise="1">
        <values cols="10">
          <value t="str">
            <val>5.00</val>
          </value>
          <value>
            <val>33.1</val>
          </value>
          <value>
            <val>-0.3</val>
          </value>
          <value t="str">
            <val>47.74%</val>
          </value>
          <value t="str">
            <val>1.90億</val>
          </value>
          <value t="str">
            <val>-9.20</val>
          </value>
          <value t="str">
            <val>+6.43</val>
          </value>
          <value t="str">
            <val>+0.91</val>
          </value>
          <value>
            <val>16</val>
          </value>
          <value>
            <val>0</val>
          </value>
        </values>
      </ddeItem>
      <ddeItem name="8222.TW-ChipsField3,ChipsField1,ChipsField25,CashAndStockDividend,CashDividendYieldRate,ProfitFourSeason,ProfitSingle,CName,ExchangeIndustry,CompanyPos" advise="1">
        <values cols="10">
          <value>
            <val>30</val>
          </value>
          <value>
            <val>-230</val>
          </value>
          <value t="str">
            <val>--</val>
          </value>
          <value t="str">
            <val>0.00</val>
          </value>
          <value>
            <val>0</val>
          </value>
          <value t="str">
            <val>0.08</val>
          </value>
          <value t="str">
            <val>0.47</val>
          </value>
          <value t="str">
            <val>寶一</val>
          </value>
          <value t="str">
            <val>上市電機機械</val>
          </value>
          <value t="str">
            <val>專注於航空發動機內的高溫段零組件製造商</val>
          </value>
        </values>
      </ddeItem>
      <ddeItem name="8222.TW-CName,InvestorConferenceDate,DateofMeetingofShareHolders,TradingDate" advise="1">
        <values cols="4">
          <value t="str">
            <val>寶一</val>
          </value>
          <value t="str">
            <val>2021/11/26</val>
          </value>
          <value t="str">
            <val>2022/06/27</val>
          </value>
          <value t="str">
            <val>2022/12/22</val>
          </value>
        </values>
      </ddeItem>
      <ddeItem name="8222.TW-ID,Name,MarketValue,Capital,NetIncomeGrowthRate,OperIncomeGrowthRate,FinancialStatementsTime,TFXRatio,MonthlyNetSalesYoY,RevenueMonth" advise="1">
        <values cols="10">
          <value t="str">
            <val>8222</val>
          </value>
          <value t="str">
            <val>寶一</val>
          </value>
          <value t="str">
            <val>18.2</val>
          </value>
          <value t="str">
            <val>6.86</val>
          </value>
          <value t="str">
            <val>133.18</val>
          </value>
          <value t="str">
            <val>61.71</val>
          </value>
          <value t="str">
            <val>2022/09</val>
          </value>
          <value t="str">
            <val>3.84</val>
          </value>
          <value t="str">
            <val>39.45</val>
          </value>
          <value t="str">
            <val>2022/11</val>
          </value>
        </values>
      </ddeItem>
      <ddeItem name="8222.TW-OperatingProfitRatio,Price,PriceChangeRatio,InOutRatioNumber,Value,YearReturn,MonthReturn,WeekReturn,FinanceBalanceDif,ChipsField2" advise="1">
        <values cols="10">
          <value t="str">
            <val>-9.92</val>
          </value>
          <value>
            <val>26.5</val>
          </value>
          <value>
            <val>0</val>
          </value>
          <value t="str">
            <val>49.49%</val>
          </value>
          <value t="str">
            <val>1.39億</val>
          </value>
          <value t="str">
            <val>+77.85</val>
          </value>
          <value t="str">
            <val>+30.22</val>
          </value>
          <value t="str">
            <val>-10.47</val>
          </value>
          <value>
            <val>-84</val>
          </value>
          <value>
            <val>0</val>
          </value>
        </values>
      </ddeItem>
      <ddeItem name="8249.TW-ChipsField3,ChipsField1,ChipsField25,CashAndStockDividend,CashDividendYieldRate,ProfitFourSeason,ProfitSingle,CName,ExchangeIndustry,CompanyPos" advise="1">
        <values cols="10">
          <value>
            <val>-7</val>
          </value>
          <value>
            <val>28</val>
          </value>
          <value t="str">
            <val>2022/07/14</val>
          </value>
          <value t="str">
            <val>1.29</val>
          </value>
          <value>
            <val>4.76</val>
          </value>
          <value t="str">
            <val>3.10</val>
          </value>
          <value t="str">
            <val>2.30</val>
          </value>
          <value t="str">
            <val>菱光</val>
          </value>
          <value t="str">
            <val>上市電子零組件</val>
          </value>
          <value t="str">
            <val>全球彩色接觸式CIS龍頭廠</val>
          </value>
        </values>
      </ddeItem>
      <ddeItem name="8249.TW-CName,InvestorConferenceDate,DateofMeetingofShareHolders,TradingDate" advise="1">
        <values cols="4">
          <value t="str">
            <val>菱光</val>
          </value>
          <value t="str">
            <val>2022/12/08</val>
          </value>
          <value t="str">
            <val>2022/11/29</val>
          </value>
          <value t="str">
            <val>2022/12/22</val>
          </value>
        </values>
      </ddeItem>
      <ddeItem name="8249.TW-ID,Name,MarketValue,Capital,NetIncomeGrowthRate,OperIncomeGrowthRate,FinancialStatementsTime,TFXRatio,MonthlyNetSalesYoY,RevenueMonth" advise="1">
        <values cols="10">
          <value t="str">
            <val>8249</val>
          </value>
          <value t="str">
            <val>菱光</val>
          </value>
          <value t="str">
            <val>34.4</val>
          </value>
          <value t="str">
            <val>14.91</val>
          </value>
          <value t="str">
            <val>99.21</val>
          </value>
          <value t="str">
            <val>38.48</val>
          </value>
          <value t="str">
            <val>2022/09</val>
          </value>
          <value t="str">
            <val>7.90</val>
          </value>
          <value t="str">
            <val>62.80</val>
          </value>
          <value t="str">
            <val>2022/11</val>
          </value>
        </values>
      </ddeItem>
      <ddeItem name="8249.TW-OperatingProfitRatio,Price,PriceChangeRatio,InOutRatioNumber,Value,YearReturn,MonthReturn,WeekReturn,FinanceBalanceDif,ChipsField2" advise="1">
        <values cols="10">
          <value t="str">
            <val>8.20</val>
          </value>
          <value>
            <val>27.1</val>
          </value>
          <value>
            <val>0.74</val>
          </value>
          <value t="str">
            <val>33.33%</val>
          </value>
          <value t="str">
            <val>319萬</val>
          </value>
          <value t="str">
            <val>+17.27</val>
          </value>
          <value t="str">
            <val>-1.09</val>
          </value>
          <value t="str">
            <val>-3.56</val>
          </value>
          <value>
            <val>-29</val>
          </value>
          <value>
            <val>0</val>
          </value>
        </values>
      </ddeItem>
      <ddeItem name="8261.TW-ChipsField3,ChipsField1,ChipsField25,CashAndStockDividend,CashDividendYieldRate,ProfitFourSeason,ProfitSingle,CName,ExchangeIndustry,CompanyPos" advise="1">
        <values cols="10">
          <value>
            <val>12</val>
          </value>
          <value>
            <val>96</val>
          </value>
          <value t="str">
            <val>2022/05/26</val>
          </value>
          <value t="str">
            <val>6.00</val>
          </value>
          <value>
            <val>5.63</val>
          </value>
          <value t="str">
            <val>10.97</val>
          </value>
          <value t="str">
            <val>2.06</val>
          </value>
          <value t="str">
            <val>富鼎</val>
          </value>
          <value t="str">
            <val>上市半導體</val>
          </value>
          <value t="str">
            <val>與全球電晶體大廠IR合作之類比IC設計公司</val>
          </value>
        </values>
      </ddeItem>
      <ddeItem name="8261.TW-CName,InvestorConferenceDate,DateofMeetingofShareHolders,TradingDate" advise="1">
        <values cols="4">
          <value t="str">
            <val>富鼎</val>
          </value>
          <value t="str">
            <val>2022/11/09</val>
          </value>
          <value t="str">
            <val>2022/04/13</val>
          </value>
          <value t="str">
            <val>2022/12/22</val>
          </value>
        </values>
      </ddeItem>
      <ddeItem name="8261.TW-ID,Name,MarketValue,Capital,NetIncomeGrowthRate,OperIncomeGrowthRate,FinancialStatementsTime,TFXRatio,MonthlyNetSalesYoY,RevenueMonth" advise="1">
        <values cols="10">
          <value t="str">
            <val>8261</val>
          </value>
          <value t="str">
            <val>富鼎</val>
          </value>
          <value t="str">
            <val>87.7</val>
          </value>
          <value t="str">
            <val>11.73</val>
          </value>
          <value t="str">
            <val>82.26</val>
          </value>
          <value t="str">
            <val>35.81</val>
          </value>
          <value t="str">
            <val>2022/09</val>
          </value>
          <value t="str">
            <val>-5.61</val>
          </value>
          <value t="str">
            <val>-40.29</val>
          </value>
          <value t="str">
            <val>2022/11</val>
          </value>
        </values>
      </ddeItem>
      <ddeItem name="8261.TW-OperatingProfitRatio,Price,PriceChangeRatio,InOutRatioNumber,Value,YearReturn,MonthReturn,WeekReturn,FinanceBalanceDif,ChipsField2" advise="1">
        <values cols="10">
          <value t="str">
            <val>24.46</val>
          </value>
          <value>
            <val>106.5</val>
          </value>
          <value>
            <val>0.47</val>
          </value>
          <value t="str">
            <val>47.17%</val>
          </value>
          <value t="str">
            <val>1.56億</val>
          </value>
          <value t="str">
            <val>-0.26</val>
          </value>
          <value t="str">
            <val>+4.41</val>
          </value>
          <value t="str">
            <val>-0.47</val>
          </value>
          <value>
            <val>-82</val>
          </value>
          <value>
            <val>0</val>
          </value>
        </values>
      </ddeItem>
      <ddeItem name="8271.TW-ChipsField3,ChipsField1,ChipsField25,CashAndStockDividend,CashDividendYieldRate,ProfitFourSeason,ProfitSingle,CName,ExchangeIndustry,CompanyPos" advise="1">
        <values cols="10">
          <value>
            <val>-7</val>
          </value>
          <value>
            <val>-10</val>
          </value>
          <value t="str">
            <val>2022/03/31</val>
          </value>
          <value t="str">
            <val>2.89</val>
          </value>
          <value>
            <val>7.03</val>
          </value>
          <value t="str">
            <val>4.97</val>
          </value>
          <value t="str">
            <val>1.16</val>
          </value>
          <value t="str">
            <val>宇瞻</val>
          </value>
          <value t="str">
            <val>上市半導體</val>
          </value>
          <value t="str">
            <val>全球前十大DRAM模組廠</val>
          </value>
        </values>
      </ddeItem>
      <ddeItem name="8271.TW-CName,InvestorConferenceDate,DateofMeetingofShareHolders,TradingDate" advise="1">
        <values cols="4">
          <value t="str">
            <val>宇瞻</val>
          </value>
          <value t="str">
            <val>2022/02/25</val>
          </value>
          <value t="str">
            <val>2022/05/31</val>
          </value>
          <value t="str">
            <val>2022/12/22</val>
          </value>
        </values>
      </ddeItem>
      <ddeItem name="8271.TW-ID,Name,MarketValue,Capital,NetIncomeGrowthRate,OperIncomeGrowthRate,FinancialStatementsTime,TFXRatio,MonthlyNetSalesYoY,RevenueMonth" advise="1">
        <values cols="10">
          <value t="str">
            <val>8271</val>
          </value>
          <value t="str">
            <val>宇瞻</val>
          </value>
          <value t="str">
            <val>45.9</val>
          </value>
          <value t="str">
            <val>12.27</val>
          </value>
          <value t="str">
            <val>8.83</val>
          </value>
          <value t="str">
            <val>6.80</val>
          </value>
          <value t="str">
            <val>2022/09</val>
          </value>
          <value t="str">
            <val>-14.21</val>
          </value>
          <value t="str">
            <val>-12.85</val>
          </value>
          <value t="str">
            <val>2022/11</val>
          </value>
        </values>
      </ddeItem>
      <ddeItem name="8271.TW-OperatingProfitRatio,Price,PriceChangeRatio,InOutRatioNumber,Value,YearReturn,MonthReturn,WeekReturn,FinanceBalanceDif,ChipsField2" advise="1">
        <values cols="10">
          <value t="str">
            <val>7.94</val>
          </value>
          <value>
            <val>41.1</val>
          </value>
          <value>
            <val>0.49</val>
          </value>
          <value t="str">
            <val>68.28%</val>
          </value>
          <value t="str">
            <val>598萬</val>
          </value>
          <value t="str">
            <val>-6.12</val>
          </value>
          <value t="str">
            <val>-2.14</val>
          </value>
          <value t="str">
            <val>-1.79</val>
          </value>
          <value>
            <val>-1</val>
          </value>
          <value>
            <val>0</val>
          </value>
        </values>
      </ddeItem>
      <ddeItem name="8341.TW-ChipsField3,ChipsField1,ChipsField25,CashAndStockDividend,CashDividendYieldRate,ProfitFourSeason,ProfitSingle,CName,ExchangeIndustry,CompanyPos" advise="1">
        <values cols="10">
          <value>
            <val>-29</val>
          </value>
          <value>
            <val>-157</val>
          </value>
          <value t="str">
            <val>2022/06/16</val>
          </value>
          <value t="str">
            <val>8.00</val>
          </value>
          <value>
            <val>4.5599999999999996</val>
          </value>
          <value t="str">
            <val>8.62</val>
          </value>
          <value t="str">
            <val>1.69</val>
          </value>
          <value t="str">
            <val>日友</val>
          </value>
          <value t="str">
            <val>上市其他</val>
          </value>
          <value t="str">
            <val>潤泰新轉投資之台灣最大醫療廢棄物處理廠商之一</val>
          </value>
        </values>
      </ddeItem>
      <ddeItem name="8341.TW-CName,InvestorConferenceDate,DateofMeetingofShareHolders,TradingDate" advise="1">
        <values cols="4">
          <value t="str">
            <val>日友</val>
          </value>
          <value t="str">
            <val>2022/08/11</val>
          </value>
          <value t="str">
            <val>2022/05/27</val>
          </value>
          <value t="str">
            <val>2022/12/22</val>
          </value>
        </values>
      </ddeItem>
      <ddeItem name="8341.TW-ID,Name,MarketValue,Capital,NetIncomeGrowthRate,OperIncomeGrowthRate,FinancialStatementsTime,TFXRatio,MonthlyNetSalesYoY,RevenueMonth" advise="1">
        <values cols="10">
          <value t="str">
            <val>8341</val>
          </value>
          <value t="str">
            <val>日友</val>
          </value>
          <value t="str">
            <val>195.7</val>
          </value>
          <value t="str">
            <val>11.15</val>
          </value>
          <value t="str">
            <val>2.43</val>
          </value>
          <value t="str">
            <val>1.14</val>
          </value>
          <value t="str">
            <val>2022/09</val>
          </value>
          <value t="str">
            <val>22.06</val>
          </value>
          <value t="str">
            <val>17.41</val>
          </value>
          <value t="str">
            <val>2022/11</val>
          </value>
        </values>
      </ddeItem>
      <ddeItem name="8341.TW-OperatingProfitRatio,Price,PriceChangeRatio,InOutRatioNumber,Value,YearReturn,MonthReturn,WeekReturn,FinanceBalanceDif,ChipsField2" advise="1">
        <values cols="10">
          <value t="str">
            <val>30.88</val>
          </value>
          <value>
            <val>175.5</val>
          </value>
          <value>
            <val>1.1499999999999999</val>
          </value>
          <value t="str">
            <val>43.16%</val>
          </value>
          <value t="str">
            <val>3.12億</val>
          </value>
          <value t="str">
            <val>-8.79</val>
          </value>
          <value t="str">
            <val>+28.10</val>
          </value>
          <value t="str">
            <val>+3.24</val>
          </value>
          <value>
            <val>209</val>
          </value>
          <value>
            <val>30</val>
          </value>
        </values>
      </ddeItem>
      <ddeItem name="836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2022/07/14</val>
          </value>
          <value t="str">
            <val>2.80</val>
          </value>
          <value>
            <val>7.42</val>
          </value>
          <value t="str">
            <val>3.10</val>
          </value>
          <value t="str">
            <val>1.38</val>
          </value>
          <value t="str">
            <val>建新國際</val>
          </value>
          <value t="str">
            <val>上市航運業</val>
          </value>
          <value t="str">
            <val>台灣從事貨櫃場服務之業者</val>
          </value>
        </values>
      </ddeItem>
      <ddeItem name="8367.TW-CName,InvestorConferenceDate,DateofMeetingofShareHolders,TradingDate" advise="1">
        <values cols="4">
          <value t="str">
            <val>建新國際</val>
          </value>
          <value t="str">
            <val>2022/08/03</val>
          </value>
          <value t="str">
            <val>2022/05/27</val>
          </value>
          <value t="str">
            <val>2022/12/22</val>
          </value>
        </values>
      </ddeItem>
      <ddeItem name="8367.TW-ID,Name,MarketValue,Capital,NetIncomeGrowthRate,OperIncomeGrowthRate,FinancialStatementsTime,TFXRatio,MonthlyNetSalesYoY,RevenueMonth" advise="1">
        <values cols="10">
          <value t="str">
            <val>8367</val>
          </value>
          <value t="str">
            <val>建新國際</val>
          </value>
          <value t="str">
            <val>33.1</val>
          </value>
          <value t="str">
            <val>8.77</val>
          </value>
          <value t="str">
            <val>-73.80</val>
          </value>
          <value t="str">
            <val>-8.69</val>
          </value>
          <value t="str">
            <val>2022/09</val>
          </value>
          <value t="str">
            <val>9.90</val>
          </value>
          <value t="str">
            <val>-21.99</val>
          </value>
          <value t="str">
            <val>2022/11</val>
          </value>
        </values>
      </ddeItem>
      <ddeItem name="8367.TW-OperatingProfitRatio,Price,PriceChangeRatio,InOutRatioNumber,Value,YearReturn,MonthReturn,WeekReturn,FinanceBalanceDif,ChipsField2" advise="1">
        <values cols="10">
          <value t="str">
            <val>20.93</val>
          </value>
          <value>
            <val>37.75</val>
          </value>
          <value>
            <val>5.15</val>
          </value>
          <value t="str">
            <val>63.76%</val>
          </value>
          <value t="str">
            <val>1420萬</val>
          </value>
          <value t="str">
            <val>-25.23</val>
          </value>
          <value t="str">
            <val>+11.03</val>
          </value>
          <value t="str">
            <val>+8.17</val>
          </value>
          <value>
            <val>10</val>
          </value>
          <value>
            <val>0</val>
          </value>
        </values>
      </ddeItem>
      <ddeItem name="8374.TW-ChipsField3,ChipsField1,ChipsField25,CashAndStockDividend,CashDividendYieldRate,ProfitFourSeason,ProfitSingle,CName,ExchangeIndustry,CompanyPos" advise="1">
        <values cols="10">
          <value>
            <val>-2</val>
          </value>
          <value>
            <val>4</val>
          </value>
          <value t="str">
            <val>2022/07/18</val>
          </value>
          <value t="str">
            <val>0.90</val>
          </value>
          <value>
            <val>3.13</val>
          </value>
          <value t="str">
            <val>1.00</val>
          </value>
          <value t="str">
            <val>0.02</val>
          </value>
          <value t="str">
            <val>羅昇</val>
          </value>
          <value t="str">
            <val>上市電機機械</val>
          </value>
          <value t="str">
            <val>自動化機電零組件暨系統供應商</val>
          </value>
        </values>
      </ddeItem>
      <ddeItem name="8374.TW-CName,InvestorConferenceDate,DateofMeetingofShareHolders,TradingDate" advise="1">
        <values cols="4">
          <value t="str">
            <val>羅昇</val>
          </value>
          <value t="str">
            <val>2022/05/20</val>
          </value>
          <value t="str">
            <val>2022/06/14</val>
          </value>
          <value t="str">
            <val>2022/12/22</val>
          </value>
        </values>
      </ddeItem>
      <ddeItem name="8374.TW-ID,Name,MarketValue,Capital,NetIncomeGrowthRate,OperIncomeGrowthRate,FinancialStatementsTime,TFXRatio,MonthlyNetSalesYoY,RevenueMonth" advise="1">
        <values cols="10">
          <value t="str">
            <val>8374</val>
          </value>
          <value t="str">
            <val>羅昇</val>
          </value>
          <value t="str">
            <val>25.7</val>
          </value>
          <value t="str">
            <val>11.23</val>
          </value>
          <value t="str">
            <val>-15.62</val>
          </value>
          <value t="str">
            <val>-33.28</val>
          </value>
          <value t="str">
            <val>2022/09</val>
          </value>
          <value t="str">
            <val>-1.02</val>
          </value>
          <value t="str">
            <val>16.68</val>
          </value>
          <value t="str">
            <val>2022/11</val>
          </value>
        </values>
      </ddeItem>
      <ddeItem name="8374.TW-OperatingProfitRatio,Price,PriceChangeRatio,InOutRatioNumber,Value,YearReturn,MonthReturn,WeekReturn,FinanceBalanceDif,ChipsField2" advise="1">
        <values cols="10">
          <value t="str">
            <val>3.63</val>
          </value>
          <value>
            <val>28.8</val>
          </value>
          <value>
            <val>1.77</val>
          </value>
          <value t="str">
            <val>42.86%</val>
          </value>
          <value t="str">
            <val>80.2萬</val>
          </value>
          <value t="str">
            <val>-1.11</val>
          </value>
          <value t="str">
            <val>+2.67</val>
          </value>
          <value t="str">
            <val>+2.31</val>
          </value>
          <value>
            <val>0</val>
          </value>
          <value>
            <val>0</val>
          </value>
        </values>
      </ddeItem>
      <ddeItem name="8404.TW-ChipsField3,ChipsField1,ChipsField25,CashAndStockDividend,CashDividendYieldRate,ProfitFourSeason,ProfitSingle,CName,ExchangeIndustry,CompanyPos" advise="1">
        <values cols="10">
          <value>
            <val>-7</val>
          </value>
          <value>
            <val>4</val>
          </value>
          <value t="str">
            <val>2022/08/02</val>
          </value>
          <value t="str">
            <val>2.50</val>
          </value>
          <value>
            <val>9.5399999999999991</val>
          </value>
          <value t="str">
            <val>2.63</val>
          </value>
          <value t="str">
            <val>0.36</val>
          </value>
          <value t="str">
            <val>百和興業-KY</val>
          </value>
          <value t="str">
            <val>上市其他</val>
          </value>
          <value t="str">
            <val>全球最大黏扣帶製造商</val>
          </value>
        </values>
      </ddeItem>
      <ddeItem name="8404.TW-CName,InvestorConferenceDate,DateofMeetingofShareHolders,TradingDate" advise="1">
        <values cols="4">
          <value t="str">
            <val>百和興業-KY</val>
          </value>
          <value t="str">
            <val>2022/04/14</val>
          </value>
          <value t="str">
            <val>2022/06/22</val>
          </value>
          <value t="str">
            <val>2022/12/22</val>
          </value>
        </values>
      </ddeItem>
      <ddeItem name="8404.TW-ID,Name,MarketValue,Capital,NetIncomeGrowthRate,OperIncomeGrowthRate,FinancialStatementsTime,TFXRatio,MonthlyNetSalesYoY,RevenueMonth" advise="1">
        <values cols="10">
          <value t="str">
            <val>8404</val>
          </value>
          <value t="str">
            <val>百和興業-KY</val>
          </value>
          <value t="str">
            <val>82.6</val>
          </value>
          <value t="str">
            <val>31.52</val>
          </value>
          <value t="str">
            <val>-43.49</val>
          </value>
          <value t="str">
            <val>-46.96</val>
          </value>
          <value t="str">
            <val>2022/09</val>
          </value>
          <value t="str">
            <val>-13.85</val>
          </value>
          <value t="str">
            <val>-43.25</val>
          </value>
          <value t="str">
            <val>2022/11</val>
          </value>
        </values>
      </ddeItem>
      <ddeItem name="8404.TW-OperatingProfitRatio,Price,PriceChangeRatio,InOutRatioNumber,Value,YearReturn,MonthReturn,WeekReturn,FinanceBalanceDif,ChipsField2" advise="1">
        <values cols="10">
          <value t="str">
            <val>14.72</val>
          </value>
          <value>
            <val>26.2</val>
          </value>
          <value>
            <val>0</val>
          </value>
          <value t="str">
            <val>38.96%</val>
          </value>
          <value t="str">
            <val>205萬</val>
          </value>
          <value t="str">
            <val>-16.64</val>
          </value>
          <value t="str">
            <val>-1.69</val>
          </value>
          <value t="str">
            <val>-4.38</val>
          </value>
          <value>
            <val>1</val>
          </value>
          <value>
            <val>0</val>
          </value>
        </values>
      </ddeItem>
      <ddeItem name="8411.TW-ChipsField3,ChipsField1,ChipsField25,CashAndStockDividend,CashDividendYieldRate,ProfitFourSeason,ProfitSingle,CName,ExchangeIndustry,CompanyPos" advise="1">
        <values cols="10">
          <value>
            <val>-149</val>
          </value>
          <value>
            <val>-9</val>
          </value>
          <value t="str">
            <val>2022/07/26</val>
          </value>
          <value t="str">
            <val>0.40</val>
          </value>
          <value>
            <val>3.03</val>
          </value>
          <value t="str">
            <val>-0.45</val>
          </value>
          <value t="str">
            <val>-1.18</val>
          </value>
          <value t="str">
            <val>福貞-KY</val>
          </value>
          <value t="str">
            <val>上市其他</val>
          </value>
          <value t="str">
            <val>大陸專業金屬包裝產品供應大廠</val>
          </value>
        </values>
      </ddeItem>
      <ddeItem name="8411.TW-CName,InvestorConferenceDate,DateofMeetingofShareHolders,TradingDate" advise="1">
        <values cols="4">
          <value t="str">
            <val>福貞-KY</val>
          </value>
          <value t="str">
            <val>2022/11/17</val>
          </value>
          <value t="str">
            <val>2022/06/22</val>
          </value>
          <value t="str">
            <val>2022/12/22</val>
          </value>
        </values>
      </ddeItem>
      <ddeItem name="8411.TW-ID,Name,MarketValue,Capital,NetIncomeGrowthRate,OperIncomeGrowthRate,FinancialStatementsTime,TFXRatio,MonthlyNetSalesYoY,RevenueMonth" advise="1">
        <values cols="10">
          <value t="str">
            <val>8411</val>
          </value>
          <value t="str">
            <val>福貞-KY</val>
          </value>
          <value t="str">
            <val>28.8</val>
          </value>
          <value t="str">
            <val>21.84</val>
          </value>
          <value t="str">
            <val>-441.99</val>
          </value>
          <value t="str">
            <val>-92.87</val>
          </value>
          <value t="str">
            <val>2022/09</val>
          </value>
          <value t="str">
            <val>14.81</val>
          </value>
          <value t="str">
            <val>-4.30</val>
          </value>
          <value t="str">
            <val>2022/11</val>
          </value>
        </values>
      </ddeItem>
      <ddeItem name="8411.TW-OperatingProfitRatio,Price,PriceChangeRatio,InOutRatioNumber,Value,YearReturn,MonthReturn,WeekReturn,FinanceBalanceDif,ChipsField2" advise="1">
        <values cols="10">
          <value t="str">
            <val>0.17</val>
          </value>
          <value>
            <val>13.2</val>
          </value>
          <value>
            <val>0.38</val>
          </value>
          <value t="str">
            <val>65.93%</val>
          </value>
          <value t="str">
            <val>119萬</val>
          </value>
          <value t="str">
            <val>-15.68</val>
          </value>
          <value t="str">
            <val>+3.12</val>
          </value>
          <value t="str">
            <val>+0.38</val>
          </value>
          <value>
            <val>-5</val>
          </value>
          <value>
            <val>0</val>
          </value>
        </values>
      </ddeItem>
      <ddeItem name="8422.TW-ChipsField3,ChipsField1,ChipsField25,CashAndStockDividend,CashDividendYieldRate,ProfitFourSeason,ProfitSingle,CName,ExchangeIndustry,CompanyPos" advise="1">
        <values cols="10">
          <value>
            <val>-11</val>
          </value>
          <value>
            <val>1</val>
          </value>
          <value t="str">
            <val>2022/06/06</val>
          </value>
          <value t="str">
            <val>10.00</val>
          </value>
          <value>
            <val>5.63</val>
          </value>
          <value t="str">
            <val>10.95</val>
          </value>
          <value t="str">
            <val>3.09</val>
          </value>
          <value t="str">
            <val>可寧衛</val>
          </value>
          <value t="str">
            <val>上市其他</val>
          </value>
          <value t="str">
            <val>台灣最大重金屬廢棄物固化處理廠</val>
          </value>
        </values>
      </ddeItem>
      <ddeItem name="8422.TW-CName,InvestorConferenceDate,DateofMeetingofShareHolders,TradingDate" advise="1">
        <values cols="4">
          <value t="str">
            <val>可寧衛</val>
          </value>
          <value t="str">
            <val>2022/12/07</val>
          </value>
          <value t="str">
            <val>2022/05/27</val>
          </value>
          <value t="str">
            <val>2022/12/22</val>
          </value>
        </values>
      </ddeItem>
      <ddeItem name="8422.TW-ID,Name,MarketValue,Capital,NetIncomeGrowthRate,OperIncomeGrowthRate,FinancialStatementsTime,TFXRatio,MonthlyNetSalesYoY,RevenueMonth" advise="1">
        <values cols="10">
          <value t="str">
            <val>8422</val>
          </value>
          <value t="str">
            <val>可寧衛</val>
          </value>
          <value t="str">
            <val>193.3</val>
          </value>
          <value t="str">
            <val>10.89</val>
          </value>
          <value t="str">
            <val>3.92</val>
          </value>
          <value t="str">
            <val>3.55</val>
          </value>
          <value t="str">
            <val>2022/09</val>
          </value>
          <value t="str">
            <val>19.77</val>
          </value>
          <value t="str">
            <val>82.26</val>
          </value>
          <value t="str">
            <val>2022/11</val>
          </value>
        </values>
      </ddeItem>
      <ddeItem name="8422.TW-OperatingProfitRatio,Price,PriceChangeRatio,InOutRatioNumber,Value,YearReturn,MonthReturn,WeekReturn,FinanceBalanceDif,ChipsField2" advise="1">
        <values cols="10">
          <value t="str">
            <val>31.86</val>
          </value>
          <value>
            <val>177.5</val>
          </value>
          <value>
            <val>0.28000000000000003</val>
          </value>
          <value t="str">
            <val>35.90%</val>
          </value>
          <value t="str">
            <val>1386萬</val>
          </value>
          <value t="str">
            <val>-19.98</val>
          </value>
          <value t="str">
            <val>+4.72</val>
          </value>
          <value t="str">
            <val>-2.20</val>
          </value>
          <value>
            <val>-7</val>
          </value>
          <value>
            <val>0</val>
          </value>
        </values>
      </ddeItem>
      <ddeItem name="8429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92</val>
          </value>
          <value t="str">
            <val>--</val>
          </value>
          <value t="str">
            <val>0.00</val>
          </value>
          <value>
            <val>0</val>
          </value>
          <value t="str">
            <val>-1.16</val>
          </value>
          <value t="str">
            <val>-0.68</val>
          </value>
          <value t="str">
            <val>金麗-KY</val>
          </value>
          <value t="str">
            <val>上市貿易百貨</val>
          </value>
          <value t="str">
            <val>大陸三、四線城市中低價品牌服飾與休閒鞋業者</val>
          </value>
        </values>
      </ddeItem>
      <ddeItem name="8429.TW-CName,InvestorConferenceDate,DateofMeetingofShareHolders,TradingDate" advise="1">
        <values cols="4">
          <value t="str">
            <val>金麗-KY</val>
          </value>
          <value t="str">
            <val>2022/12/07</val>
          </value>
          <value t="str">
            <val>2022/06/23</val>
          </value>
          <value t="str">
            <val>2022/12/22</val>
          </value>
        </values>
      </ddeItem>
      <ddeItem name="8429.TW-ID,Name,MarketValue,Capital,NetIncomeGrowthRate,OperIncomeGrowthRate,FinancialStatementsTime,TFXRatio,MonthlyNetSalesYoY,RevenueMonth" advise="1">
        <values cols="10">
          <value t="str">
            <val>8429</val>
          </value>
          <value t="str">
            <val>金麗-KY</val>
          </value>
          <value t="str">
            <val>20.2</val>
          </value>
          <value t="str">
            <val>18.57</val>
          </value>
          <value t="str">
            <val>-800.98</val>
          </value>
          <value t="str">
            <val>-4390.33</val>
          </value>
          <value t="str">
            <val>2022/09</val>
          </value>
          <value t="str">
            <val>15.05</val>
          </value>
          <value t="str">
            <val>-73.52</val>
          </value>
          <value t="str">
            <val>2022/11</val>
          </value>
        </values>
      </ddeItem>
      <ddeItem name="8429.TW-OperatingProfitRatio,Price,PriceChangeRatio,InOutRatioNumber,Value,YearReturn,MonthReturn,WeekReturn,FinanceBalanceDif,ChipsField2" advise="1">
        <values cols="10">
          <value t="str">
            <val>-121.32</val>
          </value>
          <value>
            <val>10.85</val>
          </value>
          <value>
            <val>0.46</val>
          </value>
          <value t="str">
            <val>44.98%</val>
          </value>
          <value t="str">
            <val>615萬</val>
          </value>
          <value t="str">
            <val>-15.56</val>
          </value>
          <value t="str">
            <val>+16.92</val>
          </value>
          <value t="str">
            <val>-3.56</val>
          </value>
          <value>
            <val>-122</val>
          </value>
          <value>
            <val>0</val>
          </value>
        </values>
      </ddeItem>
      <ddeItem name="843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2022/06/09</val>
          </value>
          <value t="str">
            <val>2.00</val>
          </value>
          <value>
            <val>8.0500000000000007</val>
          </value>
          <value t="str">
            <val>2.20</val>
          </value>
          <value t="str">
            <val>0.15</val>
          </value>
          <value t="str">
            <val>昶昕</val>
          </value>
          <value t="str">
            <val>上市其他</val>
          </value>
          <value t="str">
            <val>台灣主要PCB廢液處理商，市佔超過8成</val>
          </value>
        </values>
      </ddeItem>
      <ddeItem name="8438.TW-CName,InvestorConferenceDate,DateofMeetingofShareHolders,TradingDate" advise="1">
        <values cols="4">
          <value t="str">
            <val>昶昕</val>
          </value>
          <value t="str">
            <val>2022/12/14</val>
          </value>
          <value t="str">
            <val>2022/05/24</val>
          </value>
          <value t="str">
            <val>2022/12/22</val>
          </value>
        </values>
      </ddeItem>
      <ddeItem name="8438.TW-ID,Name,MarketValue,Capital,NetIncomeGrowthRate,OperIncomeGrowthRate,FinancialStatementsTime,TFXRatio,MonthlyNetSalesYoY,RevenueMonth" advise="1">
        <values cols="10">
          <value t="str">
            <val>8438</val>
          </value>
          <value t="str">
            <val>昶昕</val>
          </value>
          <value t="str">
            <val>17.5</val>
          </value>
          <value t="str">
            <val>7.05</val>
          </value>
          <value t="str">
            <val>-43.80</val>
          </value>
          <value t="str">
            <val>-57.31</val>
          </value>
          <value t="str">
            <val>2022/09</val>
          </value>
          <value t="str">
            <val>11.16</val>
          </value>
          <value t="str">
            <val>-26.27</val>
          </value>
          <value t="str">
            <val>2022/11</val>
          </value>
        </values>
      </ddeItem>
      <ddeItem name="8438.TW-OperatingProfitRatio,Price,PriceChangeRatio,InOutRatioNumber,Value,YearReturn,MonthReturn,WeekReturn,FinanceBalanceDif,ChipsField2" advise="1">
        <values cols="10">
          <value t="str">
            <val>2.92</val>
          </value>
          <value>
            <val>24.85</val>
          </value>
          <value>
            <val>1.22</val>
          </value>
          <value t="str">
            <val>45.45%</val>
          </value>
          <value t="str">
            <val>27.6萬</val>
          </value>
          <value t="str">
            <val>--</val>
          </value>
          <value t="str">
            <val>-6.05</val>
          </value>
          <value t="str">
            <val>-4.42</val>
          </value>
          <value>
            <val>1</val>
          </value>
          <value>
            <val>0</val>
          </value>
        </values>
      </ddeItem>
      <ddeItem name="8442.TW-ChipsField3,ChipsField1,ChipsField25,CashAndStockDividend,CashDividendYieldRate,ProfitFourSeason,ProfitSingle,CName,ExchangeIndustry,CompanyPos" advise="1">
        <values cols="10">
          <value>
            <val>1</val>
          </value>
          <value>
            <val>-3</val>
          </value>
          <value t="str">
            <val>2022/12/06</val>
          </value>
          <value t="str">
            <val>1.00</val>
          </value>
          <value>
            <val>1.33</val>
          </value>
          <value t="str">
            <val>9.05</val>
          </value>
          <value t="str">
            <val>3.42</val>
          </value>
          <value t="str">
            <val>威宏-KY</val>
          </value>
          <value t="str">
            <val>上市其他</val>
          </value>
          <value t="str">
            <val>為全球知名運動用品及精品包袋代工製造商</val>
          </value>
        </values>
      </ddeItem>
      <ddeItem name="8442.TW-CName,InvestorConferenceDate,DateofMeetingofShareHolders,TradingDate" advise="1">
        <values cols="4">
          <value t="str">
            <val>威宏-KY</val>
          </value>
          <value t="str">
            <val>2022/12/06</val>
          </value>
          <value t="str">
            <val>2022/06/23</val>
          </value>
          <value t="str">
            <val>2022/12/22</val>
          </value>
        </values>
      </ddeItem>
      <ddeItem name="8442.TW-ID,Name,MarketValue,Capital,NetIncomeGrowthRate,OperIncomeGrowthRate,FinancialStatementsTime,TFXRatio,MonthlyNetSalesYoY,RevenueMonth" advise="1">
        <values cols="10">
          <value t="str">
            <val>8442</val>
          </value>
          <value t="str">
            <val>威宏-KY</val>
          </value>
          <value t="str">
            <val>45.1</val>
          </value>
          <value t="str">
            <val>6.00</val>
          </value>
          <value t="str">
            <val>2686.61</val>
          </value>
          <value t="str">
            <val>100341.00</val>
          </value>
          <value t="str">
            <val>2022/09</val>
          </value>
          <value t="str">
            <val>-8.08</val>
          </value>
          <value t="str">
            <val>27.14</val>
          </value>
          <value t="str">
            <val>2022/11</val>
          </value>
        </values>
      </ddeItem>
      <ddeItem name="8442.TW-OperatingProfitRatio,Price,PriceChangeRatio,InOutRatioNumber,Value,YearReturn,MonthReturn,WeekReturn,FinanceBalanceDif,ChipsField2" advise="1">
        <values cols="10">
          <value t="str">
            <val>7.83</val>
          </value>
          <value>
            <val>75.2</val>
          </value>
          <value>
            <val>0.8</val>
          </value>
          <value t="str">
            <val>56.25%</val>
          </value>
          <value t="str">
            <val>120萬</val>
          </value>
          <value t="str">
            <val>+73.88</val>
          </value>
          <value t="str">
            <val>+3.34</val>
          </value>
          <value t="str">
            <val>0.00</val>
          </value>
          <value>
            <val>4</val>
          </value>
          <value>
            <val>0</val>
          </value>
        </values>
      </ddeItem>
      <ddeItem name="844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0.00</val>
          </value>
          <value>
            <val>0</val>
          </value>
          <value t="str">
            <val>-2.76</val>
          </value>
          <value t="str">
            <val>-0.90</val>
          </value>
          <value t="str">
            <val>阿瘦</val>
          </value>
          <value t="str">
            <val>上市貿易百貨</val>
          </value>
          <value t="str">
            <val>台灣第一家掛牌的鞋業自有品牌業者</val>
          </value>
        </values>
      </ddeItem>
      <ddeItem name="8443.TW-CName,InvestorConferenceDate,DateofMeetingofShareHolders,TradingDate" advise="1">
        <values cols="4">
          <value t="str">
            <val>阿瘦</val>
          </value>
          <value t="str">
            <val>2022/11/09</val>
          </value>
          <value t="str">
            <val>2022/06/14</val>
          </value>
          <value t="str">
            <val>2022/12/22</val>
          </value>
        </values>
      </ddeItem>
      <ddeItem name="8443.TW-ID,Name,MarketValue,Capital,NetIncomeGrowthRate,OperIncomeGrowthRate,FinancialStatementsTime,TFXRatio,MonthlyNetSalesYoY,RevenueMonth" advise="1">
        <values cols="10">
          <value t="str">
            <val>8443</val>
          </value>
          <value t="str">
            <val>阿瘦</val>
          </value>
          <value t="str">
            <val>7.3</val>
          </value>
          <value t="str">
            <val>6.68</val>
          </value>
          <value t="str">
            <val>35.00</val>
          </value>
          <value t="str">
            <val>55.17</val>
          </value>
          <value t="str">
            <val>2022/09</val>
          </value>
          <value t="str">
            <val>19.77</val>
          </value>
          <value t="str">
            <val>-10.92</val>
          </value>
          <value t="str">
            <val>2022/11</val>
          </value>
        </values>
      </ddeItem>
      <ddeItem name="8443.TW-OperatingProfitRatio,Price,PriceChangeRatio,InOutRatioNumber,Value,YearReturn,MonthReturn,WeekReturn,FinanceBalanceDif,ChipsField2" advise="1">
        <values cols="10">
          <value t="str">
            <val>-10.73</val>
          </value>
          <value>
            <val>10.95</val>
          </value>
          <value>
            <val>0</val>
          </value>
          <value t="str">
            <val>28.95%</val>
          </value>
          <value t="str">
            <val>41.5萬</val>
          </value>
          <value t="str">
            <val>-8.37</val>
          </value>
          <value t="str">
            <val>-2.23</val>
          </value>
          <value t="str">
            <val>-1.35</val>
          </value>
          <value>
            <val>0</val>
          </value>
          <value>
            <val>0</val>
          </value>
        </values>
      </ddeItem>
      <ddeItem name="8454.TW-ChipsField3,ChipsField1,ChipsField25,CashAndStockDividend,CashDividendYieldRate,ProfitFourSeason,ProfitSingle,CName,ExchangeIndustry,CompanyPos" advise="1">
        <values cols="10">
          <value>
            <val>-6</val>
          </value>
          <value>
            <val>163</val>
          </value>
          <value t="str">
            <val>2022/06/30</val>
          </value>
          <value t="str">
            <val>15.00</val>
          </value>
          <value>
            <val>2.4</val>
          </value>
          <value t="str">
            <val>16.63</val>
          </value>
          <value t="str">
            <val>3.46</val>
          </value>
          <value t="str">
            <val>富邦媒</val>
          </value>
          <value t="str">
            <val>上市貿易百貨</val>
          </value>
          <value t="str">
            <val>台灣網路購物龍頭平台</val>
          </value>
        </values>
      </ddeItem>
      <ddeItem name="8454.TW-CName,InvestorConferenceDate,DateofMeetingofShareHolders,TradingDate" advise="1">
        <values cols="4">
          <value t="str">
            <val>富邦媒</val>
          </value>
          <value t="str">
            <val>2022/10/27</val>
          </value>
          <value t="str">
            <val>2022/05/20</val>
          </value>
          <value t="str">
            <val>2022/12/22</val>
          </value>
        </values>
      </ddeItem>
      <ddeItem name="8454.TW-ID,Name,MarketValue,Capital,NetIncomeGrowthRate,OperIncomeGrowthRate,FinancialStatementsTime,TFXRatio,MonthlyNetSalesYoY,RevenueMonth" advise="1">
        <values cols="10">
          <value t="str">
            <val>8454</val>
          </value>
          <value t="str">
            <val>富邦媒</val>
          </value>
          <value t="str">
            <val>1367.8</val>
          </value>
          <value t="str">
            <val>21.85</val>
          </value>
          <value t="str">
            <val>2.23</val>
          </value>
          <value t="str">
            <val>1.04</val>
          </value>
          <value t="str">
            <val>2022/09</val>
          </value>
          <value t="str">
            <val>88.67</val>
          </value>
          <value t="str">
            <val>18.84</val>
          </value>
          <value t="str">
            <val>2022/11</val>
          </value>
        </values>
      </ddeItem>
      <ddeItem name="8454.TW-OperatingProfitRatio,Price,PriceChangeRatio,InOutRatioNumber,Value,YearReturn,MonthReturn,WeekReturn,FinanceBalanceDif,ChipsField2" advise="1">
        <values cols="10">
          <value t="str">
            <val>4.10</val>
          </value>
          <value>
            <val>626</val>
          </value>
          <value>
            <val>3.64</val>
          </value>
          <value t="str">
            <val>63.18%</val>
          </value>
          <value t="str">
            <val>4.39億</val>
          </value>
          <value t="str">
            <val>-53.40</val>
          </value>
          <value t="str">
            <val>+11.99</val>
          </value>
          <value t="str">
            <val>-0.63</val>
          </value>
          <value>
            <val>-54</val>
          </value>
          <value>
            <val>65</val>
          </value>
        </values>
      </ddeItem>
      <ddeItem name="8462.TW-ChipsField3,ChipsField1,ChipsField25,CashAndStockDividend,CashDividendYieldRate,ProfitFourSeason,ProfitSingle,CName,ExchangeIndustry,CompanyPos" advise="1">
        <values cols="10">
          <value>
            <val>-5</val>
          </value>
          <value>
            <val>-5</val>
          </value>
          <value t="str">
            <val>2022/07/01</val>
          </value>
          <value t="str">
            <val>1.29</val>
          </value>
          <value>
            <val>1.08</val>
          </value>
          <value t="str">
            <val>2.45</val>
          </value>
          <value t="str">
            <val>0.03</val>
          </value>
          <value t="str">
            <val>柏文</val>
          </value>
          <value t="str">
            <val>上市觀光</val>
          </value>
          <value t="str">
            <val>台灣連鎖健身俱樂部業者</val>
          </value>
        </values>
      </ddeItem>
      <ddeItem name="8462.TW-CName,InvestorConferenceDate,DateofMeetingofShareHolders,TradingDate" advise="1">
        <values cols="4">
          <value t="str">
            <val>柏文</val>
          </value>
          <value t="str">
            <val>2022/10/13</val>
          </value>
          <value t="str">
            <val>2022/06/01</val>
          </value>
          <value t="str">
            <val>2022/12/22</val>
          </value>
        </values>
      </ddeItem>
      <ddeItem name="8462.TW-ID,Name,MarketValue,Capital,NetIncomeGrowthRate,OperIncomeGrowthRate,FinancialStatementsTime,TFXRatio,MonthlyNetSalesYoY,RevenueMonth" advise="1">
        <values cols="10">
          <value t="str">
            <val>8462</val>
          </value>
          <value t="str">
            <val>柏文</val>
          </value>
          <value t="str">
            <val>95.3</val>
          </value>
          <value t="str">
            <val>7.94</val>
          </value>
          <value t="str">
            <val>127.42</val>
          </value>
          <value t="str">
            <val>149.99</val>
          </value>
          <value t="str">
            <val>2022/09</val>
          </value>
          <value t="str">
            <val>1.58</val>
          </value>
          <value t="str">
            <val>-1.37</val>
          </value>
          <value t="str">
            <val>2022/11</val>
          </value>
        </values>
      </ddeItem>
      <ddeItem name="8462.TW-OperatingProfitRatio,Price,PriceChangeRatio,InOutRatioNumber,Value,YearReturn,MonthReturn,WeekReturn,FinanceBalanceDif,ChipsField2" advise="1">
        <values cols="10">
          <value t="str">
            <val>5.09</val>
          </value>
          <value>
            <val>120</val>
          </value>
          <value>
            <val>1.69</val>
          </value>
          <value t="str">
            <val>50.00%</val>
          </value>
          <value t="str">
            <val>119萬</val>
          </value>
          <value t="str">
            <val>-10.22</val>
          </value>
          <value t="str">
            <val>+10.09</val>
          </value>
          <value t="str">
            <val>-4.38</val>
          </value>
          <value>
            <val>11</val>
          </value>
          <value>
            <val>0</val>
          </value>
        </values>
      </ddeItem>
      <ddeItem name="846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</val>
          </value>
          <value t="str">
            <val>--</val>
          </value>
          <value t="str">
            <val>0.00</val>
          </value>
          <value>
            <val>0</val>
          </value>
          <value t="str">
            <val>-0.15</val>
          </value>
          <value t="str">
            <val>0.42</val>
          </value>
          <value t="str">
            <val>潤泰材</val>
          </value>
          <value t="str">
            <val>上市其他</val>
          </value>
          <value t="str">
            <val>潤泰集團旗下水泥及預拌式泥作材料大廠</val>
          </value>
        </values>
      </ddeItem>
      <ddeItem name="8463.TW-CName,InvestorConferenceDate,DateofMeetingofShareHolders,TradingDate" advise="1">
        <values cols="4">
          <value t="str">
            <val>潤泰材</val>
          </value>
          <value t="str">
            <val>2022/12/27</val>
          </value>
          <value t="str">
            <val>2022/05/31</val>
          </value>
          <value t="str">
            <val>2022/12/22</val>
          </value>
        </values>
      </ddeItem>
      <ddeItem name="8463.TW-ID,Name,MarketValue,Capital,NetIncomeGrowthRate,OperIncomeGrowthRate,FinancialStatementsTime,TFXRatio,MonthlyNetSalesYoY,RevenueMonth" advise="1">
        <values cols="10">
          <value t="str">
            <val>8463</val>
          </value>
          <value t="str">
            <val>潤泰材</val>
          </value>
          <value t="str">
            <val>35.4</val>
          </value>
          <value t="str">
            <val>15.00</val>
          </value>
          <value t="str">
            <val>165.85</val>
          </value>
          <value t="str">
            <val>24.80</val>
          </value>
          <value t="str">
            <val>2022/09</val>
          </value>
          <value t="str">
            <val>10.46</val>
          </value>
          <value t="str">
            <val>83.82</val>
          </value>
          <value t="str">
            <val>2022/11</val>
          </value>
        </values>
      </ddeItem>
      <ddeItem name="8463.TW-OperatingProfitRatio,Price,PriceChangeRatio,InOutRatioNumber,Value,YearReturn,MonthReturn,WeekReturn,FinanceBalanceDif,ChipsField2" advise="1">
        <values cols="10">
          <value t="str">
            <val>2.41</val>
          </value>
          <value>
            <val>23.6</val>
          </value>
          <value>
            <val>0.85</val>
          </value>
          <value t="str">
            <val>36.62%</val>
          </value>
          <value t="str">
            <val>168萬</val>
          </value>
          <value t="str">
            <val>-24.36</val>
          </value>
          <value t="str">
            <val>+15.40</val>
          </value>
          <value t="str">
            <val>-4.65</val>
          </value>
          <value>
            <val>8</val>
          </value>
          <value>
            <val>0</val>
          </value>
        </values>
      </ddeItem>
      <ddeItem name="8464.TW-ChipsField3,ChipsField1,ChipsField25,CashAndStockDividend,CashDividendYieldRate,ProfitFourSeason,ProfitSingle,CName,ExchangeIndustry,CompanyPos" advise="1">
        <values cols="10">
          <value>
            <val>-15</val>
          </value>
          <value>
            <val>-85</val>
          </value>
          <value t="str">
            <val>2022/07/08</val>
          </value>
          <value t="str">
            <val>11.00</val>
          </value>
          <value>
            <val>3.89</val>
          </value>
          <value t="str">
            <val>20.94</val>
          </value>
          <value t="str">
            <val>5.24</val>
          </value>
          <value t="str">
            <val>億豐</val>
          </value>
          <value t="str">
            <val>上市其他</val>
          </value>
          <value t="str">
            <val>全球窗簾製造大廠</val>
          </value>
        </values>
      </ddeItem>
      <ddeItem name="8464.TW-CName,InvestorConferenceDate,DateofMeetingofShareHolders,TradingDate" advise="1">
        <values cols="4">
          <value t="str">
            <val>億豐</val>
          </value>
          <value t="str">
            <val>2021/04/13</val>
          </value>
          <value t="str">
            <val>2022/06/21</val>
          </value>
          <value t="str">
            <val>2022/12/22</val>
          </value>
        </values>
      </ddeItem>
      <ddeItem name="8464.TW-ID,Name,MarketValue,Capital,NetIncomeGrowthRate,OperIncomeGrowthRate,FinancialStatementsTime,TFXRatio,MonthlyNetSalesYoY,RevenueMonth" advise="1">
        <values cols="10">
          <value t="str">
            <val>8464</val>
          </value>
          <value t="str">
            <val>億豐</val>
          </value>
          <value t="str">
            <val>827.8</val>
          </value>
          <value t="str">
            <val>29.30</val>
          </value>
          <value t="str">
            <val>14.51</val>
          </value>
          <value t="str">
            <val>-1.22</val>
          </value>
          <value t="str">
            <val>2022/09</val>
          </value>
          <value t="str">
            <val>-16.37</val>
          </value>
          <value t="str">
            <val>-14.66</val>
          </value>
          <value t="str">
            <val>2022/11</val>
          </value>
        </values>
      </ddeItem>
      <ddeItem name="8464.TW-OperatingProfitRatio,Price,PriceChangeRatio,InOutRatioNumber,Value,YearReturn,MonthReturn,WeekReturn,FinanceBalanceDif,ChipsField2" advise="1">
        <values cols="10">
          <value t="str">
            <val>25.48</val>
          </value>
          <value>
            <val>282.5</val>
          </value>
          <value>
            <val>1.62</val>
          </value>
          <value t="str">
            <val>60.71%</val>
          </value>
          <value t="str">
            <val>7971萬</val>
          </value>
          <value t="str">
            <val>-27.06</val>
          </value>
          <value t="str">
            <val>+5.41</val>
          </value>
          <value t="str">
            <val>-2.08</val>
          </value>
          <value>
            <val>-2</val>
          </value>
          <value>
            <val>0</val>
          </value>
        </values>
      </ddeItem>
      <ddeItem name="846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2022/08/22</val>
          </value>
          <value t="str">
            <val>0.70</val>
          </value>
          <value>
            <val>1.73</val>
          </value>
          <value t="str">
            <val>2.88</val>
          </value>
          <value t="str">
            <val>0.85</val>
          </value>
          <value t="str">
            <val>美吉吉-KY</val>
          </value>
          <value t="str">
            <val>上市其他</val>
          </value>
          <value t="str">
            <val>全球知名塑膠地磚製造廠商</val>
          </value>
        </values>
      </ddeItem>
      <ddeItem name="8466.TW-CName,InvestorConferenceDate,DateofMeetingofShareHolders,TradingDate" advise="1">
        <values cols="4">
          <value t="str">
            <val>美吉吉-KY</val>
          </value>
          <value t="str">
            <val>2021/07/07</val>
          </value>
          <value t="str">
            <val>2022/06/15</val>
          </value>
          <value t="str">
            <val>2022/12/22</val>
          </value>
        </values>
      </ddeItem>
      <ddeItem name="8466.TW-ID,Name,MarketValue,Capital,NetIncomeGrowthRate,OperIncomeGrowthRate,FinancialStatementsTime,TFXRatio,MonthlyNetSalesYoY,RevenueMonth" advise="1">
        <values cols="10">
          <value t="str">
            <val>8466</val>
          </value>
          <value t="str">
            <val>美吉吉-KY</val>
          </value>
          <value t="str">
            <val>26.8</val>
          </value>
          <value t="str">
            <val>6.61</val>
          </value>
          <value t="str">
            <val>199.90</val>
          </value>
          <value t="str">
            <val>120.89</val>
          </value>
          <value t="str">
            <val>2022/09</val>
          </value>
          <value t="str">
            <val>9.19</val>
          </value>
          <value t="str">
            <val>-56.21</val>
          </value>
          <value t="str">
            <val>2022/11</val>
          </value>
        </values>
      </ddeItem>
      <ddeItem name="8466.TW-OperatingProfitRatio,Price,PriceChangeRatio,InOutRatioNumber,Value,YearReturn,MonthReturn,WeekReturn,FinanceBalanceDif,ChipsField2" advise="1">
        <values cols="10">
          <value t="str">
            <val>5.58</val>
          </value>
          <value>
            <val>40.549999999999997</val>
          </value>
          <value>
            <val>0.62</val>
          </value>
          <value t="str">
            <val>12.50%</val>
          </value>
          <value t="str">
            <val>32.3萬</val>
          </value>
          <value t="str">
            <val>-22.21</val>
          </value>
          <value t="str">
            <val>-3.11</val>
          </value>
          <value t="str">
            <val>-0.73</val>
          </value>
          <value>
            <val>-6</val>
          </value>
          <value>
            <val>0</val>
          </value>
        </values>
      </ddeItem>
      <ddeItem name="846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33</val>
          </value>
          <value t="str">
            <val>2022/12/22</val>
          </value>
          <value t="str">
            <val>3.00</val>
          </value>
          <value>
            <val>0</val>
          </value>
          <value t="str">
            <val>8.00</val>
          </value>
          <value t="str">
            <val>3.58</val>
          </value>
          <value t="str">
            <val>波力-KY</val>
          </value>
          <value t="str">
            <val>上市其他</val>
          </value>
          <value t="str">
            <val>全球最大碳纖維冰上曲棍球桿製造廠</val>
          </value>
        </values>
      </ddeItem>
      <ddeItem name="8467.TW-CName,InvestorConferenceDate,DateofMeetingofShareHolders,TradingDate" advise="1">
        <values cols="4">
          <value t="str">
            <val>波力-KY</val>
          </value>
          <value t="str">
            <val>2022/09/07</val>
          </value>
          <value t="str">
            <val>2022/05/26</val>
          </value>
          <value t="str">
            <val>2022/12/22</val>
          </value>
        </values>
      </ddeItem>
      <ddeItem name="8467.TW-ID,Name,MarketValue,Capital,NetIncomeGrowthRate,OperIncomeGrowthRate,FinancialStatementsTime,TFXRatio,MonthlyNetSalesYoY,RevenueMonth" advise="1">
        <values cols="10">
          <value t="str">
            <val>8467</val>
          </value>
          <value t="str">
            <val>波力-KY</val>
          </value>
          <value t="str">
            <val>29.0</val>
          </value>
          <value t="str">
            <val>4.95</val>
          </value>
          <value t="str">
            <val>282.35</val>
          </value>
          <value t="str">
            <val>207.87</val>
          </value>
          <value t="str">
            <val>2022/09</val>
          </value>
          <value t="str">
            <val>31.77</val>
          </value>
          <value t="str">
            <val>6.02</val>
          </value>
          <value t="str">
            <val>2022/11</val>
          </value>
        </values>
      </ddeItem>
      <ddeItem name="8467.TW-OperatingProfitRatio,Price,PriceChangeRatio,InOutRatioNumber,Value,YearReturn,MonthReturn,WeekReturn,FinanceBalanceDif,ChipsField2" advise="1">
        <values cols="10">
          <value t="str">
            <val>23.07</val>
          </value>
          <value>
            <val>58.6</val>
          </value>
          <value>
            <val>-3.3</val>
          </value>
          <value t="str">
            <val>15.07%</val>
          </value>
          <value t="str">
            <val>905萬</val>
          </value>
          <value t="str">
            <val>+55.02</val>
          </value>
          <value t="str">
            <val>+2.63</val>
          </value>
          <value t="str">
            <val>-5.02</val>
          </value>
          <value>
            <val>-53</val>
          </value>
          <value>
            <val>0</val>
          </value>
        </values>
      </ddeItem>
      <ddeItem name="847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-4</val>
          </value>
          <value t="str">
            <val>2022/08/11</val>
          </value>
          <value t="str">
            <val>0.85</val>
          </value>
          <value>
            <val>3.11</val>
          </value>
          <value t="str">
            <val>-1.06</val>
          </value>
          <value t="str">
            <val>-1.92</val>
          </value>
          <value t="str">
            <val>山林水</val>
          </value>
          <value t="str">
            <val>上市其他</val>
          </value>
          <value t="str">
            <val>力麒旗下水處理工程公司</val>
          </value>
        </values>
      </ddeItem>
      <ddeItem name="8473.TW-CName,InvestorConferenceDate,DateofMeetingofShareHolders,TradingDate" advise="1">
        <values cols="4">
          <value t="str">
            <val>山林水</val>
          </value>
          <value t="str">
            <val>2022/11/29</val>
          </value>
          <value t="str">
            <val>2022/06/14</val>
          </value>
          <value t="str">
            <val>2022/12/22</val>
          </value>
        </values>
      </ddeItem>
      <ddeItem name="8473.TW-ID,Name,MarketValue,Capital,NetIncomeGrowthRate,OperIncomeGrowthRate,FinancialStatementsTime,TFXRatio,MonthlyNetSalesYoY,RevenueMonth" advise="1">
        <values cols="10">
          <value t="str">
            <val>8473</val>
          </value>
          <value t="str">
            <val>山林水</val>
          </value>
          <value t="str">
            <val>39.4</val>
          </value>
          <value t="str">
            <val>14.42</val>
          </value>
          <value t="str">
            <val>-135.77</val>
          </value>
          <value t="str">
            <val>-79.68</val>
          </value>
          <value t="str">
            <val>2022/09</val>
          </value>
          <value t="str">
            <val>17.78</val>
          </value>
          <value t="str">
            <val>41.94</val>
          </value>
          <value t="str">
            <val>2022/11</val>
          </value>
        </values>
      </ddeItem>
      <ddeItem name="8473.TW-OperatingProfitRatio,Price,PriceChangeRatio,InOutRatioNumber,Value,YearReturn,MonthReturn,WeekReturn,FinanceBalanceDif,ChipsField2" advise="1">
        <values cols="10">
          <value t="str">
            <val>3.32</val>
          </value>
          <value>
            <val>27.3</val>
          </value>
          <value>
            <val>0.37</val>
          </value>
          <value t="str">
            <val>68.75%</val>
          </value>
          <value t="str">
            <val>87.3萬</val>
          </value>
          <value t="str">
            <val>-15.38</val>
          </value>
          <value t="str">
            <val>+1.49</val>
          </value>
          <value t="str">
            <val>-1.62</val>
          </value>
          <value>
            <val>1</val>
          </value>
          <value>
            <val>0</val>
          </value>
        </values>
      </ddeItem>
      <ddeItem name="8478.TW-ChipsField3,ChipsField1,ChipsField25,CashAndStockDividend,CashDividendYieldRate,ProfitFourSeason,ProfitSingle,CName,ExchangeIndustry,CompanyPos" advise="1">
        <values cols="10">
          <value>
            <val>-9</val>
          </value>
          <value>
            <val>-464</val>
          </value>
          <value t="str">
            <val>2022/08/01</val>
          </value>
          <value t="str">
            <val>5.00</val>
          </value>
          <value>
            <val>1.7</val>
          </value>
          <value t="str">
            <val>18.19</val>
          </value>
          <value t="str">
            <val>4.72</val>
          </value>
          <value t="str">
            <val>東哥遊艇</val>
          </value>
          <value t="str">
            <val>上市其他</val>
          </value>
          <value t="str">
            <val>亞洲地區唯一擁有自有品牌之遊艇製造商</val>
          </value>
        </values>
      </ddeItem>
      <ddeItem name="8478.TW-CName,InvestorConferenceDate,DateofMeetingofShareHolders,TradingDate" advise="1">
        <values cols="4">
          <value t="str">
            <val>東哥遊艇</val>
          </value>
          <value t="str">
            <val>2022/08/11</val>
          </value>
          <value t="str">
            <val>2022/06/23</val>
          </value>
          <value t="str">
            <val>2022/12/22</val>
          </value>
        </values>
      </ddeItem>
      <ddeItem name="8478.TW-ID,Name,MarketValue,Capital,NetIncomeGrowthRate,OperIncomeGrowthRate,FinancialStatementsTime,TFXRatio,MonthlyNetSalesYoY,RevenueMonth" advise="1">
        <values cols="10">
          <value t="str">
            <val>8478</val>
          </value>
          <value t="str">
            <val>東哥遊艇</val>
          </value>
          <value t="str">
            <val>261.3</val>
          </value>
          <value t="str">
            <val>8.89</val>
          </value>
          <value t="str">
            <val>127.17</val>
          </value>
          <value t="str">
            <val>105.36</val>
          </value>
          <value t="str">
            <val>2022/09</val>
          </value>
          <value t="str">
            <val>4.73</val>
          </value>
          <value t="str">
            <val>26.77</val>
          </value>
          <value t="str">
            <val>2022/11</val>
          </value>
        </values>
      </ddeItem>
      <ddeItem name="8478.TW-OperatingProfitRatio,Price,PriceChangeRatio,InOutRatioNumber,Value,YearReturn,MonthReturn,WeekReturn,FinanceBalanceDif,ChipsField2" advise="1">
        <values cols="10">
          <value t="str">
            <val>33.03</val>
          </value>
          <value>
            <val>294</val>
          </value>
          <value>
            <val>1.38</val>
          </value>
          <value t="str">
            <val>39.58%</val>
          </value>
          <value t="str">
            <val>8.77億</val>
          </value>
          <value t="str">
            <val>+88.46</val>
          </value>
          <value t="str">
            <val>+2.62</val>
          </value>
          <value t="str">
            <val>-8.55</val>
          </value>
          <value>
            <val>133</val>
          </value>
          <value>
            <val>-29</val>
          </value>
        </values>
      </ddeItem>
      <ddeItem name="848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2022/07/04</val>
          </value>
          <value t="str">
            <val>6.50</val>
          </value>
          <value>
            <val>11.61</val>
          </value>
          <value t="str">
            <val>5.18</val>
          </value>
          <value t="str">
            <val>1.21</val>
          </value>
          <value t="str">
            <val>政伸</val>
          </value>
          <value t="str">
            <val>上市其他</val>
          </value>
          <value t="str">
            <val>全世界最大的自行車貼標印刷公司</val>
          </value>
        </values>
      </ddeItem>
      <ddeItem name="8481.TW-CName,InvestorConferenceDate,DateofMeetingofShareHolders,TradingDate" advise="1">
        <values cols="4">
          <value t="str">
            <val>政伸</val>
          </value>
          <value t="str">
            <val>2022/12/09</val>
          </value>
          <value t="str">
            <val>2022/06/17</val>
          </value>
          <value t="str">
            <val>2022/12/22</val>
          </value>
        </values>
      </ddeItem>
      <ddeItem name="8481.TW-ID,Name,MarketValue,Capital,NetIncomeGrowthRate,OperIncomeGrowthRate,FinancialStatementsTime,TFXRatio,MonthlyNetSalesYoY,RevenueMonth" advise="1">
        <values cols="10">
          <value t="str">
            <val>8481</val>
          </value>
          <value t="str">
            <val>政伸</val>
          </value>
          <value t="str">
            <val>37.3</val>
          </value>
          <value t="str">
            <val>6.66</val>
          </value>
          <value t="str">
            <val>-18.38</val>
          </value>
          <value t="str">
            <val>-5.82</val>
          </value>
          <value t="str">
            <val>2022/09</val>
          </value>
          <value t="str">
            <val>0.68</val>
          </value>
          <value t="str">
            <val>-17.18</val>
          </value>
          <value t="str">
            <val>2022/11</val>
          </value>
        </values>
      </ddeItem>
      <ddeItem name="8481.TW-OperatingProfitRatio,Price,PriceChangeRatio,InOutRatioNumber,Value,YearReturn,MonthReturn,WeekReturn,FinanceBalanceDif,ChipsField2" advise="1">
        <values cols="10">
          <value t="str">
            <val>28.10</val>
          </value>
          <value>
            <val>56</val>
          </value>
          <value>
            <val>0.9</val>
          </value>
          <value t="str">
            <val>100.00%</val>
          </value>
          <value t="str">
            <val>39.6萬</val>
          </value>
          <value t="str">
            <val>-14.56</val>
          </value>
          <value t="str">
            <val>+0.36</val>
          </value>
          <value t="str">
            <val>-1.75</val>
          </value>
          <value>
            <val>3</val>
          </value>
          <value>
            <val>0</val>
          </value>
        </values>
      </ddeItem>
      <ddeItem name="8482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-2</val>
          </value>
          <value t="str">
            <val>2022/06/30</val>
          </value>
          <value t="str">
            <val>5.87</val>
          </value>
          <value>
            <val>8.4</val>
          </value>
          <value t="str">
            <val>8.97</val>
          </value>
          <value t="str">
            <val>2.43</val>
          </value>
          <value t="str">
            <val>商億-KY</val>
          </value>
          <value t="str">
            <val>上市其他</val>
          </value>
          <value t="str">
            <val>主要出口至北美的高端室內傢俱製造商</val>
          </value>
        </values>
      </ddeItem>
      <ddeItem name="8482.TW-CName,InvestorConferenceDate,DateofMeetingofShareHolders,TradingDate" advise="1">
        <values cols="4">
          <value t="str">
            <val>商億-KY</val>
          </value>
          <value t="str">
            <val>2022/05/12</val>
          </value>
          <value t="str">
            <val>2022/06/14</val>
          </value>
          <value t="str">
            <val>2022/12/22</val>
          </value>
        </values>
      </ddeItem>
      <ddeItem name="8482.TW-ID,Name,MarketValue,Capital,NetIncomeGrowthRate,OperIncomeGrowthRate,FinancialStatementsTime,TFXRatio,MonthlyNetSalesYoY,RevenueMonth" advise="1">
        <values cols="10">
          <value t="str">
            <val>8482</val>
          </value>
          <value t="str">
            <val>商億-KY</val>
          </value>
          <value t="str">
            <val>77.2</val>
          </value>
          <value t="str">
            <val>11.04</val>
          </value>
          <value t="str">
            <val>19.31</val>
          </value>
          <value t="str">
            <val>20.93</val>
          </value>
          <value t="str">
            <val>2022/09</val>
          </value>
          <value t="str">
            <val>-16.32</val>
          </value>
          <value t="str">
            <val>-11.40</val>
          </value>
          <value t="str">
            <val>2022/11</val>
          </value>
        </values>
      </ddeItem>
      <ddeItem name="8482.TW-OperatingProfitRatio,Price,PriceChangeRatio,InOutRatioNumber,Value,YearReturn,MonthReturn,WeekReturn,FinanceBalanceDif,ChipsField2" advise="1">
        <values cols="10">
          <value t="str">
            <val>18.18</val>
          </value>
          <value>
            <val>69.900000000000006</val>
          </value>
          <value>
            <val>0.14000000000000001</val>
          </value>
          <value t="str">
            <val>25.00%</val>
          </value>
          <value t="str">
            <val>28.0萬</val>
          </value>
          <value t="str">
            <val>-1.01</val>
          </value>
          <value t="str">
            <val>+1.01</val>
          </value>
          <value t="str">
            <val>-2.37</val>
          </value>
          <value>
            <val>-1</val>
          </value>
          <value>
            <val>0</val>
          </value>
        </values>
      </ddeItem>
      <ddeItem name="848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2022/08/30</val>
          </value>
          <value t="str">
            <val>0.30</val>
          </value>
          <value>
            <val>1.99</val>
          </value>
          <value t="str">
            <val>-0.34</val>
          </value>
          <value t="str">
            <val>-0.85</val>
          </value>
          <value t="str">
            <val>吉源-KY</val>
          </value>
          <value t="str">
            <val>上市其他</val>
          </value>
          <value t="str">
            <val>台商金屬飲料包材大廠</val>
          </value>
        </values>
      </ddeItem>
      <ddeItem name="8488.TW-CName,InvestorConferenceDate,DateofMeetingofShareHolders,TradingDate" advise="1">
        <values cols="4">
          <value t="str">
            <val>吉源-KY</val>
          </value>
          <value t="str">
            <val>2021/12/06</val>
          </value>
          <value t="str">
            <val>2022/06/17</val>
          </value>
          <value t="str">
            <val>2022/12/22</val>
          </value>
        </values>
      </ddeItem>
      <ddeItem name="8488.TW-ID,Name,MarketValue,Capital,NetIncomeGrowthRate,OperIncomeGrowthRate,FinancialStatementsTime,TFXRatio,MonthlyNetSalesYoY,RevenueMonth" advise="1">
        <values cols="10">
          <value t="str">
            <val>8488</val>
          </value>
          <value t="str">
            <val>吉源-KY</val>
          </value>
          <value t="str">
            <val>10.2</val>
          </value>
          <value t="str">
            <val>6.75</val>
          </value>
          <value t="str">
            <val>-1236.14</val>
          </value>
          <value t="str">
            <val>-1925.61</val>
          </value>
          <value t="str">
            <val>2022/09</val>
          </value>
          <value t="str">
            <val>11.17</val>
          </value>
          <value t="str">
            <val>-24.70</val>
          </value>
          <value t="str">
            <val>2022/11</val>
          </value>
        </values>
      </ddeItem>
      <ddeItem name="8488.TW-OperatingProfitRatio,Price,PriceChangeRatio,InOutRatioNumber,Value,YearReturn,MonthReturn,WeekReturn,FinanceBalanceDif,ChipsField2" advise="1">
        <values cols="10">
          <value t="str">
            <val>-3.23</val>
          </value>
          <value>
            <val>15.1</val>
          </value>
          <value>
            <val>-0.33</val>
          </value>
          <value t="str">
            <val>100.00%</val>
          </value>
          <value t="str">
            <val>3.02萬</val>
          </value>
          <value t="str">
            <val>-3.89</val>
          </value>
          <value t="str">
            <val>+0.33</val>
          </value>
          <value t="str">
            <val>-1.95</val>
          </value>
          <value>
            <val>0</val>
          </value>
          <value>
            <val>0</val>
          </value>
        </values>
      </ddeItem>
      <ddeItem name="8499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-1</val>
          </value>
          <value t="str">
            <val>2022/11/08</val>
          </value>
          <value t="str">
            <val>8.00</val>
          </value>
          <value>
            <val>7.88</val>
          </value>
          <value t="str">
            <val>15.11</val>
          </value>
          <value t="str">
            <val>4.35</val>
          </value>
          <value t="str">
            <val>鼎炫-KY</val>
          </value>
          <value t="str">
            <val>上市其他電子</val>
          </value>
          <value t="str">
            <val>電子衡器及EMI導電材料生產商</val>
          </value>
        </values>
      </ddeItem>
      <ddeItem name="8499.TW-CName,InvestorConferenceDate,DateofMeetingofShareHolders,TradingDate" advise="1">
        <values cols="4">
          <value t="str">
            <val>鼎炫-KY</val>
          </value>
          <value t="str">
            <val>2022/10/26</val>
          </value>
          <value t="str">
            <val>2022/06/29</val>
          </value>
          <value t="str">
            <val>2022/12/22</val>
          </value>
        </values>
      </ddeItem>
      <ddeItem name="8499.TW-ID,Name,MarketValue,Capital,NetIncomeGrowthRate,OperIncomeGrowthRate,FinancialStatementsTime,TFXRatio,MonthlyNetSalesYoY,RevenueMonth" advise="1">
        <values cols="10">
          <value t="str">
            <val>8499</val>
          </value>
          <value t="str">
            <val>鼎炫-KY</val>
          </value>
          <value t="str">
            <val>52.6</val>
          </value>
          <value t="str">
            <val>5.19</val>
          </value>
          <value t="str">
            <val>9.01</val>
          </value>
          <value t="str">
            <val>-26.46</val>
          </value>
          <value t="str">
            <val>2022/09</val>
          </value>
          <value t="str">
            <val>6.70</val>
          </value>
          <value t="str">
            <val>-31.02</val>
          </value>
          <value t="str">
            <val>2022/11</val>
          </value>
        </values>
      </ddeItem>
      <ddeItem name="8499.TW-OperatingProfitRatio,Price,PriceChangeRatio,InOutRatioNumber,Value,YearReturn,MonthReturn,WeekReturn,FinanceBalanceDif,ChipsField2" advise="1">
        <values cols="10">
          <value t="str">
            <val>30.83</val>
          </value>
          <value>
            <val>101.5</val>
          </value>
          <value>
            <val>1</val>
          </value>
          <value t="str">
            <val>36.36%</val>
          </value>
          <value t="str">
            <val>222萬</val>
          </value>
          <value t="str">
            <val>-12.72</val>
          </value>
          <value t="str">
            <val>+0.50</val>
          </value>
          <value t="str">
            <val>-0.98</val>
          </value>
          <value>
            <val>-14</val>
          </value>
          <value>
            <val>0</val>
          </value>
        </values>
      </ddeItem>
      <ddeItem name="8926.TW-ChipsField3,ChipsField1,ChipsField25,CashAndStockDividend,CashDividendYieldRate,ProfitFourSeason,ProfitSingle,CName,ExchangeIndustry,CompanyPos" advise="1">
        <values cols="10">
          <value>
            <val>-60</val>
          </value>
          <value>
            <val>96</val>
          </value>
          <value t="str">
            <val>2022/07/13</val>
          </value>
          <value t="str">
            <val>1.75</val>
          </value>
          <value>
            <val>5.41</val>
          </value>
          <value t="str">
            <val>0.87</val>
          </value>
          <value t="str">
            <val>0.32</val>
          </value>
          <value t="str">
            <val>台汽電</val>
          </value>
          <value t="str">
            <val>上市油電燃氣</val>
          </value>
          <value t="str">
            <val>為一開發、投資、興建及營運汽電共生廠及民營電廠</val>
          </value>
        </values>
      </ddeItem>
      <ddeItem name="8926.TW-CName,InvestorConferenceDate,DateofMeetingofShareHolders,TradingDate" advise="1">
        <values cols="4">
          <value t="str">
            <val>台汽電</val>
          </value>
          <value t="str">
            <val>2022/11/25</val>
          </value>
          <value t="str">
            <val>2022/05/31</val>
          </value>
          <value t="str">
            <val>2022/12/22</val>
          </value>
        </values>
      </ddeItem>
      <ddeItem name="8926.TW-ID,Name,MarketValue,Capital,NetIncomeGrowthRate,OperIncomeGrowthRate,FinancialStatementsTime,TFXRatio,MonthlyNetSalesYoY,RevenueMonth" advise="1">
        <values cols="10">
          <value t="str">
            <val>8926</val>
          </value>
          <value t="str">
            <val>台汽電</val>
          </value>
          <value t="str">
            <val>190.6</val>
          </value>
          <value t="str">
            <val>58.90</val>
          </value>
          <value t="str">
            <val>-54.50</val>
          </value>
          <value t="str">
            <val>-87.24</val>
          </value>
          <value t="str">
            <val>2022/09</val>
          </value>
          <value t="str">
            <val>121.23</val>
          </value>
          <value t="str">
            <val>99.11</val>
          </value>
          <value t="str">
            <val>2022/11</val>
          </value>
        </values>
      </ddeItem>
      <ddeItem name="8926.TW-OperatingProfitRatio,Price,PriceChangeRatio,InOutRatioNumber,Value,YearReturn,MonthReturn,WeekReturn,FinanceBalanceDif,ChipsField2" advise="1">
        <values cols="10">
          <value t="str">
            <val>1.63</val>
          </value>
          <value>
            <val>32.35</val>
          </value>
          <value>
            <val>1.57</val>
          </value>
          <value t="str">
            <val>64.74%</val>
          </value>
          <value t="str">
            <val>1798萬</val>
          </value>
          <value t="str">
            <val>-10.23</val>
          </value>
          <value t="str">
            <val>+1.57</val>
          </value>
          <value t="str">
            <val>-0.61</val>
          </value>
          <value>
            <val>4</val>
          </value>
          <value>
            <val>0</val>
          </value>
        </values>
      </ddeItem>
      <ddeItem name="8940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12</val>
          </value>
          <value t="str">
            <val>--</val>
          </value>
          <value t="str">
            <val>0.00</val>
          </value>
          <value>
            <val>0</val>
          </value>
          <value t="str">
            <val>-0.04</val>
          </value>
          <value t="str">
            <val>-0.38</val>
          </value>
          <value t="str">
            <val>新天地</val>
          </value>
          <value t="str">
            <val>上市觀光</val>
          </value>
          <value t="str">
            <val>於台灣北中南部擁有多家大型婚宴會館業者</val>
          </value>
        </values>
      </ddeItem>
      <ddeItem name="8940.TW-CName,InvestorConferenceDate,DateofMeetingofShareHolders,TradingDate" advise="1">
        <values cols="4">
          <value t="str">
            <val>新天地</val>
          </value>
          <value t="str">
            <val>2022/11/23</val>
          </value>
          <value t="str">
            <val>2022/05/26</val>
          </value>
          <value t="str">
            <val>2022/12/22</val>
          </value>
        </values>
      </ddeItem>
      <ddeItem name="8940.TW-ID,Name,MarketValue,Capital,NetIncomeGrowthRate,OperIncomeGrowthRate,FinancialStatementsTime,TFXRatio,MonthlyNetSalesYoY,RevenueMonth" advise="1">
        <values cols="10">
          <value t="str">
            <val>8940</val>
          </value>
          <value t="str">
            <val>新天地</val>
          </value>
          <value t="str">
            <val>11.1</val>
          </value>
          <value t="str">
            <val>6.75</val>
          </value>
          <value t="str">
            <val>79.95</val>
          </value>
          <value t="str">
            <val>74.50</val>
          </value>
          <value t="str">
            <val>2022/09</val>
          </value>
          <value t="str">
            <val>20.22</val>
          </value>
          <value t="str">
            <val>45.93</val>
          </value>
          <value t="str">
            <val>2022/11</val>
          </value>
        </values>
      </ddeItem>
      <ddeItem name="8940.TW-OperatingProfitRatio,Price,PriceChangeRatio,InOutRatioNumber,Value,YearReturn,MonthReturn,WeekReturn,FinanceBalanceDif,ChipsField2" advise="1">
        <values cols="10">
          <value t="str">
            <val>-5.98</val>
          </value>
          <value>
            <val>16.399999999999999</val>
          </value>
          <value>
            <val>1.23</val>
          </value>
          <value t="str">
            <val>41.38%</val>
          </value>
          <value t="str">
            <val>47.4萬</val>
          </value>
          <value t="str">
            <val>+27.63</val>
          </value>
          <value t="str">
            <val>+6.84</val>
          </value>
          <value t="str">
            <val>-1.50</val>
          </value>
          <value>
            <val>0</val>
          </value>
          <value>
            <val>0</val>
          </value>
        </values>
      </ddeItem>
      <ddeItem name="8996.TW-ChipsField3,ChipsField1,ChipsField25,CashAndStockDividend,CashDividendYieldRate,ProfitFourSeason,ProfitSingle,CName,ExchangeIndustry,CompanyPos" advise="1">
        <values cols="10">
          <value>
            <val>-41</val>
          </value>
          <value>
            <val>-1405</val>
          </value>
          <value t="str">
            <val>2022/07/05</val>
          </value>
          <value t="str">
            <val>1.50</val>
          </value>
          <value>
            <val>0.88</val>
          </value>
          <value t="str">
            <val>2.59</val>
          </value>
          <value t="str">
            <val>1.03</val>
          </value>
          <value t="str">
            <val>高力</val>
          </value>
          <value t="str">
            <val>上市電機機械</val>
          </value>
          <value t="str">
            <val>台灣唯一製造硬銲型不銹鋼板式熱交換器廠</val>
          </value>
        </values>
      </ddeItem>
      <ddeItem name="8996.TW-CName,InvestorConferenceDate,DateofMeetingofShareHolders,TradingDate" advise="1">
        <values cols="4">
          <value t="str">
            <val>高力</val>
          </value>
          <value t="str">
            <val>2022/11/25</val>
          </value>
          <value t="str">
            <val>2022/06/16</val>
          </value>
          <value t="str">
            <val>2022/12/22</val>
          </value>
        </values>
      </ddeItem>
      <ddeItem name="8996.TW-ID,Name,MarketValue,Capital,NetIncomeGrowthRate,OperIncomeGrowthRate,FinancialStatementsTime,TFXRatio,MonthlyNetSalesYoY,RevenueMonth" advise="1">
        <values cols="10">
          <value t="str">
            <val>8996</val>
          </value>
          <value t="str">
            <val>高力</val>
          </value>
          <value t="str">
            <val>152.8</val>
          </value>
          <value t="str">
            <val>8.94</val>
          </value>
          <value t="str">
            <val>69.02</val>
          </value>
          <value t="str">
            <val>24.13</val>
          </value>
          <value t="str">
            <val>2022/09</val>
          </value>
          <value t="str">
            <val>12.48</val>
          </value>
          <value t="str">
            <val>61.17</val>
          </value>
          <value t="str">
            <val>2022/11</val>
          </value>
        </values>
      </ddeItem>
      <ddeItem name="8996.TW-OperatingProfitRatio,Price,PriceChangeRatio,InOutRatioNumber,Value,YearReturn,MonthReturn,WeekReturn,FinanceBalanceDif,ChipsField2" advise="1">
        <values cols="10">
          <value t="str">
            <val>11.49</val>
          </value>
          <value>
            <val>171</val>
          </value>
          <value>
            <val>2.09</val>
          </value>
          <value t="str">
            <val>45.40%</val>
          </value>
          <value t="str">
            <val>26.9億</val>
          </value>
          <value t="str">
            <val>+184.22</val>
          </value>
          <value t="str">
            <val>+13.62</val>
          </value>
          <value t="str">
            <val>-4.20</val>
          </value>
          <value>
            <val>268</val>
          </value>
          <value>
            <val>0</val>
          </value>
        </values>
      </ddeItem>
      <ddeItem name="980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301</val>
          </value>
          <value t="str">
            <val>2022/09/15</val>
          </value>
          <value t="str">
            <val>2.94</val>
          </value>
          <value>
            <val>2.58</val>
          </value>
          <value t="str">
            <val>17.05</val>
          </value>
          <value t="str">
            <val>6.85</val>
          </value>
          <value t="str">
            <val>鈺齊-KY</val>
          </value>
          <value t="str">
            <val>上市其他</val>
          </value>
          <value t="str">
            <val>主要從事各種功能鞋款代工研發的廠商</val>
          </value>
        </values>
      </ddeItem>
      <ddeItem name="9802.TW-CName,InvestorConferenceDate,DateofMeetingofShareHolders,TradingDate" advise="1">
        <values cols="4">
          <value t="str">
            <val>鈺齊-KY</val>
          </value>
          <value t="str">
            <val>2022/10/19</val>
          </value>
          <value t="str">
            <val>2022/05/27</val>
          </value>
          <value t="str">
            <val>2022/12/22</val>
          </value>
        </values>
      </ddeItem>
      <ddeItem name="9802.TW-ID,Name,MarketValue,Capital,NetIncomeGrowthRate,OperIncomeGrowthRate,FinancialStatementsTime,TFXRatio,MonthlyNetSalesYoY,RevenueMonth" advise="1">
        <values cols="10">
          <value t="str">
            <val>9802</val>
          </value>
          <value t="str">
            <val>鈺齊-KY</val>
          </value>
          <value t="str">
            <val>306.9</val>
          </value>
          <value t="str">
            <val>19.00</val>
          </value>
          <value t="str">
            <val>250.75</val>
          </value>
          <value t="str">
            <val>199.42</val>
          </value>
          <value t="str">
            <val>2022/09</val>
          </value>
          <value t="str">
            <val>5.06</val>
          </value>
          <value t="str">
            <val>48.58</val>
          </value>
          <value t="str">
            <val>2022/11</val>
          </value>
        </values>
      </ddeItem>
      <ddeItem name="9802.TW-OperatingProfitRatio,Price,PriceChangeRatio,InOutRatioNumber,Value,YearReturn,MonthReturn,WeekReturn,FinanceBalanceDif,ChipsField2" advise="1">
        <values cols="10">
          <value t="str">
            <val>15.87</val>
          </value>
          <value>
            <val>161.5</val>
          </value>
          <value>
            <val>3.19</val>
          </value>
          <value t="str">
            <val>57.74%</val>
          </value>
          <value t="str">
            <val>8.00億</val>
          </value>
          <value t="str">
            <val>+76.34</val>
          </value>
          <value t="str">
            <val>+8.75</val>
          </value>
          <value t="str">
            <val>+8.75</val>
          </value>
          <value>
            <val>-210</val>
          </value>
          <value>
            <val>0</val>
          </value>
        </values>
      </ddeItem>
      <ddeItem name="9902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-3</val>
          </value>
          <value t="str">
            <val>2022/07/12</val>
          </value>
          <value t="str">
            <val>0.50</val>
          </value>
          <value>
            <val>4</val>
          </value>
          <value t="str">
            <val>-0.43</val>
          </value>
          <value t="str">
            <val>-0.06</val>
          </value>
          <value t="str">
            <val>台火</val>
          </value>
          <value t="str">
            <val>上市其他</val>
          </value>
          <value t="str">
            <val>進口轎車、垃圾車、建材貿易商，亦從事小客車租賃及建營開發</val>
          </value>
        </values>
      </ddeItem>
      <ddeItem name="9902.TW-CName,InvestorConferenceDate,DateofMeetingofShareHolders,TradingDate" advise="1">
        <values cols="4">
          <value t="str">
            <val>台火</val>
          </value>
          <value t="str">
            <val>2022/11/24</val>
          </value>
          <value t="str">
            <val>2022/06/24</val>
          </value>
          <value t="str">
            <val>2022/12/22</val>
          </value>
        </values>
      </ddeItem>
      <ddeItem name="9902.TW-ID,Name,MarketValue,Capital,NetIncomeGrowthRate,OperIncomeGrowthRate,FinancialStatementsTime,TFXRatio,MonthlyNetSalesYoY,RevenueMonth" advise="1">
        <values cols="10">
          <value t="str">
            <val>9902</val>
          </value>
          <value t="str">
            <val>台火</val>
          </value>
          <value t="str">
            <val>12.3</val>
          </value>
          <value t="str">
            <val>9.80</val>
          </value>
          <value t="str">
            <val>-147.29</val>
          </value>
          <value t="str">
            <val>15.12</val>
          </value>
          <value t="str">
            <val>2022/09</val>
          </value>
          <value t="str">
            <val>108.74</val>
          </value>
          <value t="str">
            <val>-50.86</val>
          </value>
          <value t="str">
            <val>2022/11</val>
          </value>
        </values>
      </ddeItem>
      <ddeItem name="9902.TW-OperatingProfitRatio,Price,PriceChangeRatio,InOutRatioNumber,Value,YearReturn,MonthReturn,WeekReturn,FinanceBalanceDif,ChipsField2" advise="1">
        <values cols="10">
          <value t="str">
            <val>-22.38</val>
          </value>
          <value>
            <val>12.5</val>
          </value>
          <value>
            <val>-0.4</val>
          </value>
          <value t="str">
            <val>59.74%</val>
          </value>
          <value t="str">
            <val>96.8萬</val>
          </value>
          <value t="str">
            <val>-1.58</val>
          </value>
          <value t="str">
            <val>+19.62</val>
          </value>
          <value t="str">
            <val>-1.57</val>
          </value>
          <value>
            <val>99</val>
          </value>
          <value>
            <val>0</val>
          </value>
        </values>
      </ddeItem>
      <ddeItem name="9904.TW-ChipsField3,ChipsField1,ChipsField25,CashAndStockDividend,CashDividendYieldRate,ProfitFourSeason,ProfitSingle,CName,ExchangeIndustry,CompanyPos" advise="1">
        <values cols="10">
          <value>
            <val>-313</val>
          </value>
          <value>
            <val>3786</val>
          </value>
          <value t="str">
            <val>2022/07/11</val>
          </value>
          <value t="str">
            <val>1.50</val>
          </value>
          <value>
            <val>4.42</val>
          </value>
          <value t="str">
            <val>5.89</val>
          </value>
          <value t="str">
            <val>1.94</val>
          </value>
          <value t="str">
            <val>寶成</val>
          </value>
          <value t="str">
            <val>上市其他</val>
          </value>
          <value t="str">
            <val>全球運動鞋及休閒鞋代工龍頭</val>
          </value>
        </values>
      </ddeItem>
      <ddeItem name="9904.TW-CName,InvestorConferenceDate,DateofMeetingofShareHolders,TradingDate" advise="1">
        <values cols="4">
          <value t="str">
            <val>寶成</val>
          </value>
          <value t="str">
            <val>2022/09/07</val>
          </value>
          <value t="str">
            <val>2022/06/15</val>
          </value>
          <value t="str">
            <val>2022/12/22</val>
          </value>
        </values>
      </ddeItem>
      <ddeItem name="9904.TW-ID,Name,MarketValue,Capital,NetIncomeGrowthRate,OperIncomeGrowthRate,FinancialStatementsTime,TFXRatio,MonthlyNetSalesYoY,RevenueMonth" advise="1">
        <values cols="10">
          <value t="str">
            <val>9904</val>
          </value>
          <value t="str">
            <val>寶成</val>
          </value>
          <value t="str">
            <val>999.0</val>
          </value>
          <value t="str">
            <val>294.68</val>
          </value>
          <value t="str">
            <val>28.51</val>
          </value>
          <value t="str">
            <val>182.29</val>
          </value>
          <value t="str">
            <val>2022/09</val>
          </value>
          <value t="str">
            <val>-14.60</val>
          </value>
          <value t="str">
            <val>6.37</val>
          </value>
          <value t="str">
            <val>2022/11</val>
          </value>
        </values>
      </ddeItem>
      <ddeItem name="9904.TW-OperatingProfitRatio,Price,PriceChangeRatio,InOutRatioNumber,Value,YearReturn,MonthReturn,WeekReturn,FinanceBalanceDif,ChipsField2" advise="1">
        <values cols="10">
          <value t="str">
            <val>4.18</val>
          </value>
          <value>
            <val>33.9</val>
          </value>
          <value>
            <val>1.5</val>
          </value>
          <value t="str">
            <val>61.90%</val>
          </value>
          <value t="str">
            <val>5.01億</val>
          </value>
          <value t="str">
            <val>+9.72</val>
          </value>
          <value t="str">
            <val>+5.28</val>
          </value>
          <value t="str">
            <val>+2.73</val>
          </value>
          <value>
            <val>37</val>
          </value>
          <value>
            <val>61</val>
          </value>
        </values>
      </ddeItem>
      <ddeItem name="9905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2</val>
          </value>
          <value t="str">
            <val>2022/07/21</val>
          </value>
          <value t="str">
            <val>1.50</val>
          </value>
          <value>
            <val>6.15</val>
          </value>
          <value t="str">
            <val>1.56</val>
          </value>
          <value t="str">
            <val>0.53</val>
          </value>
          <value t="str">
            <val>大華</val>
          </value>
          <value t="str">
            <val>上市其他</val>
          </value>
          <value t="str">
            <val>台灣最大食品飲料綜合包裝容器廠</val>
          </value>
        </values>
      </ddeItem>
      <ddeItem name="9905.TW-CName,InvestorConferenceDate,DateofMeetingofShareHolders,TradingDate" advise="1">
        <values cols="4">
          <value t="str">
            <val>大華</val>
          </value>
          <value t="str">
            <val>2022/11/15</val>
          </value>
          <value t="str">
            <val>2022/06/24</val>
          </value>
          <value t="str">
            <val>2022/12/22</val>
          </value>
        </values>
      </ddeItem>
      <ddeItem name="9905.TW-ID,Name,MarketValue,Capital,NetIncomeGrowthRate,OperIncomeGrowthRate,FinancialStatementsTime,TFXRatio,MonthlyNetSalesYoY,RevenueMonth" advise="1">
        <values cols="10">
          <value t="str">
            <val>9905</val>
          </value>
          <value t="str">
            <val>大華</val>
          </value>
          <value t="str">
            <val>74.4</val>
          </value>
          <value t="str">
            <val>30.50</val>
          </value>
          <value t="str">
            <val>-24.23</val>
          </value>
          <value t="str">
            <val>-29.49</val>
          </value>
          <value t="str">
            <val>2022/09</val>
          </value>
          <value t="str">
            <val>-6.04</val>
          </value>
          <value t="str">
            <val>-2.47</val>
          </value>
          <value t="str">
            <val>2022/11</val>
          </value>
        </values>
      </ddeItem>
      <ddeItem name="9905.TW-OperatingProfitRatio,Price,PriceChangeRatio,InOutRatioNumber,Value,YearReturn,MonthReturn,WeekReturn,FinanceBalanceDif,ChipsField2" advise="1">
        <values cols="10">
          <value t="str">
            <val>6.23</val>
          </value>
          <value>
            <val>24.4</val>
          </value>
          <value>
            <val>0.21</val>
          </value>
          <value t="str">
            <val>64.29%</val>
          </value>
          <value t="str">
            <val>34.1萬</val>
          </value>
          <value t="str">
            <val>-1.20</val>
          </value>
          <value t="str">
            <val>+0.41</val>
          </value>
          <value t="str">
            <val>-0.81</val>
          </value>
          <value>
            <val>0</val>
          </value>
          <value>
            <val>0</val>
          </value>
        </values>
      </ddeItem>
      <ddeItem name="990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2022/09/07</val>
          </value>
          <value t="str">
            <val>0.66</val>
          </value>
          <value>
            <val>1.49</val>
          </value>
          <value t="str">
            <val>5.71</val>
          </value>
          <value t="str">
            <val>0.59</val>
          </value>
          <value t="str">
            <val>欣巴巴</val>
          </value>
          <value t="str">
            <val>上市建材營造</val>
          </value>
          <value t="str">
            <val>高雄巴巴集團旗下建商</val>
          </value>
        </values>
      </ddeItem>
      <ddeItem name="9906.TW-CName,InvestorConferenceDate,DateofMeetingofShareHolders,TradingDate" advise="1">
        <values cols="4">
          <value t="str">
            <val>欣巴巴</val>
          </value>
          <value t="str">
            <val>2022/12/28</val>
          </value>
          <value t="str">
            <val>2022/06/14</val>
          </value>
          <value t="str">
            <val>2022/12/22</val>
          </value>
        </values>
      </ddeItem>
      <ddeItem name="9906.TW-ID,Name,MarketValue,Capital,NetIncomeGrowthRate,OperIncomeGrowthRate,FinancialStatementsTime,TFXRatio,MonthlyNetSalesYoY,RevenueMonth" advise="1">
        <values cols="10">
          <value t="str">
            <val>9906</val>
          </value>
          <value t="str">
            <val>欣巴巴</val>
          </value>
          <value t="str">
            <val>36.9</val>
          </value>
          <value t="str">
            <val>8.33</val>
          </value>
          <value t="str">
            <val>103.28</val>
          </value>
          <value t="str">
            <val>181.97</val>
          </value>
          <value t="str">
            <val>2022/09</val>
          </value>
          <value t="str">
            <val>31.55</val>
          </value>
          <value t="str">
            <val>-68.35</val>
          </value>
          <value t="str">
            <val>2022/11</val>
          </value>
        </values>
      </ddeItem>
      <ddeItem name="9906.TW-OperatingProfitRatio,Price,PriceChangeRatio,InOutRatioNumber,Value,YearReturn,MonthReturn,WeekReturn,FinanceBalanceDif,ChipsField2" advise="1">
        <values cols="10">
          <value t="str">
            <val>20.93</val>
          </value>
          <value>
            <val>44.25</val>
          </value>
          <value>
            <val>0.11</val>
          </value>
          <value t="str">
            <val>60.00%</val>
          </value>
          <value t="str">
            <val>44.3萬</val>
          </value>
          <value t="str">
            <val>-32.86</val>
          </value>
          <value t="str">
            <val>-1.78</val>
          </value>
          <value t="str">
            <val>-0.78</val>
          </value>
          <value>
            <val>-1</val>
          </value>
          <value>
            <val>0</val>
          </value>
        </values>
      </ddeItem>
      <ddeItem name="9907.TW-ChipsField3,ChipsField1,ChipsField25,CashAndStockDividend,CashDividendYieldRate,ProfitFourSeason,ProfitSingle,CName,ExchangeIndustry,CompanyPos" advise="1">
        <values cols="10">
          <value>
            <val>-77</val>
          </value>
          <value>
            <val>-279</val>
          </value>
          <value t="str">
            <val>2022/06/30</val>
          </value>
          <value t="str">
            <val>1.00</val>
          </value>
          <value>
            <val>5.85</val>
          </value>
          <value t="str">
            <val>1.75</val>
          </value>
          <value t="str">
            <val>0.48</val>
          </value>
          <value t="str">
            <val>統一實</val>
          </value>
          <value t="str">
            <val>上市其他</val>
          </value>
          <value t="str">
            <val>台灣馬口鐵第一大廠</val>
          </value>
        </values>
      </ddeItem>
      <ddeItem name="9907.TW-CName,InvestorConferenceDate,DateofMeetingofShareHolders,TradingDate" advise="1">
        <values cols="4">
          <value t="str">
            <val>統一實</val>
          </value>
          <value t="str">
            <val>2022/12/20</val>
          </value>
          <value t="str">
            <val>2022/05/24</val>
          </value>
          <value t="str">
            <val>2022/12/22</val>
          </value>
        </values>
      </ddeItem>
      <ddeItem name="9907.TW-ID,Name,MarketValue,Capital,NetIncomeGrowthRate,OperIncomeGrowthRate,FinancialStatementsTime,TFXRatio,MonthlyNetSalesYoY,RevenueMonth" advise="1">
        <values cols="10">
          <value t="str">
            <val>9907</val>
          </value>
          <value t="str">
            <val>統一實</val>
          </value>
          <value t="str">
            <val>270.0</val>
          </value>
          <value t="str">
            <val>157.91</val>
          </value>
          <value t="str">
            <val>66.67</val>
          </value>
          <value t="str">
            <val>56.31</val>
          </value>
          <value t="str">
            <val>2022/09</val>
          </value>
          <value t="str">
            <val>-12.98</val>
          </value>
          <value t="str">
            <val>-32.18</val>
          </value>
          <value t="str">
            <val>2022/11</val>
          </value>
        </values>
      </ddeItem>
      <ddeItem name="9907.TW-OperatingProfitRatio,Price,PriceChangeRatio,InOutRatioNumber,Value,YearReturn,MonthReturn,WeekReturn,FinanceBalanceDif,ChipsField2" advise="1">
        <values cols="10">
          <value t="str">
            <val>7.78</val>
          </value>
          <value>
            <val>17.100000000000001</val>
          </value>
          <value>
            <val>0.59</val>
          </value>
          <value t="str">
            <val>33.72%</val>
          </value>
          <value t="str">
            <val>1484萬</val>
          </value>
          <value t="str">
            <val>+30.48</val>
          </value>
          <value t="str">
            <val>-0.29</val>
          </value>
          <value t="str">
            <val>0.00</val>
          </value>
          <value>
            <val>16</val>
          </value>
          <value>
            <val>0</val>
          </value>
        </values>
      </ddeItem>
      <ddeItem name="990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6</val>
          </value>
          <value t="str">
            <val>2022/07/29</val>
          </value>
          <value t="str">
            <val>1.10</val>
          </value>
          <value>
            <val>3.53</val>
          </value>
          <value t="str">
            <val>1.67</val>
          </value>
          <value t="str">
            <val>0.65</val>
          </value>
          <value t="str">
            <val>大台北</val>
          </value>
          <value t="str">
            <val>上市油電燃氣</val>
          </value>
          <value t="str">
            <val>主要經營台北市信義、松山等地區之天然氣業者</val>
          </value>
        </values>
      </ddeItem>
      <ddeItem name="9908.TW-CName,InvestorConferenceDate,DateofMeetingofShareHolders,TradingDate" advise="1">
        <values cols="4">
          <value t="str">
            <val>大台北</val>
          </value>
          <value t="str">
            <val>2022/10/28</val>
          </value>
          <value t="str">
            <val>2022/06/23</val>
          </value>
          <value t="str">
            <val>2022/12/22</val>
          </value>
        </values>
      </ddeItem>
      <ddeItem name="9908.TW-ID,Name,MarketValue,Capital,NetIncomeGrowthRate,OperIncomeGrowthRate,FinancialStatementsTime,TFXRatio,MonthlyNetSalesYoY,RevenueMonth" advise="1">
        <values cols="10">
          <value t="str">
            <val>9908</val>
          </value>
          <value t="str">
            <val>大台北</val>
          </value>
          <value t="str">
            <val>160.8</val>
          </value>
          <value t="str">
            <val>51.64</val>
          </value>
          <value t="str">
            <val>-4.24</val>
          </value>
          <value t="str">
            <val>3.01</val>
          </value>
          <value t="str">
            <val>2022/09</val>
          </value>
          <value t="str">
            <val>2.76</val>
          </value>
          <value t="str">
            <val>-2.64</val>
          </value>
          <value t="str">
            <val>2022/11</val>
          </value>
        </values>
      </ddeItem>
      <ddeItem name="9908.TW-OperatingProfitRatio,Price,PriceChangeRatio,InOutRatioNumber,Value,YearReturn,MonthReturn,WeekReturn,FinanceBalanceDif,ChipsField2" advise="1">
        <values cols="10">
          <value t="str">
            <val>19.02</val>
          </value>
          <value>
            <val>31.15</val>
          </value>
          <value>
            <val>0.32</val>
          </value>
          <value t="str">
            <val>50.00%</val>
          </value>
          <value t="str">
            <val>68.6萬</val>
          </value>
          <value t="str">
            <val>-2.73</val>
          </value>
          <value t="str">
            <val>+1.63</val>
          </value>
          <value t="str">
            <val>-0.80</val>
          </value>
          <value>
            <val>4</val>
          </value>
          <value>
            <val>0</val>
          </value>
        </values>
      </ddeItem>
      <ddeItem name="9910.TW-ChipsField3,ChipsField1,ChipsField25,CashAndStockDividend,CashDividendYieldRate,ProfitFourSeason,ProfitSingle,CName,ExchangeIndustry,CompanyPos" advise="1">
        <values cols="10">
          <value>
            <val>-47</val>
          </value>
          <value>
            <val>1079</val>
          </value>
          <value t="str">
            <val>2022/07/05</val>
          </value>
          <value t="str">
            <val>4.10</val>
          </value>
          <value>
            <val>1.95</val>
          </value>
          <value t="str">
            <val>10.20</val>
          </value>
          <value t="str">
            <val>3.09</val>
          </value>
          <value t="str">
            <val>豐泰</val>
          </value>
          <value t="str">
            <val>上市其他</val>
          </value>
          <value t="str">
            <val>全球知名運動鞋代工廠</val>
          </value>
        </values>
      </ddeItem>
      <ddeItem name="9910.TW-CName,InvestorConferenceDate,DateofMeetingofShareHolders,TradingDate" advise="1">
        <values cols="4">
          <value t="str">
            <val>豐泰</val>
          </value>
          <value t="str">
            <val>2022/09/07</val>
          </value>
          <value t="str">
            <val>2022/06/17</val>
          </value>
          <value t="str">
            <val>2022/12/22</val>
          </value>
        </values>
      </ddeItem>
      <ddeItem name="9910.TW-ID,Name,MarketValue,Capital,NetIncomeGrowthRate,OperIncomeGrowthRate,FinancialStatementsTime,TFXRatio,MonthlyNetSalesYoY,RevenueMonth" advise="1">
        <values cols="10">
          <value t="str">
            <val>9910</val>
          </value>
          <value t="str">
            <val>豐泰</val>
          </value>
          <value t="str">
            <val>1851.5</val>
          </value>
          <value t="str">
            <val>88.17</val>
          </value>
          <value t="str">
            <val>135.79</val>
          </value>
          <value t="str">
            <val>104.50</val>
          </value>
          <value t="str">
            <val>2022/09</val>
          </value>
          <value t="str">
            <val>-15.69</val>
          </value>
          <value t="str">
            <val>4.17</val>
          </value>
          <value t="str">
            <val>2022/11</val>
          </value>
        </values>
      </ddeItem>
      <ddeItem name="9910.TW-OperatingProfitRatio,Price,PriceChangeRatio,InOutRatioNumber,Value,YearReturn,MonthReturn,WeekReturn,FinanceBalanceDif,ChipsField2" advise="1">
        <values cols="10">
          <value t="str">
            <val>11.85</val>
          </value>
          <value>
            <val>210</val>
          </value>
          <value>
            <val>3.45</val>
          </value>
          <value t="str">
            <val>59.87%</val>
          </value>
          <value t="str">
            <val>17.0億</val>
          </value>
          <value t="str">
            <val>-1.37</val>
          </value>
          <value t="str">
            <val>+14.44</val>
          </value>
          <value t="str">
            <val>+13.82</val>
          </value>
          <value>
            <val>403</val>
          </value>
          <value>
            <val>478</val>
          </value>
        </values>
      </ddeItem>
      <ddeItem name="9911.TW-ChipsField3,ChipsField1,ChipsField25,CashAndStockDividend,CashDividendYieldRate,ProfitFourSeason,ProfitSingle,CName,ExchangeIndustry,CompanyPos" advise="1">
        <values cols="10">
          <value>
            <val>1</val>
          </value>
          <value>
            <val>9</val>
          </value>
          <value t="str">
            <val>2022/06/17</val>
          </value>
          <value t="str">
            <val>3.60</val>
          </value>
          <value>
            <val>5.75</val>
          </value>
          <value t="str">
            <val>4.78</val>
          </value>
          <value t="str">
            <val>1.15</val>
          </value>
          <value t="str">
            <val>櫻花</val>
          </value>
          <value t="str">
            <val>上市其他</val>
          </value>
          <value t="str">
            <val>台灣最大系統廚具連鎖通路品牌</val>
          </value>
        </values>
      </ddeItem>
      <ddeItem name="9911.TW-CName,InvestorConferenceDate,DateofMeetingofShareHolders,TradingDate" advise="1">
        <values cols="4">
          <value t="str">
            <val>櫻花</val>
          </value>
          <value t="str">
            <val>2021/03/19</val>
          </value>
          <value t="str">
            <val>2022/06/17</val>
          </value>
          <value t="str">
            <val>2022/12/22</val>
          </value>
        </values>
      </ddeItem>
      <ddeItem name="9911.TW-ID,Name,MarketValue,Capital,NetIncomeGrowthRate,OperIncomeGrowthRate,FinancialStatementsTime,TFXRatio,MonthlyNetSalesYoY,RevenueMonth" advise="1">
        <values cols="10">
          <value t="str">
            <val>9911</val>
          </value>
          <value t="str">
            <val>櫻花</val>
          </value>
          <value t="str">
            <val>138.4</val>
          </value>
          <value t="str">
            <val>22.11</val>
          </value>
          <value t="str">
            <val>4.49</val>
          </value>
          <value t="str">
            <val>-3.32</val>
          </value>
          <value t="str">
            <val>2022/09</val>
          </value>
          <value t="str">
            <val>18.07</val>
          </value>
          <value t="str">
            <val>-3.80</val>
          </value>
          <value t="str">
            <val>2022/11</val>
          </value>
        </values>
      </ddeItem>
      <ddeItem name="9911.TW-OperatingProfitRatio,Price,PriceChangeRatio,InOutRatioNumber,Value,YearReturn,MonthReturn,WeekReturn,FinanceBalanceDif,ChipsField2" advise="1">
        <values cols="10">
          <value t="str">
            <val>13.16</val>
          </value>
          <value>
            <val>62.6</val>
          </value>
          <value>
            <val>0.97</val>
          </value>
          <value t="str">
            <val>65.71%</val>
          </value>
          <value t="str">
            <val>219萬</val>
          </value>
          <value t="str">
            <val>-2.29</val>
          </value>
          <value t="str">
            <val>+3.81</val>
          </value>
          <value t="str">
            <val>-0.79</val>
          </value>
          <value>
            <val>-2</val>
          </value>
          <value>
            <val>0</val>
          </value>
        </values>
      </ddeItem>
      <ddeItem name="991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-4</val>
          </value>
          <value t="str">
            <val>--</val>
          </value>
          <value t="str">
            <val>0.00</val>
          </value>
          <value>
            <val>0</val>
          </value>
          <value t="str">
            <val>0.15</val>
          </value>
          <value t="str">
            <val>0.02</val>
          </value>
          <value t="str">
            <val>偉聯</val>
          </value>
          <value t="str">
            <val>上市電腦及週邊設備</val>
          </value>
          <value t="str">
            <val>以自有品牌發展專業用途顯示器廠</val>
          </value>
        </values>
      </ddeItem>
      <ddeItem name="9912.TW-CName,InvestorConferenceDate,DateofMeetingofShareHolders,TradingDate" advise="1">
        <values cols="4">
          <value t="str">
            <val>偉聯</val>
          </value>
          <value t="str">
            <val>2022/06/28</val>
          </value>
          <value t="str">
            <val>2022/06/22</val>
          </value>
          <value t="str">
            <val>2022/12/22</val>
          </value>
        </values>
      </ddeItem>
      <ddeItem name="9912.TW-ID,Name,MarketValue,Capital,NetIncomeGrowthRate,OperIncomeGrowthRate,FinancialStatementsTime,TFXRatio,MonthlyNetSalesYoY,RevenueMonth" advise="1">
        <values cols="10">
          <value t="str">
            <val>9912</val>
          </value>
          <value t="str">
            <val>偉聯</val>
          </value>
          <value t="str">
            <val>5.1</val>
          </value>
          <value t="str">
            <val>5.45</val>
          </value>
          <value t="str">
            <val>-312.36</val>
          </value>
          <value t="str">
            <val>-231.35</val>
          </value>
          <value t="str">
            <val>2022/09</val>
          </value>
          <value t="str">
            <val>0.44</val>
          </value>
          <value t="str">
            <val>-43.48</val>
          </value>
          <value t="str">
            <val>2022/11</val>
          </value>
        </values>
      </ddeItem>
      <ddeItem name="9912.TW-OperatingProfitRatio,Price,PriceChangeRatio,InOutRatioNumber,Value,YearReturn,MonthReturn,WeekReturn,FinanceBalanceDif,ChipsField2" advise="1">
        <values cols="10">
          <value t="str">
            <val>-4.50</val>
          </value>
          <value>
            <val>9.36</val>
          </value>
          <value>
            <val>0</val>
          </value>
          <value t="str">
            <val>70.83%</val>
          </value>
          <value t="str">
            <val>22.4萬</val>
          </value>
          <value t="str">
            <val>-3.11</val>
          </value>
          <value t="str">
            <val>-4.39</val>
          </value>
          <value t="str">
            <val>-3.51</val>
          </value>
          <value>
            <val>0</val>
          </value>
          <value>
            <val>0</val>
          </value>
        </values>
      </ddeItem>
      <ddeItem name="9914.TW-ChipsField3,ChipsField1,ChipsField25,CashAndStockDividend,CashDividendYieldRate,ProfitFourSeason,ProfitSingle,CName,ExchangeIndustry,CompanyPos" advise="1">
        <values cols="10">
          <value>
            <val>-84</val>
          </value>
          <value>
            <val>-2</val>
          </value>
          <value t="str">
            <val>2022/08/11</val>
          </value>
          <value t="str">
            <val>8.00</val>
          </value>
          <value>
            <val>4.57</val>
          </value>
          <value t="str">
            <val>14.97</val>
          </value>
          <value t="str">
            <val>3.09</val>
          </value>
          <value t="str">
            <val>美利達</val>
          </value>
          <value t="str">
            <val>上市其他</val>
          </value>
          <value t="str">
            <val>台灣第二大自行車生產廠商</val>
          </value>
        </values>
      </ddeItem>
      <ddeItem name="9914.TW-CName,InvestorConferenceDate,DateofMeetingofShareHolders,TradingDate" advise="1">
        <values cols="4">
          <value t="str">
            <val>美利達</val>
          </value>
          <value t="str">
            <val>2021/03/31</val>
          </value>
          <value t="str">
            <val>2022/06/23</val>
          </value>
          <value t="str">
            <val>2022/12/22</val>
          </value>
        </values>
      </ddeItem>
      <ddeItem name="9914.TW-ID,Name,MarketValue,Capital,NetIncomeGrowthRate,OperIncomeGrowthRate,FinancialStatementsTime,TFXRatio,MonthlyNetSalesYoY,RevenueMonth" advise="1">
        <values cols="10">
          <value t="str">
            <val>9914</val>
          </value>
          <value t="str">
            <val>美利達</val>
          </value>
          <value t="str">
            <val>523.2</val>
          </value>
          <value t="str">
            <val>29.90</val>
          </value>
          <value t="str">
            <val>-7.69</val>
          </value>
          <value t="str">
            <val>73.43</val>
          </value>
          <value t="str">
            <val>2022/09</val>
          </value>
          <value t="str">
            <val>8.47</val>
          </value>
          <value t="str">
            <val>76.66</val>
          </value>
          <value t="str">
            <val>2022/11</val>
          </value>
        </values>
      </ddeItem>
      <ddeItem name="9914.TW-OperatingProfitRatio,Price,PriceChangeRatio,InOutRatioNumber,Value,YearReturn,MonthReturn,WeekReturn,FinanceBalanceDif,ChipsField2" advise="1">
        <values cols="10">
          <value t="str">
            <val>8.67</val>
          </value>
          <value>
            <val>175</val>
          </value>
          <value>
            <val>3.55</val>
          </value>
          <value t="str">
            <val>47.91%</val>
          </value>
          <value t="str">
            <val>1.26億</val>
          </value>
          <value t="str">
            <val>-43.19</val>
          </value>
          <value t="str">
            <val>-1.13</val>
          </value>
          <value t="str">
            <val>-2.51</val>
          </value>
          <value>
            <val>-50</val>
          </value>
          <value>
            <val>10</val>
          </value>
        </values>
      </ddeItem>
      <ddeItem name="9917.TW-ChipsField3,ChipsField1,ChipsField25,CashAndStockDividend,CashDividendYieldRate,ProfitFourSeason,ProfitSingle,CName,ExchangeIndustry,CompanyPos" advise="1">
        <values cols="10">
          <value>
            <val>-13</val>
          </value>
          <value>
            <val>-25</val>
          </value>
          <value t="str">
            <val>2022/06/22</val>
          </value>
          <value t="str">
            <val>5.00</val>
          </value>
          <value>
            <val>5.09</val>
          </value>
          <value t="str">
            <val>5.90</val>
          </value>
          <value t="str">
            <val>1.43</val>
          </value>
          <value t="str">
            <val>中保科</val>
          </value>
          <value t="str">
            <val>上市其他</val>
          </value>
          <value t="str">
            <val>台灣最大的保全業者</val>
          </value>
        </values>
      </ddeItem>
      <ddeItem name="9917.TW-CName,InvestorConferenceDate,DateofMeetingofShareHolders,TradingDate" advise="1">
        <values cols="4">
          <value t="str">
            <val>中保科</val>
          </value>
          <value t="str">
            <val>2022/05/27</val>
          </value>
          <value t="str">
            <val>2022/05/30</val>
          </value>
          <value t="str">
            <val>2022/12/22</val>
          </value>
        </values>
      </ddeItem>
      <ddeItem name="9917.TW-ID,Name,MarketValue,Capital,NetIncomeGrowthRate,OperIncomeGrowthRate,FinancialStatementsTime,TFXRatio,MonthlyNetSalesYoY,RevenueMonth" advise="1">
        <values cols="10">
          <value t="str">
            <val>9917</val>
          </value>
          <value t="str">
            <val>中保科</val>
          </value>
          <value t="str">
            <val>443.5</val>
          </value>
          <value t="str">
            <val>45.12</val>
          </value>
          <value t="str">
            <val>3.15</val>
          </value>
          <value t="str">
            <val>-9.79</val>
          </value>
          <value t="str">
            <val>2022/09</val>
          </value>
          <value t="str">
            <val>6.39</val>
          </value>
          <value t="str">
            <val>13.60</val>
          </value>
          <value t="str">
            <val>2022/11</val>
          </value>
        </values>
      </ddeItem>
      <ddeItem name="9917.TW-OperatingProfitRatio,Price,PriceChangeRatio,InOutRatioNumber,Value,YearReturn,MonthReturn,WeekReturn,FinanceBalanceDif,ChipsField2" advise="1">
        <values cols="10">
          <value t="str">
            <val>15.82</val>
          </value>
          <value>
            <val>98.3</val>
          </value>
          <value>
            <val>0.92</val>
          </value>
          <value t="str">
            <val>68.97%</val>
          </value>
          <value t="str">
            <val>882萬</val>
          </value>
          <value t="str">
            <val>+0.18</val>
          </value>
          <value t="str">
            <val>-0.71</val>
          </value>
          <value t="str">
            <val>-1.60</val>
          </value>
          <value>
            <val>2</val>
          </value>
          <value>
            <val>40</val>
          </value>
        </values>
      </ddeItem>
      <ddeItem name="991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-2</val>
          </value>
          <value t="str">
            <val>2022/07/21</val>
          </value>
          <value t="str">
            <val>1.70</val>
          </value>
          <value>
            <val>4.01</val>
          </value>
          <value t="str">
            <val>1.21</val>
          </value>
          <value t="str">
            <val>0.08</val>
          </value>
          <value t="str">
            <val>欣天然</val>
          </value>
          <value t="str">
            <val>上市油電燃氣</val>
          </value>
          <value t="str">
            <val>主要經營新北市中和、永和、新店、深坑之天然氣業者</val>
          </value>
        </values>
      </ddeItem>
      <ddeItem name="9918.TW-CName,InvestorConferenceDate,DateofMeetingofShareHolders,TradingDate" advise="1">
        <values cols="4">
          <value t="str">
            <val>欣天然</val>
          </value>
          <value t="str">
            <val>2022/10/31</val>
          </value>
          <value t="str">
            <val>2022/06/17</val>
          </value>
          <value t="str">
            <val>2022/12/22</val>
          </value>
        </values>
      </ddeItem>
      <ddeItem name="9918.TW-ID,Name,MarketValue,Capital,NetIncomeGrowthRate,OperIncomeGrowthRate,FinancialStatementsTime,TFXRatio,MonthlyNetSalesYoY,RevenueMonth" advise="1">
        <values cols="10">
          <value t="str">
            <val>9918</val>
          </value>
          <value t="str">
            <val>欣天然</val>
          </value>
          <value t="str">
            <val>76.5</val>
          </value>
          <value t="str">
            <val>18.05</val>
          </value>
          <value t="str">
            <val>-55.30</val>
          </value>
          <value t="str">
            <val>37.42</val>
          </value>
          <value t="str">
            <val>2022/09</val>
          </value>
          <value t="str">
            <val>23.11</val>
          </value>
          <value t="str">
            <val>13.30</val>
          </value>
          <value t="str">
            <val>2022/11</val>
          </value>
        </values>
      </ddeItem>
      <ddeItem name="9918.TW-OperatingProfitRatio,Price,PriceChangeRatio,InOutRatioNumber,Value,YearReturn,MonthReturn,WeekReturn,FinanceBalanceDif,ChipsField2" advise="1">
        <values cols="10">
          <value t="str">
            <val>18.68</val>
          </value>
          <value>
            <val>42.35</val>
          </value>
          <value>
            <val>0.24</val>
          </value>
          <value t="str">
            <val>0.00%</val>
          </value>
          <value t="str">
            <val>16.9萬</val>
          </value>
          <value t="str">
            <val>+4.09</val>
          </value>
          <value t="str">
            <val>+0.71</val>
          </value>
          <value t="str">
            <val>-0.24</val>
          </value>
          <value>
            <val>0</val>
          </value>
          <value>
            <val>0</val>
          </value>
        </values>
      </ddeItem>
      <ddeItem name="9919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-2968</val>
          </value>
          <value t="str">
            <val>2022/07/19</val>
          </value>
          <value t="str">
            <val>0.30</val>
          </value>
          <value>
            <val>1.7</val>
          </value>
          <value t="str">
            <val>-0.77</val>
          </value>
          <value t="str">
            <val>-0.28</val>
          </value>
          <value t="str">
            <val>康那香</val>
          </value>
          <value t="str">
            <val>上市其他</val>
          </value>
          <value t="str">
            <val>為國內衛生棉及化妝棉、濕紙巾之製造龍頭企業</val>
          </value>
        </values>
      </ddeItem>
      <ddeItem name="9919.TW-CName,InvestorConferenceDate,DateofMeetingofShareHolders,TradingDate" advise="1">
        <values cols="4">
          <value t="str">
            <val>康那香</val>
          </value>
          <value t="str">
            <val>2022/04/26</val>
          </value>
          <value t="str">
            <val>2022/06/16</val>
          </value>
          <value t="str">
            <val>2022/12/22</val>
          </value>
        </values>
      </ddeItem>
      <ddeItem name="9919.TW-ID,Name,MarketValue,Capital,NetIncomeGrowthRate,OperIncomeGrowthRate,FinancialStatementsTime,TFXRatio,MonthlyNetSalesYoY,RevenueMonth" advise="1">
        <values cols="10">
          <value t="str">
            <val>9919</val>
          </value>
          <value t="str">
            <val>康那香</val>
          </value>
          <value t="str">
            <val>34.4</val>
          </value>
          <value t="str">
            <val>19.54</val>
          </value>
          <value t="str">
            <val>-244.79</val>
          </value>
          <value t="str">
            <val>-231.42</val>
          </value>
          <value t="str">
            <val>2022/09</val>
          </value>
          <value t="str">
            <val>-8.19</val>
          </value>
          <value t="str">
            <val>-16.48</val>
          </value>
          <value t="str">
            <val>2022/11</val>
          </value>
        </values>
      </ddeItem>
      <ddeItem name="9919.TW-OperatingProfitRatio,Price,PriceChangeRatio,InOutRatioNumber,Value,YearReturn,MonthReturn,WeekReturn,FinanceBalanceDif,ChipsField2" advise="1">
        <values cols="10">
          <value t="str">
            <val>-8.13</val>
          </value>
          <value>
            <val>17.600000000000001</val>
          </value>
          <value>
            <val>0.56999999999999995</val>
          </value>
          <value t="str">
            <val>45.90%</val>
          </value>
          <value t="str">
            <val>4290萬</val>
          </value>
          <value t="str">
            <val>-30.97</val>
          </value>
          <value t="str">
            <val>+3.53</val>
          </value>
          <value t="str">
            <val>-2.49</val>
          </value>
          <value>
            <val>326</val>
          </value>
          <value>
            <val>0</val>
          </value>
        </values>
      </ddeItem>
      <ddeItem name="9921.TW-ChipsField3,ChipsField1,ChipsField25,CashAndStockDividend,CashDividendYieldRate,ProfitFourSeason,ProfitSingle,CName,ExchangeIndustry,CompanyPos" advise="1">
        <values cols="10">
          <value>
            <val>-42</val>
          </value>
          <value>
            <val>40</val>
          </value>
          <value t="str">
            <val>2022/08/19</val>
          </value>
          <value t="str">
            <val>10.00</val>
          </value>
          <value>
            <val>4.7300000000000004</val>
          </value>
          <value t="str">
            <val>17.94</val>
          </value>
          <value t="str">
            <val>5.35</val>
          </value>
          <value t="str">
            <val>巨大</val>
          </value>
          <value t="str">
            <val>上市其他</val>
          </value>
          <value t="str">
            <val>全球最大自行車生產廠商</val>
          </value>
        </values>
      </ddeItem>
      <ddeItem name="9921.TW-CName,InvestorConferenceDate,DateofMeetingofShareHolders,TradingDate" advise="1">
        <values cols="4">
          <value t="str">
            <val>巨大</val>
          </value>
          <value t="str">
            <val>2021/08/11</val>
          </value>
          <value t="str">
            <val>2022/06/23</val>
          </value>
          <value t="str">
            <val>2022/12/22</val>
          </value>
        </values>
      </ddeItem>
      <ddeItem name="9921.TW-ID,Name,MarketValue,Capital,NetIncomeGrowthRate,OperIncomeGrowthRate,FinancialStatementsTime,TFXRatio,MonthlyNetSalesYoY,RevenueMonth" advise="1">
        <values cols="10">
          <value t="str">
            <val>9921</val>
          </value>
          <value t="str">
            <val>巨大</val>
          </value>
          <value t="str">
            <val>829.2</val>
          </value>
          <value t="str">
            <val>39.21</val>
          </value>
          <value t="str">
            <val>14.50</val>
          </value>
          <value t="str">
            <val>-3.94</val>
          </value>
          <value t="str">
            <val>2022/09</val>
          </value>
          <value t="str">
            <val>-4.19</val>
          </value>
          <value t="str">
            <val>8.52</val>
          </value>
          <value t="str">
            <val>2022/11</val>
          </value>
        </values>
      </ddeItem>
      <ddeItem name="9921.TW-OperatingProfitRatio,Price,PriceChangeRatio,InOutRatioNumber,Value,YearReturn,MonthReturn,WeekReturn,FinanceBalanceDif,ChipsField2" advise="1">
        <values cols="10">
          <value t="str">
            <val>9.72</val>
          </value>
          <value>
            <val>211.5</val>
          </value>
          <value>
            <val>2.17</val>
          </value>
          <value t="str">
            <val>69.88%</val>
          </value>
          <value t="str">
            <val>1.10億</val>
          </value>
          <value t="str">
            <val>-34.09</val>
          </value>
          <value t="str">
            <val>-7.64</val>
          </value>
          <value t="str">
            <val>-1.40</val>
          </value>
          <value>
            <val>8</val>
          </value>
          <value>
            <val>0</val>
          </value>
        </values>
      </ddeItem>
      <ddeItem name="9924.TW-ChipsField3,ChipsField1,ChipsField25,CashAndStockDividend,CashDividendYieldRate,ProfitFourSeason,ProfitSingle,CName,ExchangeIndustry,CompanyPos" advise="1">
        <values cols="10">
          <value>
            <val>-2</val>
          </value>
          <value>
            <val>-18</val>
          </value>
          <value t="str">
            <val>2022/06/16</val>
          </value>
          <value t="str">
            <val>2.40</val>
          </value>
          <value>
            <val>5.8</val>
          </value>
          <value t="str">
            <val>4.91</val>
          </value>
          <value t="str">
            <val>2.01</val>
          </value>
          <value t="str">
            <val>福興</val>
          </value>
          <value t="str">
            <val>上市其他</val>
          </value>
          <value t="str">
            <val>亞洲最大，全球第二大門鎖廠商</val>
          </value>
        </values>
      </ddeItem>
      <ddeItem name="9924.TW-CName,InvestorConferenceDate,DateofMeetingofShareHolders,TradingDate" advise="1">
        <values cols="4">
          <value t="str">
            <val>福興</val>
          </value>
          <value t="str">
            <val>2022/12/08</val>
          </value>
          <value t="str">
            <val>2022/05/27</val>
          </value>
          <value t="str">
            <val>2022/12/22</val>
          </value>
        </values>
      </ddeItem>
      <ddeItem name="9924.TW-ID,Name,MarketValue,Capital,NetIncomeGrowthRate,OperIncomeGrowthRate,FinancialStatementsTime,TFXRatio,MonthlyNetSalesYoY,RevenueMonth" advise="1">
        <values cols="10">
          <value t="str">
            <val>9924</val>
          </value>
          <value t="str">
            <val>福興</val>
          </value>
          <value t="str">
            <val>77.9</val>
          </value>
          <value t="str">
            <val>18.85</val>
          </value>
          <value t="str">
            <val>48.43</val>
          </value>
          <value t="str">
            <val>12.56</val>
          </value>
          <value t="str">
            <val>2022/09</val>
          </value>
          <value t="str">
            <val>-1.78</val>
          </value>
          <value t="str">
            <val>-9.44</val>
          </value>
          <value t="str">
            <val>2022/11</val>
          </value>
        </values>
      </ddeItem>
      <ddeItem name="9924.TW-OperatingProfitRatio,Price,PriceChangeRatio,InOutRatioNumber,Value,YearReturn,MonthReturn,WeekReturn,FinanceBalanceDif,ChipsField2" advise="1">
        <values cols="10">
          <value t="str">
            <val>8.80</val>
          </value>
          <value>
            <val>41.35</val>
          </value>
          <value>
            <val>0.49</val>
          </value>
          <value t="str">
            <val>37.50%</val>
          </value>
          <value t="str">
            <val>66.1萬</val>
          </value>
          <value t="str">
            <val>+7.07</val>
          </value>
          <value t="str">
            <val>+0.12</val>
          </value>
          <value t="str">
            <val>-1.31</val>
          </value>
          <value>
            <val>0</val>
          </value>
          <value>
            <val>0</val>
          </value>
        </values>
      </ddeItem>
      <ddeItem name="992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-37</val>
          </value>
          <value t="str">
            <val>2022/07/26</val>
          </value>
          <value t="str">
            <val>2.00</val>
          </value>
          <value>
            <val>5.1100000000000003</val>
          </value>
          <value t="str">
            <val>2.55</val>
          </value>
          <value t="str">
            <val>0.55</val>
          </value>
          <value t="str">
            <val>新保</val>
          </value>
          <value t="str">
            <val>上市其他</val>
          </value>
          <value t="str">
            <val>台灣第二大保全業者</val>
          </value>
        </values>
      </ddeItem>
      <ddeItem name="9925.TW-CName,InvestorConferenceDate,DateofMeetingofShareHolders,TradingDate" advise="1">
        <values cols="4">
          <value t="str">
            <val>新保</val>
          </value>
          <value t="str">
            <val>2022/10/26</val>
          </value>
          <value t="str">
            <val>2022/06/24</val>
          </value>
          <value t="str">
            <val>2022/12/22</val>
          </value>
        </values>
      </ddeItem>
      <ddeItem name="9925.TW-ID,Name,MarketValue,Capital,NetIncomeGrowthRate,OperIncomeGrowthRate,FinancialStatementsTime,TFXRatio,MonthlyNetSalesYoY,RevenueMonth" advise="1">
        <values cols="10">
          <value t="str">
            <val>9925</val>
          </value>
          <value t="str">
            <val>新保</val>
          </value>
          <value t="str">
            <val>151.7</val>
          </value>
          <value t="str">
            <val>38.75</val>
          </value>
          <value t="str">
            <val>1.40</val>
          </value>
          <value t="str">
            <val>2.19</val>
          </value>
          <value t="str">
            <val>2022/09</val>
          </value>
          <value t="str">
            <val>-0.10</val>
          </value>
          <value t="str">
            <val>0.16</val>
          </value>
          <value t="str">
            <val>2022/11</val>
          </value>
        </values>
      </ddeItem>
      <ddeItem name="9925.TW-OperatingProfitRatio,Price,PriceChangeRatio,InOutRatioNumber,Value,YearReturn,MonthReturn,WeekReturn,FinanceBalanceDif,ChipsField2" advise="1">
        <values cols="10">
          <value t="str">
            <val>13.09</val>
          </value>
          <value>
            <val>39.15</val>
          </value>
          <value>
            <val>0.13</val>
          </value>
          <value t="str">
            <val>36.17%</val>
          </value>
          <value t="str">
            <val>184萬</val>
          </value>
          <value t="str">
            <val>+5.05</val>
          </value>
          <value t="str">
            <val>+1.03</val>
          </value>
          <value t="str">
            <val>-0.38</val>
          </value>
          <value>
            <val>0</val>
          </value>
          <value>
            <val>0</val>
          </value>
        </values>
      </ddeItem>
      <ddeItem name="9926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2022/07/26</val>
          </value>
          <value t="str">
            <val>2.00</val>
          </value>
          <value>
            <val>3.87</val>
          </value>
          <value t="str">
            <val>2.54</val>
          </value>
          <value t="str">
            <val>0.83</val>
          </value>
          <value t="str">
            <val>新海</val>
          </value>
          <value t="str">
            <val>上市油電燃氣</val>
          </value>
          <value t="str">
            <val>主要經營新北市三重、板橋及新莊區之天然氣業者</val>
          </value>
        </values>
      </ddeItem>
      <ddeItem name="9926.TW-CName,InvestorConferenceDate,DateofMeetingofShareHolders,TradingDate" advise="1">
        <values cols="4">
          <value t="str">
            <val>新海</val>
          </value>
          <value t="str">
            <val>2022/08/31</val>
          </value>
          <value t="str">
            <val>2022/06/24</val>
          </value>
          <value t="str">
            <val>2022/12/22</val>
          </value>
        </values>
      </ddeItem>
      <ddeItem name="9926.TW-ID,Name,MarketValue,Capital,NetIncomeGrowthRate,OperIncomeGrowthRate,FinancialStatementsTime,TFXRatio,MonthlyNetSalesYoY,RevenueMonth" advise="1">
        <values cols="10">
          <value t="str">
            <val>9926</val>
          </value>
          <value t="str">
            <val>新海</val>
          </value>
          <value t="str">
            <val>92.8</val>
          </value>
          <value t="str">
            <val>17.95</val>
          </value>
          <value t="str">
            <val>1.96</val>
          </value>
          <value t="str">
            <val>2.25</val>
          </value>
          <value t="str">
            <val>2022/09</val>
          </value>
          <value t="str">
            <val>-5.86</val>
          </value>
          <value t="str">
            <val>-10.29</val>
          </value>
          <value t="str">
            <val>2022/11</val>
          </value>
        </values>
      </ddeItem>
      <ddeItem name="9926.TW-OperatingProfitRatio,Price,PriceChangeRatio,InOutRatioNumber,Value,YearReturn,MonthReturn,WeekReturn,FinanceBalanceDif,ChipsField2" advise="1">
        <values cols="10">
          <value t="str">
            <val>23.24</val>
          </value>
          <value>
            <val>51.7</val>
          </value>
          <value>
            <val>0.57999999999999996</val>
          </value>
          <value t="str">
            <val>100.00%</val>
          </value>
          <value t="str">
            <val>10.3萬</val>
          </value>
          <value t="str">
            <val>+11.10</val>
          </value>
          <value t="str">
            <val>+0.58</val>
          </value>
          <value t="str">
            <val>-0.19</val>
          </value>
          <value>
            <val>0</val>
          </value>
          <value>
            <val>0</val>
          </value>
        </values>
      </ddeItem>
      <ddeItem name="9927.TW-ChipsField3,ChipsField1,ChipsField25,CashAndStockDividend,CashDividendYieldRate,ProfitFourSeason,ProfitSingle,CName,ExchangeIndustry,CompanyPos" advise="1">
        <values cols="10">
          <value>
            <val>-10</val>
          </value>
          <value>
            <val>-4</val>
          </value>
          <value t="str">
            <val>2022/09/06</val>
          </value>
          <value t="str">
            <val>4.50</val>
          </value>
          <value>
            <val>11.92</val>
          </value>
          <value t="str">
            <val>4.24</val>
          </value>
          <value t="str">
            <val>0.93</val>
          </value>
          <value t="str">
            <val>泰銘</val>
          </value>
          <value t="str">
            <val>上市其他</val>
          </value>
          <value t="str">
            <val>亞洲最大合金鉛製造廠商之一</val>
          </value>
        </values>
      </ddeItem>
      <ddeItem name="9927.TW-CName,InvestorConferenceDate,DateofMeetingofShareHolders,TradingDate" advise="1">
        <values cols="4">
          <value t="str">
            <val>泰銘</val>
          </value>
          <value t="str">
            <val>2022/11/29</val>
          </value>
          <value t="str">
            <val>2022/06/14</val>
          </value>
          <value t="str">
            <val>2022/12/22</val>
          </value>
        </values>
      </ddeItem>
      <ddeItem name="9927.TW-ID,Name,MarketValue,Capital,NetIncomeGrowthRate,OperIncomeGrowthRate,FinancialStatementsTime,TFXRatio,MonthlyNetSalesYoY,RevenueMonth" advise="1">
        <values cols="10">
          <value t="str">
            <val>9927</val>
          </value>
          <value t="str">
            <val>泰銘</val>
          </value>
          <value t="str">
            <val>63.2</val>
          </value>
          <value t="str">
            <val>16.73</val>
          </value>
          <value t="str">
            <val>-7.57</val>
          </value>
          <value t="str">
            <val>-30.81</val>
          </value>
          <value t="str">
            <val>2022/09</val>
          </value>
          <value t="str">
            <val>13.99</val>
          </value>
          <value t="str">
            <val>-20.20</val>
          </value>
          <value t="str">
            <val>2022/11</val>
          </value>
        </values>
      </ddeItem>
      <ddeItem name="9927.TW-OperatingProfitRatio,Price,PriceChangeRatio,InOutRatioNumber,Value,YearReturn,MonthReturn,WeekReturn,FinanceBalanceDif,ChipsField2" advise="1">
        <values cols="10">
          <value t="str">
            <val>7.40</val>
          </value>
          <value>
            <val>37.75</val>
          </value>
          <value>
            <val>2.17</val>
          </value>
          <value t="str">
            <val>67.83%</val>
          </value>
          <value t="str">
            <val>439萬</val>
          </value>
          <value t="str">
            <val>+10.45</val>
          </value>
          <value t="str">
            <val>+2.86</val>
          </value>
          <value t="str">
            <val>+1.07</val>
          </value>
          <value>
            <val>1</val>
          </value>
          <value>
            <val>0</val>
          </value>
        </values>
      </ddeItem>
      <ddeItem name="9928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--</val>
          </value>
          <value t="str">
            <val>0.00</val>
          </value>
          <value>
            <val>0</val>
          </value>
          <value t="str">
            <val>0.05</val>
          </value>
          <value t="str">
            <val>-0.16</val>
          </value>
          <value t="str">
            <val>中視</val>
          </value>
          <value t="str">
            <val>上市其他</val>
          </value>
          <value t="str">
            <val>台灣五家無線電視台之一</val>
          </value>
        </values>
      </ddeItem>
      <ddeItem name="9928.TW-CName,InvestorConferenceDate,DateofMeetingofShareHolders,TradingDate" advise="1">
        <values cols="4">
          <value t="str">
            <val>中視</val>
          </value>
          <value t="str">
            <val>2022/11/25</val>
          </value>
          <value t="str">
            <val>2022/06/24</val>
          </value>
          <value t="str">
            <val>2022/12/22</val>
          </value>
        </values>
      </ddeItem>
      <ddeItem name="9928.TW-ID,Name,MarketValue,Capital,NetIncomeGrowthRate,OperIncomeGrowthRate,FinancialStatementsTime,TFXRatio,MonthlyNetSalesYoY,RevenueMonth" advise="1">
        <values cols="10">
          <value t="str">
            <val>9928</val>
          </value>
          <value t="str">
            <val>中視</val>
          </value>
          <value t="str">
            <val>11.1</val>
          </value>
          <value t="str">
            <val>6.07</val>
          </value>
          <value t="str">
            <val>62.54</val>
          </value>
          <value t="str">
            <val>35.24</val>
          </value>
          <value t="str">
            <val>2022/09</val>
          </value>
          <value t="str">
            <val>17.44</val>
          </value>
          <value t="str">
            <val>15.62</val>
          </value>
          <value t="str">
            <val>2022/11</val>
          </value>
        </values>
      </ddeItem>
      <ddeItem name="9928.TW-OperatingProfitRatio,Price,PriceChangeRatio,InOutRatioNumber,Value,YearReturn,MonthReturn,WeekReturn,FinanceBalanceDif,ChipsField2" advise="1">
        <values cols="10">
          <value t="str">
            <val>-10.32</val>
          </value>
          <value>
            <val>18.3</val>
          </value>
          <value>
            <val>1.1000000000000001</val>
          </value>
          <value t="str">
            <val>75.63%</val>
          </value>
          <value t="str">
            <val>220萬</val>
          </value>
          <value t="str">
            <val>+21.90</val>
          </value>
          <value t="str">
            <val>-16.82</val>
          </value>
          <value t="str">
            <val>-6.39</val>
          </value>
          <value>
            <val>0</val>
          </value>
          <value>
            <val>0</val>
          </value>
        </values>
      </ddeItem>
      <ddeItem name="9929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1</val>
          </value>
          <value t="str">
            <val>--</val>
          </value>
          <value t="str">
            <val>0.00</val>
          </value>
          <value>
            <val>0</val>
          </value>
          <value t="str">
            <val>-0.89</val>
          </value>
          <value t="str">
            <val>0.14</val>
          </value>
          <value t="str">
            <val>秋雨</val>
          </value>
          <value t="str">
            <val>上市其他</val>
          </value>
          <value t="str">
            <val>台灣第一家股票上市之印刷業者</val>
          </value>
        </values>
      </ddeItem>
      <ddeItem name="9929.TW-CName,InvestorConferenceDate,DateofMeetingofShareHolders,TradingDate" advise="1">
        <values cols="4">
          <value t="str">
            <val>秋雨</val>
          </value>
          <value t="str">
            <val>2022/11/29</val>
          </value>
          <value t="str">
            <val>2022/05/26</val>
          </value>
          <value t="str">
            <val>2022/12/22</val>
          </value>
        </values>
      </ddeItem>
      <ddeItem name="9929.TW-ID,Name,MarketValue,Capital,NetIncomeGrowthRate,OperIncomeGrowthRate,FinancialStatementsTime,TFXRatio,MonthlyNetSalesYoY,RevenueMonth" advise="1">
        <values cols="10">
          <value t="str">
            <val>9929</val>
          </value>
          <value t="str">
            <val>秋雨</val>
          </value>
          <value t="str">
            <val>8.6</val>
          </value>
          <value t="str">
            <val>10.13</val>
          </value>
          <value t="str">
            <val>-1286.39</val>
          </value>
          <value t="str">
            <val>-109.37</val>
          </value>
          <value t="str">
            <val>2022/09</val>
          </value>
          <value t="str">
            <val>17.81</val>
          </value>
          <value t="str">
            <val>29.00</val>
          </value>
          <value t="str">
            <val>2022/11</val>
          </value>
        </values>
      </ddeItem>
      <ddeItem name="9929.TW-OperatingProfitRatio,Price,PriceChangeRatio,InOutRatioNumber,Value,YearReturn,MonthReturn,WeekReturn,FinanceBalanceDif,ChipsField2" advise="1">
        <values cols="10">
          <value t="str">
            <val>-0.24</val>
          </value>
          <value>
            <val>8.4499999999999993</val>
          </value>
          <value>
            <val>-1.29</val>
          </value>
          <value t="str">
            <val>0.00%</val>
          </value>
          <value t="str">
            <val>2.54萬</val>
          </value>
          <value t="str">
            <val>-10.20</val>
          </value>
          <value t="str">
            <val>-2.99</val>
          </value>
          <value t="str">
            <val>-0.59</val>
          </value>
          <value>
            <val>-7</val>
          </value>
          <value>
            <val>0</val>
          </value>
        </values>
      </ddeItem>
      <ddeItem name="9930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-5</val>
          </value>
          <value t="str">
            <val>2022/07/14</val>
          </value>
          <value t="str">
            <val>2.50</val>
          </value>
          <value>
            <val>5.39</val>
          </value>
          <value t="str">
            <val>3.20</val>
          </value>
          <value t="str">
            <val>0.86</val>
          </value>
          <value t="str">
            <val>中聯資源</val>
          </value>
          <value t="str">
            <val>上市其他</val>
          </value>
          <value t="str">
            <val>主營採用中鋼爐石粉製造高強度水泥</val>
          </value>
        </values>
      </ddeItem>
      <ddeItem name="9930.TW-CName,InvestorConferenceDate,DateofMeetingofShareHolders,TradingDate" advise="1">
        <values cols="4">
          <value t="str">
            <val>中聯資源</val>
          </value>
          <value t="str">
            <val>2022/12/20</val>
          </value>
          <value t="str">
            <val>2022/06/23</val>
          </value>
          <value t="str">
            <val>2022/12/22</val>
          </value>
        </values>
      </ddeItem>
      <ddeItem name="9930.TW-ID,Name,MarketValue,Capital,NetIncomeGrowthRate,OperIncomeGrowthRate,FinancialStatementsTime,TFXRatio,MonthlyNetSalesYoY,RevenueMonth" advise="1">
        <values cols="10">
          <value t="str">
            <val>9930</val>
          </value>
          <value t="str">
            <val>中聯資源</val>
          </value>
          <value t="str">
            <val>115.3</val>
          </value>
          <value t="str">
            <val>24.85</val>
          </value>
          <value t="str">
            <val>14.41</val>
          </value>
          <value t="str">
            <val>9.38</val>
          </value>
          <value t="str">
            <val>2022/09</val>
          </value>
          <value t="str">
            <val>-0.74</val>
          </value>
          <value t="str">
            <val>-0.68</val>
          </value>
          <value t="str">
            <val>2022/11</val>
          </value>
        </values>
      </ddeItem>
      <ddeItem name="9930.TW-OperatingProfitRatio,Price,PriceChangeRatio,InOutRatioNumber,Value,YearReturn,MonthReturn,WeekReturn,FinanceBalanceDif,ChipsField2" advise="1">
        <values cols="10">
          <value t="str">
            <val>8.43</val>
          </value>
          <value>
            <val>46.4</val>
          </value>
          <value>
            <val>0.43</val>
          </value>
          <value t="str">
            <val>48.48%</val>
          </value>
          <value t="str">
            <val>153萬</val>
          </value>
          <value t="str">
            <val>+9.20</val>
          </value>
          <value t="str">
            <val>+2.09</val>
          </value>
          <value t="str">
            <val>-0.22</val>
          </value>
          <value>
            <val>0</val>
          </value>
          <value>
            <val>0</val>
          </value>
        </values>
      </ddeItem>
      <ddeItem name="9931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2022/07/04</val>
          </value>
          <value t="str">
            <val>1.40</val>
          </value>
          <value>
            <val>3.59</val>
          </value>
          <value t="str">
            <val>2.04</val>
          </value>
          <value t="str">
            <val>0.51</val>
          </value>
          <value t="str">
            <val>欣高</val>
          </value>
          <value t="str">
            <val>上市油電燃氣</val>
          </value>
          <value t="str">
            <val>主要經營高雄市三民、左營等營業區之天然氣業者</val>
          </value>
        </values>
      </ddeItem>
      <ddeItem name="9931.TW-CName,InvestorConferenceDate,DateofMeetingofShareHolders,TradingDate" advise="1">
        <values cols="4">
          <value t="str">
            <val>欣高</val>
          </value>
          <value t="str">
            <val>2022/06/14</val>
          </value>
          <value t="str">
            <val>2022/06/13</val>
          </value>
          <value t="str">
            <val>2022/12/22</val>
          </value>
        </values>
      </ddeItem>
      <ddeItem name="9931.TW-ID,Name,MarketValue,Capital,NetIncomeGrowthRate,OperIncomeGrowthRate,FinancialStatementsTime,TFXRatio,MonthlyNetSalesYoY,RevenueMonth" advise="1">
        <values cols="10">
          <value t="str">
            <val>9931</val>
          </value>
          <value t="str">
            <val>欣高</val>
          </value>
          <value t="str">
            <val>43.1</val>
          </value>
          <value t="str">
            <val>11.04</val>
          </value>
          <value t="str">
            <val>-7.83</val>
          </value>
          <value t="str">
            <val>-0.24</val>
          </value>
          <value t="str">
            <val>2022/09</val>
          </value>
          <value t="str">
            <val>11.70</val>
          </value>
          <value t="str">
            <val>2.69</val>
          </value>
          <value t="str">
            <val>2022/11</val>
          </value>
        </values>
      </ddeItem>
      <ddeItem name="9931.TW-OperatingProfitRatio,Price,PriceChangeRatio,InOutRatioNumber,Value,YearReturn,MonthReturn,WeekReturn,FinanceBalanceDif,ChipsField2" advise="1">
        <values cols="10">
          <value t="str">
            <val>13.89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--</val>
          </value>
          <value t="str">
            <val>+0.56</val>
          </value>
          <value t="str">
            <val>-1.01</val>
          </value>
          <value t="str">
            <val>-0.89</val>
          </value>
          <value>
            <val>0</val>
          </value>
          <value>
            <val>0</val>
          </value>
        </values>
      </ddeItem>
      <ddeItem name="9933.TW-ChipsField3,ChipsField1,ChipsField25,CashAndStockDividend,CashDividendYieldRate,ProfitFourSeason,ProfitSingle,CName,ExchangeIndustry,CompanyPos" advise="1">
        <values cols="10">
          <value>
            <val>-109</val>
          </value>
          <value>
            <val>99</val>
          </value>
          <value t="str">
            <val>2022/07/01</val>
          </value>
          <value t="str">
            <val>2.26</val>
          </value>
          <value>
            <val>5.43</val>
          </value>
          <value t="str">
            <val>3.28</val>
          </value>
          <value t="str">
            <val>0.44</val>
          </value>
          <value t="str">
            <val>中鼎</val>
          </value>
          <value t="str">
            <val>上市其他</val>
          </value>
          <value t="str">
            <val>台灣最大統包工程公司</val>
          </value>
        </values>
      </ddeItem>
      <ddeItem name="9933.TW-CName,InvestorConferenceDate,DateofMeetingofShareHolders,TradingDate" advise="1">
        <values cols="4">
          <value t="str">
            <val>中鼎</val>
          </value>
          <value t="str">
            <val>2022/11/10</val>
          </value>
          <value t="str">
            <val>2022/05/26</val>
          </value>
          <value t="str">
            <val>2022/12/22</val>
          </value>
        </values>
      </ddeItem>
      <ddeItem name="9933.TW-ID,Name,MarketValue,Capital,NetIncomeGrowthRate,OperIncomeGrowthRate,FinancialStatementsTime,TFXRatio,MonthlyNetSalesYoY,RevenueMonth" advise="1">
        <values cols="10">
          <value t="str">
            <val>9933</val>
          </value>
          <value t="str">
            <val>中鼎</val>
          </value>
          <value t="str">
            <val>326.9</val>
          </value>
          <value t="str">
            <val>79.01</val>
          </value>
          <value t="str">
            <val>88.00</val>
          </value>
          <value t="str">
            <val>99.43</val>
          </value>
          <value t="str">
            <val>2022/09</val>
          </value>
          <value t="str">
            <val>16.23</val>
          </value>
          <value t="str">
            <val>41.41</val>
          </value>
          <value t="str">
            <val>2022/11</val>
          </value>
        </values>
      </ddeItem>
      <ddeItem name="9933.TW-OperatingProfitRatio,Price,PriceChangeRatio,InOutRatioNumber,Value,YearReturn,MonthReturn,WeekReturn,FinanceBalanceDif,ChipsField2" advise="1">
        <values cols="10">
          <value t="str">
            <val>4.01</val>
          </value>
          <value>
            <val>41.6</val>
          </value>
          <value>
            <val>0.24</val>
          </value>
          <value t="str">
            <val>43.53%</val>
          </value>
          <value t="str">
            <val>6664萬</val>
          </value>
          <value t="str">
            <val>+18.71</val>
          </value>
          <value t="str">
            <val>+3.61</val>
          </value>
          <value t="str">
            <val>-2.92</val>
          </value>
          <value>
            <val>-15</val>
          </value>
          <value>
            <val>0</val>
          </value>
        </values>
      </ddeItem>
      <ddeItem name="9934.TW-ChipsField3,ChipsField1,ChipsField25,CashAndStockDividend,CashDividendYieldRate,ProfitFourSeason,ProfitSingle,CName,ExchangeIndustry,CompanyPos" advise="1">
        <values cols="10">
          <value>
            <val>-3</val>
          </value>
          <value>
            <val>-19</val>
          </value>
          <value t="str">
            <val>--</val>
          </value>
          <value t="str">
            <val>0.00</val>
          </value>
          <value>
            <val>0</val>
          </value>
          <value t="str">
            <val>-3.11</val>
          </value>
          <value t="str">
            <val>0.26</val>
          </value>
          <value t="str">
            <val>成霖</val>
          </value>
          <value t="str">
            <val>上市其他</val>
          </value>
          <value t="str">
            <val>亞洲最大水龍頭專業製造廠商</val>
          </value>
        </values>
      </ddeItem>
      <ddeItem name="9934.TW-CName,InvestorConferenceDate,DateofMeetingofShareHolders,TradingDate" advise="1">
        <values cols="4">
          <value t="str">
            <val>成霖</val>
          </value>
          <value t="str">
            <val>2022/11/10</val>
          </value>
          <value t="str">
            <val>2022/05/27</val>
          </value>
          <value t="str">
            <val>2022/12/22</val>
          </value>
        </values>
      </ddeItem>
      <ddeItem name="9934.TW-ID,Name,MarketValue,Capital,NetIncomeGrowthRate,OperIncomeGrowthRate,FinancialStatementsTime,TFXRatio,MonthlyNetSalesYoY,RevenueMonth" advise="1">
        <values cols="10">
          <value t="str">
            <val>9934</val>
          </value>
          <value t="str">
            <val>成霖</val>
          </value>
          <value t="str">
            <val>47.8</val>
          </value>
          <value t="str">
            <val>35.84</val>
          </value>
          <value t="str">
            <val>-837.95</val>
          </value>
          <value t="str">
            <val>-398.53</val>
          </value>
          <value t="str">
            <val>2022/09</val>
          </value>
          <value t="str">
            <val>-3.14</val>
          </value>
          <value t="str">
            <val>-1.70</val>
          </value>
          <value t="str">
            <val>2022/11</val>
          </value>
        </values>
      </ddeItem>
      <ddeItem name="9934.TW-OperatingProfitRatio,Price,PriceChangeRatio,InOutRatioNumber,Value,YearReturn,MonthReturn,WeekReturn,FinanceBalanceDif,ChipsField2" advise="1">
        <values cols="10">
          <value t="str">
            <val>-5.34</val>
          </value>
          <value>
            <val>13.35</val>
          </value>
          <value>
            <val>1.91</val>
          </value>
          <value t="str">
            <val>63.98%</val>
          </value>
          <value t="str">
            <val>347萬</val>
          </value>
          <value t="str">
            <val>-9.18</val>
          </value>
          <value t="str">
            <val>+2.69</val>
          </value>
          <value t="str">
            <val>+0.38</val>
          </value>
          <value>
            <val>-4</val>
          </value>
          <value>
            <val>0</val>
          </value>
        </values>
      </ddeItem>
      <ddeItem name="9935.TW-ChipsField3,ChipsField1,ChipsField25,CashAndStockDividend,CashDividendYieldRate,ProfitFourSeason,ProfitSingle,CName,ExchangeIndustry,CompanyPos" advise="1">
        <values cols="10">
          <value>
            <val>-12</val>
          </value>
          <value>
            <val>31</val>
          </value>
          <value t="str">
            <val>2022/08/02</val>
          </value>
          <value t="str">
            <val>0.51</val>
          </value>
          <value>
            <val>2.96</val>
          </value>
          <value t="str">
            <val>1.19</val>
          </value>
          <value t="str">
            <val>0.62</val>
          </value>
          <value t="str">
            <val>慶豐富</val>
          </value>
          <value t="str">
            <val>上市其他</val>
          </value>
          <value t="str">
            <val>台灣第一大窗簾傢飾廠</val>
          </value>
        </values>
      </ddeItem>
      <ddeItem name="9935.TW-CName,InvestorConferenceDate,DateofMeetingofShareHolders,TradingDate" advise="1">
        <values cols="4">
          <value t="str">
            <val>慶豐富</val>
          </value>
          <value t="str">
            <val>2022/06/10</val>
          </value>
          <value t="str">
            <val>2022/06/27</val>
          </value>
          <value t="str">
            <val>2022/12/22</val>
          </value>
        </values>
      </ddeItem>
      <ddeItem name="9935.TW-ID,Name,MarketValue,Capital,NetIncomeGrowthRate,OperIncomeGrowthRate,FinancialStatementsTime,TFXRatio,MonthlyNetSalesYoY,RevenueMonth" advise="1">
        <values cols="10">
          <value t="str">
            <val>9935</val>
          </value>
          <value t="str">
            <val>慶豐富</val>
          </value>
          <value t="str">
            <val>29.3</val>
          </value>
          <value t="str">
            <val>16.96</val>
          </value>
          <value t="str">
            <val>185.15</val>
          </value>
          <value t="str">
            <val>-22.76</val>
          </value>
          <value t="str">
            <val>2022/09</val>
          </value>
          <value t="str">
            <val>-26.37</val>
          </value>
          <value t="str">
            <val>-24.12</val>
          </value>
          <value t="str">
            <val>2022/11</val>
          </value>
        </values>
      </ddeItem>
      <ddeItem name="9935.TW-OperatingProfitRatio,Price,PriceChangeRatio,InOutRatioNumber,Value,YearReturn,MonthReturn,WeekReturn,FinanceBalanceDif,ChipsField2" advise="1">
        <values cols="10">
          <value t="str">
            <val>2.67</val>
          </value>
          <value>
            <val>17.25</val>
          </value>
          <value>
            <val>-1.1499999999999999</val>
          </value>
          <value t="str">
            <val>20.49%</val>
          </value>
          <value t="str">
            <val>213萬</val>
          </value>
          <value t="str">
            <val>-10.38</val>
          </value>
          <value t="str">
            <val>-1.71</val>
          </value>
          <value t="str">
            <val>-2.54</val>
          </value>
          <value>
            <val>-20</val>
          </value>
          <value>
            <val>0</val>
          </value>
        </values>
      </ddeItem>
      <ddeItem name="9937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-5</val>
          </value>
          <value t="str">
            <val>2022/07/26</val>
          </value>
          <value t="str">
            <val>2.10</val>
          </value>
          <value>
            <val>4.05</val>
          </value>
          <value t="str">
            <val>2.40</val>
          </value>
          <value t="str">
            <val>0.67</val>
          </value>
          <value t="str">
            <val>全國</val>
          </value>
          <value t="str">
            <val>上市油電燃氣</val>
          </value>
          <value t="str">
            <val>台灣第二大加油站經營商，站數逾百座</val>
          </value>
        </values>
      </ddeItem>
      <ddeItem name="9937.TW-CName,InvestorConferenceDate,DateofMeetingofShareHolders,TradingDate" advise="1">
        <values cols="4">
          <value t="str">
            <val>全國</val>
          </value>
          <value t="str">
            <val>2022/10/20</val>
          </value>
          <value t="str">
            <val>2022/06/23</val>
          </value>
          <value t="str">
            <val>2022/12/22</val>
          </value>
        </values>
      </ddeItem>
      <ddeItem name="9937.TW-ID,Name,MarketValue,Capital,NetIncomeGrowthRate,OperIncomeGrowthRate,FinancialStatementsTime,TFXRatio,MonthlyNetSalesYoY,RevenueMonth" advise="1">
        <values cols="10">
          <value t="str">
            <val>9937</val>
          </value>
          <value t="str">
            <val>全國</val>
          </value>
          <value t="str">
            <val>160.1</val>
          </value>
          <value t="str">
            <val>30.90</val>
          </value>
          <value t="str">
            <val>-11.21</val>
          </value>
          <value t="str">
            <val>-8.52</val>
          </value>
          <value t="str">
            <val>2022/09</val>
          </value>
          <value t="str">
            <val>0.20</val>
          </value>
          <value t="str">
            <val>0.05</val>
          </value>
          <value t="str">
            <val>2022/11</val>
          </value>
        </values>
      </ddeItem>
      <ddeItem name="9937.TW-OperatingProfitRatio,Price,PriceChangeRatio,InOutRatioNumber,Value,YearReturn,MonthReturn,WeekReturn,FinanceBalanceDif,ChipsField2" advise="1">
        <values cols="10">
          <value t="str">
            <val>3.02</val>
          </value>
          <value>
            <val>51.8</val>
          </value>
          <value>
            <val>-0.19</val>
          </value>
          <value t="str">
            <val>46.15%</val>
          </value>
          <value t="str">
            <val>135萬</val>
          </value>
          <value t="str">
            <val>+10.16</val>
          </value>
          <value t="str">
            <val>+1.97</val>
          </value>
          <value t="str">
            <val>-0.38</val>
          </value>
          <value>
            <val>10</val>
          </value>
          <value>
            <val>0</val>
          </value>
        </values>
      </ddeItem>
      <ddeItem name="9938.TW-ChipsField3,ChipsField1,ChipsField25,CashAndStockDividend,CashDividendYieldRate,ProfitFourSeason,ProfitSingle,CName,ExchangeIndustry,CompanyPos" advise="1">
        <values cols="10">
          <value>
            <val>-139</val>
          </value>
          <value>
            <val>233</val>
          </value>
          <value t="str">
            <val>2022/08/03</val>
          </value>
          <value t="str">
            <val>3.50</val>
          </value>
          <value>
            <val>6.22</val>
          </value>
          <value t="str">
            <val>6.26</val>
          </value>
          <value t="str">
            <val>1.34</val>
          </value>
          <value t="str">
            <val>百和</val>
          </value>
          <value t="str">
            <val>上市其他</val>
          </value>
          <value t="str">
            <val>全球最大黏扣帶製造商</val>
          </value>
        </values>
      </ddeItem>
      <ddeItem name="9938.TW-CName,InvestorConferenceDate,DateofMeetingofShareHolders,TradingDate" advise="1">
        <values cols="4">
          <value t="str">
            <val>百和</val>
          </value>
          <value t="str">
            <val>2022/04/14</val>
          </value>
          <value t="str">
            <val>2022/06/24</val>
          </value>
          <value t="str">
            <val>2022/12/22</val>
          </value>
        </values>
      </ddeItem>
      <ddeItem name="9938.TW-ID,Name,MarketValue,Capital,NetIncomeGrowthRate,OperIncomeGrowthRate,FinancialStatementsTime,TFXRatio,MonthlyNetSalesYoY,RevenueMonth" advise="1">
        <values cols="10">
          <value t="str">
            <val>9938</val>
          </value>
          <value t="str">
            <val>百和</val>
          </value>
          <value t="str">
            <val>167.8</val>
          </value>
          <value t="str">
            <val>29.80</val>
          </value>
          <value t="str">
            <val>-18.56</val>
          </value>
          <value t="str">
            <val>-26.93</val>
          </value>
          <value t="str">
            <val>2022/09</val>
          </value>
          <value t="str">
            <val>-5.65</val>
          </value>
          <value t="str">
            <val>-34.22</val>
          </value>
          <value t="str">
            <val>2022/11</val>
          </value>
        </values>
      </ddeItem>
      <ddeItem name="9938.TW-OperatingProfitRatio,Price,PriceChangeRatio,InOutRatioNumber,Value,YearReturn,MonthReturn,WeekReturn,FinanceBalanceDif,ChipsField2" advise="1">
        <values cols="10">
          <value t="str">
            <val>18.02</val>
          </value>
          <value>
            <val>56.3</val>
          </value>
          <value>
            <val>3.49</val>
          </value>
          <value t="str">
            <val>52.71%</val>
          </value>
          <value t="str">
            <val>2.69億</val>
          </value>
          <value t="str">
            <val>-26.22</val>
          </value>
          <value t="str">
            <val>+3.49</val>
          </value>
          <value t="str">
            <val>+2.55</val>
          </value>
          <value>
            <val>140</val>
          </value>
          <value>
            <val>120</val>
          </value>
        </values>
      </ddeItem>
      <ddeItem name="9939.TW-ChipsField3,ChipsField1,ChipsField25,CashAndStockDividend,CashDividendYieldRate,ProfitFourSeason,ProfitSingle,CName,ExchangeIndustry,CompanyPos" advise="1">
        <values cols="10">
          <value>
            <val>-295</val>
          </value>
          <value>
            <val>322</val>
          </value>
          <value t="str">
            <val>2022/07/06</val>
          </value>
          <value t="str">
            <val>4.30</val>
          </value>
          <value>
            <val>5.05</val>
          </value>
          <value t="str">
            <val>7.76</val>
          </value>
          <value t="str">
            <val>2.57</val>
          </value>
          <value t="str">
            <val>宏全</val>
          </value>
          <value t="str">
            <val>上市其他</val>
          </value>
          <value t="str">
            <val>台灣最大的飲料包材及飲料代工製造商</val>
          </value>
        </values>
      </ddeItem>
      <ddeItem name="9939.TW-CName,InvestorConferenceDate,DateofMeetingofShareHolders,TradingDate" advise="1">
        <values cols="4">
          <value t="str">
            <val>宏全</val>
          </value>
          <value t="str">
            <val>2022/08/17</val>
          </value>
          <value t="str">
            <val>2022/06/17</val>
          </value>
          <value t="str">
            <val>2022/12/22</val>
          </value>
        </values>
      </ddeItem>
      <ddeItem name="9939.TW-ID,Name,MarketValue,Capital,NetIncomeGrowthRate,OperIncomeGrowthRate,FinancialStatementsTime,TFXRatio,MonthlyNetSalesYoY,RevenueMonth" advise="1">
        <values cols="10">
          <value t="str">
            <val>9939</val>
          </value>
          <value t="str">
            <val>宏全</val>
          </value>
          <value t="str">
            <val>244.9</val>
          </value>
          <value t="str">
            <val>28.78</val>
          </value>
          <value t="str">
            <val>16.14</val>
          </value>
          <value t="str">
            <val>2.70</val>
          </value>
          <value t="str">
            <val>2022/09</val>
          </value>
          <value t="str">
            <val>3.10</val>
          </value>
          <value t="str">
            <val>13.05</val>
          </value>
          <value t="str">
            <val>2022/11</val>
          </value>
        </values>
      </ddeItem>
      <ddeItem name="9939.TW-OperatingProfitRatio,Price,PriceChangeRatio,InOutRatioNumber,Value,YearReturn,MonthReturn,WeekReturn,FinanceBalanceDif,ChipsField2" advise="1">
        <values cols="10">
          <value t="str">
            <val>12.90</val>
          </value>
          <value>
            <val>85.1</val>
          </value>
          <value>
            <val>1.31</val>
          </value>
          <value t="str">
            <val>48.71%</val>
          </value>
          <value t="str">
            <val>5970萬</val>
          </value>
          <value t="str">
            <val>+29.45</val>
          </value>
          <value t="str">
            <val>+3.28</val>
          </value>
          <value t="str">
            <val>-0.23</val>
          </value>
          <value>
            <val>76</val>
          </value>
          <value>
            <val>23</val>
          </value>
        </values>
      </ddeItem>
      <ddeItem name="9940.TW-ChipsField3,ChipsField1,ChipsField25,CashAndStockDividend,CashDividendYieldRate,ProfitFourSeason,ProfitSingle,CName,ExchangeIndustry,CompanyPos" advise="1">
        <values cols="10">
          <value>
            <val>-19</val>
          </value>
          <value>
            <val>2</val>
          </value>
          <value t="str">
            <val>2022/06/08</val>
          </value>
          <value t="str">
            <val>2.80</val>
          </value>
          <value>
            <val>10.28</val>
          </value>
          <value t="str">
            <val>2.26</val>
          </value>
          <value t="str">
            <val>0.27</val>
          </value>
          <value t="str">
            <val>信義</val>
          </value>
          <value t="str">
            <val>上市其他</val>
          </value>
          <value t="str">
            <val>台灣主要房仲業者</val>
          </value>
        </values>
      </ddeItem>
      <ddeItem name="9940.TW-CName,InvestorConferenceDate,DateofMeetingofShareHolders,TradingDate" advise="1">
        <values cols="4">
          <value t="str">
            <val>信義</val>
          </value>
          <value t="str">
            <val>2022/11/11</val>
          </value>
          <value t="str">
            <val>2022/05/19</val>
          </value>
          <value t="str">
            <val>2022/12/22</val>
          </value>
        </values>
      </ddeItem>
      <ddeItem name="9940.TW-ID,Name,MarketValue,Capital,NetIncomeGrowthRate,OperIncomeGrowthRate,FinancialStatementsTime,TFXRatio,MonthlyNetSalesYoY,RevenueMonth" advise="1">
        <values cols="10">
          <value t="str">
            <val>9940</val>
          </value>
          <value t="str">
            <val>信義</val>
          </value>
          <value t="str">
            <val>200.8</val>
          </value>
          <value t="str">
            <val>73.68</val>
          </value>
          <value t="str">
            <val>-40.81</val>
          </value>
          <value t="str">
            <val>-42.12</val>
          </value>
          <value t="str">
            <val>2022/09</val>
          </value>
          <value t="str">
            <val>-14.80</val>
          </value>
          <value t="str">
            <val>-55.85</val>
          </value>
          <value t="str">
            <val>2022/11</val>
          </value>
        </values>
      </ddeItem>
      <ddeItem name="9940.TW-OperatingProfitRatio,Price,PriceChangeRatio,InOutRatioNumber,Value,YearReturn,MonthReturn,WeekReturn,FinanceBalanceDif,ChipsField2" advise="1">
        <values cols="10">
          <value t="str">
            <val>12.02</val>
          </value>
          <value>
            <val>27.25</val>
          </value>
          <value>
            <val>1.68</val>
          </value>
          <value t="str">
            <val>41.58%</val>
          </value>
          <value t="str">
            <val>551萬</val>
          </value>
          <value t="str">
            <val>-18.59</val>
          </value>
          <value t="str">
            <val>-5.71</val>
          </value>
          <value t="str">
            <val>-4.05</val>
          </value>
          <value>
            <val>28</val>
          </value>
          <value>
            <val>-482</val>
          </value>
        </values>
      </ddeItem>
      <ddeItem name="9941.TW-ChipsField3,ChipsField1,ChipsField25,CashAndStockDividend,CashDividendYieldRate,ProfitFourSeason,ProfitSingle,CName,ExchangeIndustry,CompanyPos" advise="1">
        <values cols="10">
          <value>
            <val>-24</val>
          </value>
          <value>
            <val>215</val>
          </value>
          <value t="str">
            <val>2022/07/26</val>
          </value>
          <value t="str">
            <val>7.20</val>
          </value>
          <value>
            <val>4.5999999999999996</val>
          </value>
          <value t="str">
            <val>14.00</val>
          </value>
          <value t="str">
            <val>3.23</val>
          </value>
          <value t="str">
            <val>裕融</val>
          </value>
          <value t="str">
            <val>上市其他</val>
          </value>
          <value t="str">
            <val>裕隆集團旗下汽車融資業者</val>
          </value>
        </values>
      </ddeItem>
      <ddeItem name="9941.TW-CName,InvestorConferenceDate,DateofMeetingofShareHolders,TradingDate" advise="1">
        <values cols="4">
          <value t="str">
            <val>裕融</val>
          </value>
          <value t="str">
            <val>2022/11/17</val>
          </value>
          <value t="str">
            <val>2022/06/21</val>
          </value>
          <value t="str">
            <val>2022/12/22</val>
          </value>
        </values>
      </ddeItem>
      <ddeItem name="9941.TW-ID,Name,MarketValue,Capital,NetIncomeGrowthRate,OperIncomeGrowthRate,FinancialStatementsTime,TFXRatio,MonthlyNetSalesYoY,RevenueMonth" advise="1">
        <values cols="10">
          <value t="str">
            <val>9941</val>
          </value>
          <value t="str">
            <val>裕融</val>
          </value>
          <value t="str">
            <val>778.0</val>
          </value>
          <value t="str">
            <val>49.71</val>
          </value>
          <value t="str">
            <val>22.56</val>
          </value>
          <value t="str">
            <val>37.04</val>
          </value>
          <value t="str">
            <val>2022/09</val>
          </value>
          <value t="str">
            <val>2.93</val>
          </value>
          <value t="str">
            <val>19.04</val>
          </value>
          <value t="str">
            <val>2022/11</val>
          </value>
        </values>
      </ddeItem>
      <ddeItem name="9941.TW-OperatingProfitRatio,Price,PriceChangeRatio,InOutRatioNumber,Value,YearReturn,MonthReturn,WeekReturn,FinanceBalanceDif,ChipsField2" advise="1">
        <values cols="10">
          <value t="str">
            <val>25.66</val>
          </value>
          <value>
            <val>156.5</val>
          </value>
          <value>
            <val>0.97</val>
          </value>
          <value t="str">
            <val>51.25%</val>
          </value>
          <value t="str">
            <val>5731萬</val>
          </value>
          <value t="str">
            <val>+10.88</val>
          </value>
          <value t="str">
            <val>+5.74</val>
          </value>
          <value t="str">
            <val>-1.26</val>
          </value>
          <value>
            <val>-1</val>
          </value>
          <value>
            <val>0</val>
          </value>
        </values>
      </ddeItem>
      <ddeItem name="9942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0</val>
          </value>
          <value t="str">
            <val>2022/08/09</val>
          </value>
          <value t="str">
            <val>5.00</val>
          </value>
          <value>
            <val>4.67</val>
          </value>
          <value t="str">
            <val>6.98</val>
          </value>
          <value t="str">
            <val>2.50</val>
          </value>
          <value t="str">
            <val>茂順</val>
          </value>
          <value t="str">
            <val>上市其他</val>
          </value>
          <value t="str">
            <val>台灣第一大、全球前五大密封元件製造商</val>
          </value>
        </values>
      </ddeItem>
      <ddeItem name="9942.TW-CName,InvestorConferenceDate,DateofMeetingofShareHolders,TradingDate" advise="1">
        <values cols="4">
          <value t="str">
            <val>茂順</val>
          </value>
          <value t="str">
            <val>2022/12/15</val>
          </value>
          <value t="str">
            <val>2022/06/09</val>
          </value>
          <value t="str">
            <val>2022/12/22</val>
          </value>
        </values>
      </ddeItem>
      <ddeItem name="9942.TW-ID,Name,MarketValue,Capital,NetIncomeGrowthRate,OperIncomeGrowthRate,FinancialStatementsTime,TFXRatio,MonthlyNetSalesYoY,RevenueMonth" advise="1">
        <values cols="10">
          <value t="str">
            <val>9942</val>
          </value>
          <value t="str">
            <val>茂順</val>
          </value>
          <value t="str">
            <val>89.0</val>
          </value>
          <value t="str">
            <val>8.32</val>
          </value>
          <value t="str">
            <val>8.93</val>
          </value>
          <value t="str">
            <val>-5.11</val>
          </value>
          <value t="str">
            <val>2022/09</val>
          </value>
          <value t="str">
            <val>6.76</val>
          </value>
          <value t="str">
            <val>17.72</val>
          </value>
          <value t="str">
            <val>2022/11</val>
          </value>
        </values>
      </ddeItem>
      <ddeItem name="9942.TW-OperatingProfitRatio,Price,PriceChangeRatio,InOutRatioNumber,Value,YearReturn,MonthReturn,WeekReturn,FinanceBalanceDif,ChipsField2" advise="1">
        <values cols="10">
          <value t="str">
            <val>19.47</val>
          </value>
          <value>
            <val>107</val>
          </value>
          <value>
            <val>0.94</val>
          </value>
          <value t="str">
            <val>49.28%</val>
          </value>
          <value t="str">
            <val>2313萬</val>
          </value>
          <value t="str">
            <val>+25.47</val>
          </value>
          <value t="str">
            <val>-5.31</val>
          </value>
          <value t="str">
            <val>0.00</val>
          </value>
          <value>
            <val>-13</val>
          </value>
          <value>
            <val>45</val>
          </value>
        </values>
      </ddeItem>
      <ddeItem name="9943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-1</val>
          </value>
          <value t="str">
            <val>2022/07/04</val>
          </value>
          <value t="str">
            <val>0.50</val>
          </value>
          <value>
            <val>0.8</val>
          </value>
          <value t="str">
            <val>3.57</val>
          </value>
          <value t="str">
            <val>1.26</val>
          </value>
          <value t="str">
            <val>好樂迪</val>
          </value>
          <value t="str">
            <val>上市觀光</val>
          </value>
          <value t="str">
            <val>台灣知名KTV業者</val>
          </value>
        </values>
      </ddeItem>
      <ddeItem name="9943.TW-CName,InvestorConferenceDate,DateofMeetingofShareHolders,TradingDate" advise="1">
        <values cols="4">
          <value t="str">
            <val>好樂迪</val>
          </value>
          <value t="str">
            <val>2022/12/07</val>
          </value>
          <value t="str">
            <val>2022/06/16</val>
          </value>
          <value t="str">
            <val>2022/12/22</val>
          </value>
        </values>
      </ddeItem>
      <ddeItem name="9943.TW-ID,Name,MarketValue,Capital,NetIncomeGrowthRate,OperIncomeGrowthRate,FinancialStatementsTime,TFXRatio,MonthlyNetSalesYoY,RevenueMonth" advise="1">
        <values cols="10">
          <value t="str">
            <val>9943</val>
          </value>
          <value t="str">
            <val>好樂迪</val>
          </value>
          <value t="str">
            <val>78.4</val>
          </value>
          <value t="str">
            <val>12.52</val>
          </value>
          <value t="str">
            <val>316.23</val>
          </value>
          <value t="str">
            <val>203.33</val>
          </value>
          <value t="str">
            <val>2022/09</val>
          </value>
          <value t="str">
            <val>-10.03</val>
          </value>
          <value t="str">
            <val>-13.18</val>
          </value>
          <value t="str">
            <val>2022/11</val>
          </value>
        </values>
      </ddeItem>
      <ddeItem name="9943.TW-OperatingProfitRatio,Price,PriceChangeRatio,InOutRatioNumber,Value,YearReturn,MonthReturn,WeekReturn,FinanceBalanceDif,ChipsField2" advise="1">
        <values cols="10">
          <value t="str">
            <val>9.69</val>
          </value>
          <value>
            <val>62.6</val>
          </value>
          <value>
            <val>0.16</val>
          </value>
          <value t="str">
            <val>23.08%</val>
          </value>
          <value t="str">
            <val>81.3萬</val>
          </value>
          <value t="str">
            <val>-8.57</val>
          </value>
          <value t="str">
            <val>+3.81</val>
          </value>
          <value t="str">
            <val>-0.16</val>
          </value>
          <value>
            <val>0</val>
          </value>
          <value>
            <val>0</val>
          </value>
        </values>
      </ddeItem>
      <ddeItem name="9944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5</val>
          </value>
          <value t="str">
            <val>2022/06/21</val>
          </value>
          <value t="str">
            <val>1.00</val>
          </value>
          <value>
            <val>4.93</val>
          </value>
          <value t="str">
            <val>4.85</val>
          </value>
          <value t="str">
            <val>-0.25</val>
          </value>
          <value t="str">
            <val>新麗</val>
          </value>
          <value t="str">
            <val>上市其他</val>
          </value>
          <value t="str">
            <val>東南亞最大的樹脂棉製造商之一</val>
          </value>
        </values>
      </ddeItem>
      <ddeItem name="9944.TW-CName,InvestorConferenceDate,DateofMeetingofShareHolders,TradingDate" advise="1">
        <values cols="4">
          <value t="str">
            <val>新麗</val>
          </value>
          <value t="str">
            <val>2022/10/26</val>
          </value>
          <value t="str">
            <val>2022/06/17</val>
          </value>
          <value t="str">
            <val>2022/12/22</val>
          </value>
        </values>
      </ddeItem>
      <ddeItem name="9944.TW-ID,Name,MarketValue,Capital,NetIncomeGrowthRate,OperIncomeGrowthRate,FinancialStatementsTime,TFXRatio,MonthlyNetSalesYoY,RevenueMonth" advise="1">
        <values cols="10">
          <value t="str">
            <val>9944</val>
          </value>
          <value t="str">
            <val>新麗</val>
          </value>
          <value t="str">
            <val>22.1</val>
          </value>
          <value t="str">
            <val>10.91</val>
          </value>
          <value t="str">
            <val>5.30</val>
          </value>
          <value t="str">
            <val>11.25</val>
          </value>
          <value t="str">
            <val>2022/09</val>
          </value>
          <value t="str">
            <val>9.56</val>
          </value>
          <value t="str">
            <val>-3.71</val>
          </value>
          <value t="str">
            <val>2022/11</val>
          </value>
        </values>
      </ddeItem>
      <ddeItem name="9944.TW-OperatingProfitRatio,Price,PriceChangeRatio,InOutRatioNumber,Value,YearReturn,MonthReturn,WeekReturn,FinanceBalanceDif,ChipsField2" advise="1">
        <values cols="10">
          <value t="str">
            <val>5.70</val>
          </value>
          <value>
            <val>20.3</val>
          </value>
          <value>
            <val>-0.49</val>
          </value>
          <value t="str">
            <val>20.83%</val>
          </value>
          <value t="str">
            <val>133萬</val>
          </value>
          <value t="str">
            <val>-11.18</val>
          </value>
          <value t="str">
            <val>+0.25</val>
          </value>
          <value t="str">
            <val>-0.98</val>
          </value>
          <value>
            <val>3</val>
          </value>
          <value>
            <val>0</val>
          </value>
        </values>
      </ddeItem>
      <ddeItem name="9945.TW-ChipsField3,ChipsField1,ChipsField25,CashAndStockDividend,CashDividendYieldRate,ProfitFourSeason,ProfitSingle,CName,ExchangeIndustry,CompanyPos" advise="1">
        <values cols="10">
          <value>
            <val>-602</val>
          </value>
          <value>
            <val>1482</val>
          </value>
          <value t="str">
            <val>2022/08/12</val>
          </value>
          <value t="str">
            <val>7.00</val>
          </value>
          <value>
            <val>15.78</val>
          </value>
          <value t="str">
            <val>6.72</val>
          </value>
          <value t="str">
            <val>1.47</val>
          </value>
          <value t="str">
            <val>潤泰新</val>
          </value>
          <value t="str">
            <val>上市其他</val>
          </value>
          <value t="str">
            <val>潤泰旗下轉投量販業之建商</val>
          </value>
        </values>
      </ddeItem>
      <ddeItem name="9945.TW-CName,InvestorConferenceDate,DateofMeetingofShareHolders,TradingDate" advise="1">
        <values cols="4">
          <value t="str">
            <val>潤泰新</val>
          </value>
          <value t="str">
            <val>2022/04/13</val>
          </value>
          <value t="str">
            <val>2022/06/15</val>
          </value>
          <value t="str">
            <val>2022/12/22</val>
          </value>
        </values>
      </ddeItem>
      <ddeItem name="9945.TW-ID,Name,MarketValue,Capital,NetIncomeGrowthRate,OperIncomeGrowthRate,FinancialStatementsTime,TFXRatio,MonthlyNetSalesYoY,RevenueMonth" advise="1">
        <values cols="10">
          <value t="str">
            <val>9945</val>
          </value>
          <value t="str">
            <val>潤泰新</val>
          </value>
          <value t="str">
            <val>1401.6</val>
          </value>
          <value t="str">
            <val>316.03</val>
          </value>
          <value t="str">
            <val>-5.90</val>
          </value>
          <value t="str">
            <val>6.78</val>
          </value>
          <value t="str">
            <val>2022/09</val>
          </value>
          <value t="str">
            <val>16.39</val>
          </value>
          <value t="str">
            <val>41.34</val>
          </value>
          <value t="str">
            <val>2022/11</val>
          </value>
        </values>
      </ddeItem>
      <ddeItem name="9945.TW-OperatingProfitRatio,Price,PriceChangeRatio,InOutRatioNumber,Value,YearReturn,MonthReturn,WeekReturn,FinanceBalanceDif,ChipsField2" advise="1">
        <values cols="10">
          <value t="str">
            <val>15.34</val>
          </value>
          <value>
            <val>44.35</val>
          </value>
          <value>
            <val>2.78</val>
          </value>
          <value t="str">
            <val>54.26%</val>
          </value>
          <value t="str">
            <val>2.45億</val>
          </value>
          <value t="str">
            <val>+10.02</val>
          </value>
          <value t="str">
            <val>+0.57</val>
          </value>
          <value t="str">
            <val>-1.44</val>
          </value>
          <value>
            <val>101</val>
          </value>
          <value>
            <val>0</val>
          </value>
        </values>
      </ddeItem>
      <ddeItem name="9946.TW-ChipsField3,ChipsField1,ChipsField25,CashAndStockDividend,CashDividendYieldRate,ProfitFourSeason,ProfitSingle,CName,ExchangeIndustry,CompanyPos" advise="1">
        <values cols="10">
          <value>
            <val>-1</val>
          </value>
          <value>
            <val>2</val>
          </value>
          <value t="str">
            <val>2022/09/21</val>
          </value>
          <value t="str">
            <val>0.68</val>
          </value>
          <value>
            <val>5.57</val>
          </value>
          <value t="str">
            <val>0.52</val>
          </value>
          <value t="str">
            <val>0.20</val>
          </value>
          <value t="str">
            <val>三發地產</val>
          </value>
          <value t="str">
            <val>上市建材營造</val>
          </value>
          <value t="str">
            <val>高雄名發建設入主，轉型建商</val>
          </value>
        </values>
      </ddeItem>
      <ddeItem name="9946.TW-CName,InvestorConferenceDate,DateofMeetingofShareHolders,TradingDate" advise="1">
        <values cols="4">
          <value t="str">
            <val>三發地產</val>
          </value>
          <value t="str">
            <val>2022/12/12</val>
          </value>
          <value t="str">
            <val>2022/06/30</val>
          </value>
          <value t="str">
            <val>2022/12/22</val>
          </value>
        </values>
      </ddeItem>
      <ddeItem name="9946.TW-ID,Name,MarketValue,Capital,NetIncomeGrowthRate,OperIncomeGrowthRate,FinancialStatementsTime,TFXRatio,MonthlyNetSalesYoY,RevenueMonth" advise="1">
        <values cols="10">
          <value t="str">
            <val>9946</val>
          </value>
          <value t="str">
            <val>三發地產</val>
          </value>
          <value t="str">
            <val>39.8</val>
          </value>
          <value t="str">
            <val>32.66</val>
          </value>
          <value t="str">
            <val>-34.83</val>
          </value>
          <value t="str">
            <val>-11.45</val>
          </value>
          <value t="str">
            <val>2022/09</val>
          </value>
          <value t="str">
            <val>40.70</val>
          </value>
          <value t="str">
            <val>-5.73</val>
          </value>
          <value t="str">
            <val>2022/11</val>
          </value>
        </values>
      </ddeItem>
      <ddeItem name="9946.TW-OperatingProfitRatio,Price,PriceChangeRatio,InOutRatioNumber,Value,YearReturn,MonthReturn,WeekReturn,FinanceBalanceDif,ChipsField2" advise="1">
        <values cols="10">
          <value t="str">
            <val>7.21</val>
          </value>
          <value>
            <val>12.2</val>
          </value>
          <value>
            <val>-0.41</val>
          </value>
          <value t="str">
            <val>32.14%</val>
          </value>
          <value t="str">
            <val>34.1萬</val>
          </value>
          <value t="str">
            <val>-13.25</val>
          </value>
          <value t="str">
            <val>+4.27</val>
          </value>
          <value t="str">
            <val>-1.61</val>
          </value>
          <value>
            <val>0</val>
          </value>
          <value>
            <val>0</val>
          </value>
        </values>
      </ddeItem>
      <ddeItem name="9955.TW-ChipsField3,ChipsField1,ChipsField25,CashAndStockDividend,CashDividendYieldRate,ProfitFourSeason,ProfitSingle,CName,ExchangeIndustry,CompanyPos" advise="1">
        <values cols="10">
          <value>
            <val>0</val>
          </value>
          <value>
            <val>27</val>
          </value>
          <value t="str">
            <val>--</val>
          </value>
          <value t="str">
            <val>0.00</val>
          </value>
          <value>
            <val>0</val>
          </value>
          <value t="str">
            <val>-1.01</val>
          </value>
          <value t="str">
            <val>-0.29</val>
          </value>
          <value t="str">
            <val>佳龍</val>
          </value>
          <value t="str">
            <val>上市其他</val>
          </value>
          <value t="str">
            <val>台灣一貫化電子廢棄物處理廠</val>
          </value>
        </values>
      </ddeItem>
      <ddeItem name="9955.TW-CName,InvestorConferenceDate,DateofMeetingofShareHolders,TradingDate" advise="1">
        <values cols="4">
          <value t="str">
            <val>佳龍</val>
          </value>
          <value t="str">
            <val>2021/12/24</val>
          </value>
          <value t="str">
            <val>2022/06/14</val>
          </value>
          <value t="str">
            <val>2022/12/22</val>
          </value>
        </values>
      </ddeItem>
      <ddeItem name="9955.TW-ID,Name,MarketValue,Capital,NetIncomeGrowthRate,OperIncomeGrowthRate,FinancialStatementsTime,TFXRatio,MonthlyNetSalesYoY,RevenueMonth" advise="1">
        <values cols="10">
          <value t="str">
            <val>9955</val>
          </value>
          <value t="str">
            <val>佳龍</val>
          </value>
          <value t="str">
            <val>21.9</val>
          </value>
          <value t="str">
            <val>10.32</val>
          </value>
          <value t="str">
            <val>-8.53</val>
          </value>
          <value t="str">
            <val>-43.50</val>
          </value>
          <value t="str">
            <val>2022/09</val>
          </value>
          <value t="str">
            <val>13.20</val>
          </value>
          <value t="str">
            <val>-27.66</val>
          </value>
          <value t="str">
            <val>2022/11</val>
          </value>
        </values>
      </ddeItem>
      <ddeItem name="9955.TW-OperatingProfitRatio,Price,PriceChangeRatio,InOutRatioNumber,Value,YearReturn,MonthReturn,WeekReturn,FinanceBalanceDif,ChipsField2" advise="1">
        <values cols="10">
          <value t="str">
            <val>-8.46</val>
          </value>
          <value>
            <val>21.2</val>
          </value>
          <value>
            <val>-0.24</val>
          </value>
          <value t="str">
            <val>42.59%</val>
          </value>
          <value t="str">
            <val>695萬</val>
          </value>
          <value t="str">
            <val>+23.62</val>
          </value>
          <value t="str">
            <val>+15.53</val>
          </value>
          <value t="str">
            <val>-0.24</val>
          </value>
          <value>
            <val>-27</val>
          </value>
          <value>
            <val>0</val>
          </value>
        </values>
      </ddeItem>
      <ddeItem name="9958.TW-ChipsField3,ChipsField1,ChipsField25,CashAndStockDividend,CashDividendYieldRate,ProfitFourSeason,ProfitSingle,CName,ExchangeIndustry,CompanyPos" advise="1">
        <values cols="10">
          <value>
            <val>27</val>
          </value>
          <value>
            <val>640</val>
          </value>
          <value t="str">
            <val>2022/09/20</val>
          </value>
          <value t="str">
            <val>2.99</val>
          </value>
          <value>
            <val>3.32</val>
          </value>
          <value t="str">
            <val>3.00</val>
          </value>
          <value t="str">
            <val>0.68</val>
          </value>
          <value t="str">
            <val>世紀鋼</val>
          </value>
          <value t="str">
            <val>上市鋼鐵</val>
          </value>
          <value t="str">
            <val>主要承建電子產業鋼構工程之廠商</val>
          </value>
        </values>
      </ddeItem>
      <ddeItem name="9958.TW-CName,InvestorConferenceDate,DateofMeetingofShareHolders,TradingDate" advise="1">
        <values cols="4">
          <value t="str">
            <val>世紀鋼</val>
          </value>
          <value t="str">
            <val>--</val>
          </value>
          <value t="str">
            <val>2022/06/24</val>
          </value>
          <value t="str">
            <val>2022/12/22</val>
          </value>
        </values>
      </ddeItem>
      <ddeItem name="9958.TW-ID,Name,MarketValue,Capital,NetIncomeGrowthRate,OperIncomeGrowthRate,FinancialStatementsTime,TFXRatio,MonthlyNetSalesYoY,RevenueMonth" advise="1">
        <values cols="10">
          <value t="str">
            <val>9958</val>
          </value>
          <value t="str">
            <val>世紀鋼</val>
          </value>
          <value t="str">
            <val>209.1</val>
          </value>
          <value t="str">
            <val>23.24</val>
          </value>
          <value t="str">
            <val>-64.51</val>
          </value>
          <value t="str">
            <val>-73.01</val>
          </value>
          <value t="str">
            <val>2022/09</val>
          </value>
          <value t="str">
            <val>3.53</val>
          </value>
          <value t="str">
            <val>-5.70</val>
          </value>
          <value t="str">
            <val>2022/11</val>
          </value>
        </values>
      </ddeItem>
      <ddeItem name="9958.TW-OperatingProfitRatio,Price,PriceChangeRatio,InOutRatioNumber,Value,YearReturn,MonthReturn,WeekReturn,FinanceBalanceDif,ChipsField2" advise="1">
        <values cols="10">
          <value t="str">
            <val>6.66</val>
          </value>
          <value>
            <val>90</val>
          </value>
          <value>
            <val>7.53</val>
          </value>
          <value t="str">
            <val>71.66%</val>
          </value>
          <value t="str">
            <val>5.76億</val>
          </value>
          <value t="str">
            <val>-18.02</val>
          </value>
          <value t="str">
            <val>+4.29</val>
          </value>
          <value t="str">
            <val>-0.33</val>
          </value>
          <value>
            <val>-110</val>
          </value>
          <value>
            <val>0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39CB-4C7B-4DF7-885B-4DA735125C00}">
  <dimension ref="A1:AH969"/>
  <sheetViews>
    <sheetView tabSelected="1" topLeftCell="S946" workbookViewId="0">
      <selection activeCell="AE969" sqref="AE969:AH969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tr">
        <f t="array" ref="A2:J2">[1]!'1101.TW-ID,Name,MarketValue,Capital,NetIncomeGrowthRate,OperIncomeGrowthRate,FinancialStatementsTime,TFXRatio,MonthlyNetSalesYoY,RevenueMonth'</f>
        <v>1101</v>
      </c>
      <c r="B2" t="str">
        <v>台泥</v>
      </c>
      <c r="C2" t="str">
        <v>2465.3</v>
      </c>
      <c r="D2" t="str">
        <v>715.62</v>
      </c>
      <c r="E2" t="str">
        <v>-90.43</v>
      </c>
      <c r="F2" t="str">
        <v>-107.76</v>
      </c>
      <c r="G2" t="str">
        <v>2022/09</v>
      </c>
      <c r="H2" t="str">
        <v>-14.90</v>
      </c>
      <c r="I2" t="str">
        <v>-0.80</v>
      </c>
      <c r="J2" t="str">
        <v>2022/11</v>
      </c>
      <c r="K2" t="str">
        <f t="array" ref="K2:T2">[1]!'1101.TW-OperatingProfitRatio,Price,PriceChangeRatio,InOutRatioNumber,Value,YearReturn,MonthReturn,WeekReturn,FinanceBalanceDif,ChipsField2'</f>
        <v>-1.48</v>
      </c>
      <c r="L2">
        <v>34.450000000000003</v>
      </c>
      <c r="M2">
        <v>1.17</v>
      </c>
      <c r="N2" t="str">
        <v>57.21%</v>
      </c>
      <c r="O2" t="str">
        <v>24.6億</v>
      </c>
      <c r="P2" t="str">
        <v>-17.83</v>
      </c>
      <c r="Q2" t="str">
        <v>+4.87</v>
      </c>
      <c r="R2" t="str">
        <v>+2.84</v>
      </c>
      <c r="S2">
        <v>-324</v>
      </c>
      <c r="T2">
        <v>-38056</v>
      </c>
      <c r="U2">
        <f t="array" ref="U2:AD2">[1]!'1101.TW-ChipsField3,ChipsField1,ChipsField25,CashAndStockDividend,CashDividendYieldRate,ProfitFourSeason,ProfitSingle,CName,ExchangeIndustry,CompanyPos'</f>
        <v>-92</v>
      </c>
      <c r="V2">
        <v>40825</v>
      </c>
      <c r="W2" t="str">
        <v>2022/07/21</v>
      </c>
      <c r="X2" t="str">
        <v>2.00</v>
      </c>
      <c r="Y2">
        <v>5.81</v>
      </c>
      <c r="Z2" t="str">
        <v>1.30</v>
      </c>
      <c r="AA2" t="str">
        <v>0.17</v>
      </c>
      <c r="AB2" t="str">
        <v>台泥</v>
      </c>
      <c r="AC2" t="str">
        <v>上市水泥</v>
      </c>
      <c r="AD2" t="str">
        <v>台灣最大水泥廠</v>
      </c>
      <c r="AE2" t="str">
        <f t="array" ref="AE2:AH2">[1]!'1101.TW-CName,InvestorConferenceDate,DateofMeetingofShareHolders,TradingDate'</f>
        <v>台泥</v>
      </c>
      <c r="AF2" t="str">
        <v>2022/11/14</v>
      </c>
      <c r="AG2" t="str">
        <v>2022/05/26</v>
      </c>
      <c r="AH2" t="str">
        <v>2022/12/22</v>
      </c>
    </row>
    <row r="3" spans="1:34" x14ac:dyDescent="0.3">
      <c r="A3" t="str">
        <f t="array" ref="A3:J3">[1]!'1102.TW-ID,Name,MarketValue,Capital,NetIncomeGrowthRate,OperIncomeGrowthRate,FinancialStatementsTime,TFXRatio,MonthlyNetSalesYoY,RevenueMonth'</f>
        <v>1102</v>
      </c>
      <c r="B3" t="str">
        <v>亞泥</v>
      </c>
      <c r="C3" t="str">
        <v>1469.8</v>
      </c>
      <c r="D3" t="str">
        <v>354.59</v>
      </c>
      <c r="E3" t="str">
        <v>-7.99</v>
      </c>
      <c r="F3" t="str">
        <v>-40.18</v>
      </c>
      <c r="G3" t="str">
        <v>2022/09</v>
      </c>
      <c r="H3" t="str">
        <v>9.27</v>
      </c>
      <c r="I3" t="str">
        <v>-7.56</v>
      </c>
      <c r="J3" t="str">
        <v>2022/11</v>
      </c>
      <c r="K3" t="str">
        <f t="array" ref="K3:T3">[1]!'1102.TW-OperatingProfitRatio,Price,PriceChangeRatio,InOutRatioNumber,Value,YearReturn,MonthReturn,WeekReturn,FinanceBalanceDif,ChipsField2'</f>
        <v>11.21</v>
      </c>
      <c r="L3">
        <v>41.45</v>
      </c>
      <c r="M3">
        <v>2.2200000000000002</v>
      </c>
      <c r="N3" t="str">
        <v>30.07%</v>
      </c>
      <c r="O3" t="str">
        <v>14.0億</v>
      </c>
      <c r="P3" t="str">
        <v>+2.59</v>
      </c>
      <c r="Q3" t="str">
        <v>+0.97</v>
      </c>
      <c r="R3" t="str">
        <v>+0.61</v>
      </c>
      <c r="S3">
        <v>38</v>
      </c>
      <c r="T3">
        <v>-21855</v>
      </c>
      <c r="U3">
        <f t="array" ref="U3:AD3">[1]!'1102.TW-ChipsField3,ChipsField1,ChipsField25,CashAndStockDividend,CashDividendYieldRate,ProfitFourSeason,ProfitSingle,CName,ExchangeIndustry,CompanyPos'</f>
        <v>74</v>
      </c>
      <c r="V3">
        <v>17777</v>
      </c>
      <c r="W3" t="str">
        <v>2022/07/28</v>
      </c>
      <c r="X3" t="str">
        <v>3.40</v>
      </c>
      <c r="Y3">
        <v>8.1999999999999993</v>
      </c>
      <c r="Z3" t="str">
        <v>4.69</v>
      </c>
      <c r="AA3" t="str">
        <v>1.33</v>
      </c>
      <c r="AB3" t="str">
        <v>亞泥</v>
      </c>
      <c r="AC3" t="str">
        <v>上市水泥</v>
      </c>
      <c r="AD3" t="str">
        <v>台灣前二大水泥廠</v>
      </c>
      <c r="AE3" t="str">
        <f t="array" ref="AE3:AH3">[1]!'1102.TW-CName,InvestorConferenceDate,DateofMeetingofShareHolders,TradingDate'</f>
        <v>亞泥</v>
      </c>
      <c r="AF3" t="str">
        <v>2022/09/14</v>
      </c>
      <c r="AG3" t="str">
        <v>2022/06/29</v>
      </c>
      <c r="AH3" t="str">
        <v>2022/12/22</v>
      </c>
    </row>
    <row r="4" spans="1:34" x14ac:dyDescent="0.3">
      <c r="A4" t="str">
        <f t="array" ref="A4:J4">[1]!'1103.TW-ID,Name,MarketValue,Capital,NetIncomeGrowthRate,OperIncomeGrowthRate,FinancialStatementsTime,TFXRatio,MonthlyNetSalesYoY,RevenueMonth'</f>
        <v>1103</v>
      </c>
      <c r="B4" t="str">
        <v>嘉泥</v>
      </c>
      <c r="C4" t="str">
        <v>136.4</v>
      </c>
      <c r="D4" t="str">
        <v>77.48</v>
      </c>
      <c r="E4" t="str">
        <v>-130.93</v>
      </c>
      <c r="F4" t="str">
        <v>26.22</v>
      </c>
      <c r="G4" t="str">
        <v>2022/09</v>
      </c>
      <c r="H4" t="str">
        <v>5.89</v>
      </c>
      <c r="I4" t="str">
        <v>12.13</v>
      </c>
      <c r="J4" t="str">
        <v>2022/11</v>
      </c>
      <c r="K4" t="str">
        <f t="array" ref="K4:T4">[1]!'1103.TW-OperatingProfitRatio,Price,PriceChangeRatio,InOutRatioNumber,Value,YearReturn,MonthReturn,WeekReturn,FinanceBalanceDif,ChipsField2'</f>
        <v>-20.34</v>
      </c>
      <c r="L4">
        <v>17.600000000000001</v>
      </c>
      <c r="M4">
        <v>0.86</v>
      </c>
      <c r="N4" t="str">
        <v>26.26%</v>
      </c>
      <c r="O4" t="str">
        <v>173萬</v>
      </c>
      <c r="P4" t="str">
        <v>-10.69</v>
      </c>
      <c r="Q4" t="str">
        <v>+2.33</v>
      </c>
      <c r="R4" t="str">
        <v>-0.56</v>
      </c>
      <c r="S4">
        <v>21</v>
      </c>
      <c r="T4">
        <v>0</v>
      </c>
      <c r="U4">
        <f t="array" ref="U4:AD4">[1]!'1103.TW-ChipsField3,ChipsField1,ChipsField25,CashAndStockDividend,CashDividendYieldRate,ProfitFourSeason,ProfitSingle,CName,ExchangeIndustry,CompanyPos'</f>
        <v>-18</v>
      </c>
      <c r="V4">
        <v>44</v>
      </c>
      <c r="W4" t="str">
        <v>2022/08/04</v>
      </c>
      <c r="X4" t="str">
        <v>0.65</v>
      </c>
      <c r="Y4">
        <v>3.69</v>
      </c>
      <c r="Z4" t="str">
        <v>-0.24</v>
      </c>
      <c r="AA4" t="str">
        <v>0.41</v>
      </c>
      <c r="AB4" t="str">
        <v>嘉泥</v>
      </c>
      <c r="AC4" t="str">
        <v>上市水泥</v>
      </c>
      <c r="AD4" t="str">
        <v>轉型為水泥通路貿易商</v>
      </c>
      <c r="AE4" t="str">
        <f t="array" ref="AE4:AH4">[1]!'1103.TW-CName,InvestorConferenceDate,DateofMeetingofShareHolders,TradingDate'</f>
        <v>嘉泥</v>
      </c>
      <c r="AF4" t="str">
        <v>2022/12/16</v>
      </c>
      <c r="AG4" t="str">
        <v>2022/06/14</v>
      </c>
      <c r="AH4" t="str">
        <v>2022/12/22</v>
      </c>
    </row>
    <row r="5" spans="1:34" x14ac:dyDescent="0.3">
      <c r="A5" t="str">
        <f t="array" ref="A5:J5">[1]!'1104.TW-ID,Name,MarketValue,Capital,NetIncomeGrowthRate,OperIncomeGrowthRate,FinancialStatementsTime,TFXRatio,MonthlyNetSalesYoY,RevenueMonth'</f>
        <v>1104</v>
      </c>
      <c r="B5" t="str">
        <v>環泥</v>
      </c>
      <c r="C5" t="str">
        <v>145.8</v>
      </c>
      <c r="D5" t="str">
        <v>65.36</v>
      </c>
      <c r="E5" t="str">
        <v>94.83</v>
      </c>
      <c r="F5" t="str">
        <v>21.01</v>
      </c>
      <c r="G5" t="str">
        <v>2022/09</v>
      </c>
      <c r="H5" t="str">
        <v>-0.50</v>
      </c>
      <c r="I5" t="str">
        <v>6.68</v>
      </c>
      <c r="J5" t="str">
        <v>2022/11</v>
      </c>
      <c r="K5" t="str">
        <f t="array" ref="K5:T5">[1]!'1104.TW-OperatingProfitRatio,Price,PriceChangeRatio,InOutRatioNumber,Value,YearReturn,MonthReturn,WeekReturn,FinanceBalanceDif,ChipsField2'</f>
        <v>10.88</v>
      </c>
      <c r="L5">
        <v>22.3</v>
      </c>
      <c r="M5">
        <v>0.45</v>
      </c>
      <c r="N5" t="str">
        <v>53.33%</v>
      </c>
      <c r="O5" t="str">
        <v>349萬</v>
      </c>
      <c r="P5" t="str">
        <v>+8.07</v>
      </c>
      <c r="Q5" t="str">
        <v>+3.48</v>
      </c>
      <c r="R5" t="str">
        <v>-1.76</v>
      </c>
      <c r="S5">
        <v>3</v>
      </c>
      <c r="T5">
        <v>0</v>
      </c>
      <c r="U5">
        <f t="array" ref="U5:AD5">[1]!'1104.TW-ChipsField3,ChipsField1,ChipsField25,CashAndStockDividend,CashDividendYieldRate,ProfitFourSeason,ProfitSingle,CName,ExchangeIndustry,CompanyPos'</f>
        <v>-27</v>
      </c>
      <c r="V5">
        <v>94</v>
      </c>
      <c r="W5" t="str">
        <v>2022/07/26</v>
      </c>
      <c r="X5" t="str">
        <v>1.00</v>
      </c>
      <c r="Y5">
        <v>4.4800000000000004</v>
      </c>
      <c r="Z5" t="str">
        <v>2.75</v>
      </c>
      <c r="AA5" t="str">
        <v>0.87</v>
      </c>
      <c r="AB5" t="str">
        <v>環泥</v>
      </c>
      <c r="AC5" t="str">
        <v>上市水泥</v>
      </c>
      <c r="AD5" t="str">
        <v>台灣最大石膏板供應商</v>
      </c>
      <c r="AE5" t="str">
        <f t="array" ref="AE5:AH5">[1]!'1104.TW-CName,InvestorConferenceDate,DateofMeetingofShareHolders,TradingDate'</f>
        <v>環泥</v>
      </c>
      <c r="AF5" t="str">
        <v>2022/09/14</v>
      </c>
      <c r="AG5" t="str">
        <v>2022/06/14</v>
      </c>
      <c r="AH5" t="str">
        <v>2022/12/22</v>
      </c>
    </row>
    <row r="6" spans="1:34" x14ac:dyDescent="0.3">
      <c r="A6" t="str">
        <f t="array" ref="A6:J6">[1]!'1108.TW-ID,Name,MarketValue,Capital,NetIncomeGrowthRate,OperIncomeGrowthRate,FinancialStatementsTime,TFXRatio,MonthlyNetSalesYoY,RevenueMonth'</f>
        <v>1108</v>
      </c>
      <c r="B6" t="str">
        <v>幸福</v>
      </c>
      <c r="C6" t="str">
        <v>43.9</v>
      </c>
      <c r="D6" t="str">
        <v>40.47</v>
      </c>
      <c r="E6" t="str">
        <v>80.30</v>
      </c>
      <c r="F6" t="str">
        <v>73.73</v>
      </c>
      <c r="G6" t="str">
        <v>2022/09</v>
      </c>
      <c r="H6" t="str">
        <v>-4.34</v>
      </c>
      <c r="I6" t="str">
        <v>43.18</v>
      </c>
      <c r="J6" t="str">
        <v>2022/11</v>
      </c>
      <c r="K6" t="str">
        <f t="array" ref="K6:T6">[1]!'1108.TW-OperatingProfitRatio,Price,PriceChangeRatio,InOutRatioNumber,Value,YearReturn,MonthReturn,WeekReturn,FinanceBalanceDif,ChipsField2'</f>
        <v>13.41</v>
      </c>
      <c r="L6">
        <v>10.85</v>
      </c>
      <c r="M6">
        <v>0.93</v>
      </c>
      <c r="N6" t="str">
        <v>69.84%</v>
      </c>
      <c r="O6" t="str">
        <v>74.6萬</v>
      </c>
      <c r="P6" t="str">
        <v>-1.88</v>
      </c>
      <c r="Q6" t="str">
        <v>+2.36</v>
      </c>
      <c r="R6" t="str">
        <v>-0.91</v>
      </c>
      <c r="S6">
        <v>-72</v>
      </c>
      <c r="T6">
        <v>0</v>
      </c>
      <c r="U6">
        <f t="array" ref="U6:AD6">[1]!'1108.TW-ChipsField3,ChipsField1,ChipsField25,CashAndStockDividend,CashDividendYieldRate,ProfitFourSeason,ProfitSingle,CName,ExchangeIndustry,CompanyPos'</f>
        <v>-4</v>
      </c>
      <c r="V6">
        <v>1</v>
      </c>
      <c r="W6" t="str">
        <v>2022/08/26</v>
      </c>
      <c r="X6" t="str">
        <v>0.60</v>
      </c>
      <c r="Y6">
        <v>5.53</v>
      </c>
      <c r="Z6" t="str">
        <v>0.98</v>
      </c>
      <c r="AA6" t="str">
        <v>0.33</v>
      </c>
      <c r="AB6" t="str">
        <v>幸福</v>
      </c>
      <c r="AC6" t="str">
        <v>上市水泥</v>
      </c>
      <c r="AD6" t="str">
        <v>台灣第三大水泥廠</v>
      </c>
      <c r="AE6" t="str">
        <f t="array" ref="AE6:AH6">[1]!'1108.TW-CName,InvestorConferenceDate,DateofMeetingofShareHolders,TradingDate'</f>
        <v>幸福</v>
      </c>
      <c r="AF6" t="str">
        <v>2022/12/26</v>
      </c>
      <c r="AG6" t="str">
        <v>2022/06/30</v>
      </c>
      <c r="AH6" t="str">
        <v>2022/12/22</v>
      </c>
    </row>
    <row r="7" spans="1:34" x14ac:dyDescent="0.3">
      <c r="A7" t="str">
        <f t="array" ref="A7:J7">[1]!'1109.TW-ID,Name,MarketValue,Capital,NetIncomeGrowthRate,OperIncomeGrowthRate,FinancialStatementsTime,TFXRatio,MonthlyNetSalesYoY,RevenueMonth'</f>
        <v>1109</v>
      </c>
      <c r="B7" t="str">
        <v>信大</v>
      </c>
      <c r="C7" t="str">
        <v>54.1</v>
      </c>
      <c r="D7" t="str">
        <v>34.12</v>
      </c>
      <c r="E7" t="str">
        <v>-52.98</v>
      </c>
      <c r="F7" t="str">
        <v>-48.23</v>
      </c>
      <c r="G7" t="str">
        <v>2022/09</v>
      </c>
      <c r="H7" t="str">
        <v>27.01</v>
      </c>
      <c r="I7" t="str">
        <v>-14.34</v>
      </c>
      <c r="J7" t="str">
        <v>2022/11</v>
      </c>
      <c r="K7" t="str">
        <f t="array" ref="K7:T7">[1]!'1109.TW-OperatingProfitRatio,Price,PriceChangeRatio,InOutRatioNumber,Value,YearReturn,MonthReturn,WeekReturn,FinanceBalanceDif,ChipsField2'</f>
        <v>12.86</v>
      </c>
      <c r="L7">
        <v>15.85</v>
      </c>
      <c r="M7">
        <v>0</v>
      </c>
      <c r="N7" t="str">
        <v>23.08%</v>
      </c>
      <c r="O7" t="str">
        <v>108萬</v>
      </c>
      <c r="P7" t="str">
        <v>-15.10</v>
      </c>
      <c r="Q7" t="str">
        <v>+2.59</v>
      </c>
      <c r="R7" t="str">
        <v>-1.86</v>
      </c>
      <c r="S7">
        <v>1</v>
      </c>
      <c r="T7">
        <v>0</v>
      </c>
      <c r="U7">
        <f t="array" ref="U7:AD7">[1]!'1109.TW-ChipsField3,ChipsField1,ChipsField25,CashAndStockDividend,CashDividendYieldRate,ProfitFourSeason,ProfitSingle,CName,ExchangeIndustry,CompanyPos'</f>
        <v>-17</v>
      </c>
      <c r="V7">
        <v>4</v>
      </c>
      <c r="W7" t="str">
        <v>2022/08/04</v>
      </c>
      <c r="X7" t="str">
        <v>1.50</v>
      </c>
      <c r="Y7">
        <v>9.4600000000000009</v>
      </c>
      <c r="Z7" t="str">
        <v>1.74</v>
      </c>
      <c r="AA7" t="str">
        <v>0.63</v>
      </c>
      <c r="AB7" t="str">
        <v>信大</v>
      </c>
      <c r="AC7" t="str">
        <v>上市水泥</v>
      </c>
      <c r="AD7" t="str">
        <v>銷售市場以台北、宜蘭、基隆、桃園等為主</v>
      </c>
      <c r="AE7" t="str">
        <f t="array" ref="AE7:AH7">[1]!'1109.TW-CName,InvestorConferenceDate,DateofMeetingofShareHolders,TradingDate'</f>
        <v>信大</v>
      </c>
      <c r="AF7" t="str">
        <v>2022/08/31</v>
      </c>
      <c r="AG7" t="str">
        <v>2022/06/22</v>
      </c>
      <c r="AH7" t="str">
        <v>2022/12/22</v>
      </c>
    </row>
    <row r="8" spans="1:34" x14ac:dyDescent="0.3">
      <c r="A8" t="str">
        <f t="array" ref="A8:J8">[1]!'1110.TW-ID,Name,MarketValue,Capital,NetIncomeGrowthRate,OperIncomeGrowthRate,FinancialStatementsTime,TFXRatio,MonthlyNetSalesYoY,RevenueMonth'</f>
        <v>1110</v>
      </c>
      <c r="B8" t="str">
        <v>東泥</v>
      </c>
      <c r="C8" t="str">
        <v>100.4</v>
      </c>
      <c r="D8" t="str">
        <v>57.20</v>
      </c>
      <c r="E8" t="str">
        <v>-86.26</v>
      </c>
      <c r="F8" t="str">
        <v>-1023.74</v>
      </c>
      <c r="G8" t="str">
        <v>2022/09</v>
      </c>
      <c r="H8" t="str">
        <v>0.41</v>
      </c>
      <c r="I8" t="str">
        <v>23.41</v>
      </c>
      <c r="J8" t="str">
        <v>2022/11</v>
      </c>
      <c r="K8" t="str">
        <f t="array" ref="K8:T8">[1]!'1110.TW-OperatingProfitRatio,Price,PriceChangeRatio,InOutRatioNumber,Value,YearReturn,MonthReturn,WeekReturn,FinanceBalanceDif,ChipsField2'</f>
        <v>-0.72</v>
      </c>
      <c r="L8">
        <v>17.55</v>
      </c>
      <c r="M8">
        <v>0.56999999999999995</v>
      </c>
      <c r="N8" t="str">
        <v>90.48%</v>
      </c>
      <c r="O8" t="str">
        <v>112萬</v>
      </c>
      <c r="P8" t="str">
        <v>-12.37</v>
      </c>
      <c r="Q8" t="str">
        <v>-1.96</v>
      </c>
      <c r="R8" t="str">
        <v>-1.96</v>
      </c>
      <c r="S8">
        <v>39</v>
      </c>
      <c r="T8">
        <v>0</v>
      </c>
      <c r="U8">
        <f t="array" ref="U8:AD8">[1]!'1110.TW-ChipsField3,ChipsField1,ChipsField25,CashAndStockDividend,CashDividendYieldRate,ProfitFourSeason,ProfitSingle,CName,ExchangeIndustry,CompanyPos'</f>
        <v>-7</v>
      </c>
      <c r="V8">
        <v>-13</v>
      </c>
      <c r="W8" t="str">
        <v>2022/07/21</v>
      </c>
      <c r="X8" t="str">
        <v>0.20</v>
      </c>
      <c r="Y8">
        <v>1.1399999999999999</v>
      </c>
      <c r="Z8" t="str">
        <v>0.11</v>
      </c>
      <c r="AA8" t="str">
        <v>0.12</v>
      </c>
      <c r="AB8" t="str">
        <v>東泥</v>
      </c>
      <c r="AC8" t="str">
        <v>上市水泥</v>
      </c>
      <c r="AD8" t="str">
        <v>台灣中南部市場水泥供應商</v>
      </c>
      <c r="AE8" t="str">
        <f t="array" ref="AE8:AH8">[1]!'1110.TW-CName,InvestorConferenceDate,DateofMeetingofShareHolders,TradingDate'</f>
        <v>東泥</v>
      </c>
      <c r="AF8" t="str">
        <v>2022/11/30</v>
      </c>
      <c r="AG8" t="str">
        <v>2022/06/28</v>
      </c>
      <c r="AH8" t="str">
        <v>2022/12/22</v>
      </c>
    </row>
    <row r="9" spans="1:34" x14ac:dyDescent="0.3">
      <c r="A9" t="str">
        <f t="array" ref="A9:J9">[1]!'1201.TW-ID,Name,MarketValue,Capital,NetIncomeGrowthRate,OperIncomeGrowthRate,FinancialStatementsTime,TFXRatio,MonthlyNetSalesYoY,RevenueMonth'</f>
        <v>1201</v>
      </c>
      <c r="B9" t="str">
        <v>味全</v>
      </c>
      <c r="C9" t="str">
        <v>96.4</v>
      </c>
      <c r="D9" t="str">
        <v>50.61</v>
      </c>
      <c r="E9" t="str">
        <v>-15.42</v>
      </c>
      <c r="F9" t="str">
        <v>-23.17</v>
      </c>
      <c r="G9" t="str">
        <v>2022/09</v>
      </c>
      <c r="H9" t="str">
        <v>-7.15</v>
      </c>
      <c r="I9" t="str">
        <v>-2.47</v>
      </c>
      <c r="J9" t="str">
        <v>2022/11</v>
      </c>
      <c r="K9" t="str">
        <f t="array" ref="K9:T9">[1]!'1201.TW-OperatingProfitRatio,Price,PriceChangeRatio,InOutRatioNumber,Value,YearReturn,MonthReturn,WeekReturn,FinanceBalanceDif,ChipsField2'</f>
        <v>2.75</v>
      </c>
      <c r="L9">
        <v>19.05</v>
      </c>
      <c r="M9">
        <v>0.26</v>
      </c>
      <c r="N9" t="str">
        <v>59.76%</v>
      </c>
      <c r="O9" t="str">
        <v>170萬</v>
      </c>
      <c r="P9" t="str">
        <v>-11.25</v>
      </c>
      <c r="Q9" t="str">
        <v>+1.33</v>
      </c>
      <c r="R9" t="str">
        <v>-1.04</v>
      </c>
      <c r="S9">
        <v>-9</v>
      </c>
      <c r="T9">
        <v>0</v>
      </c>
      <c r="U9">
        <f t="array" ref="U9:AD9">[1]!'1201.TW-ChipsField3,ChipsField1,ChipsField25,CashAndStockDividend,CashDividendYieldRate,ProfitFourSeason,ProfitSingle,CName,ExchangeIndustry,CompanyPos'</f>
        <v>-27</v>
      </c>
      <c r="V9">
        <v>35</v>
      </c>
      <c r="W9" t="str">
        <v>2022/07/26</v>
      </c>
      <c r="X9" t="str">
        <v>0.50</v>
      </c>
      <c r="Y9">
        <v>2.62</v>
      </c>
      <c r="Z9" t="str">
        <v>0.88</v>
      </c>
      <c r="AA9" t="str">
        <v>0.28</v>
      </c>
      <c r="AB9" t="str">
        <v>味全</v>
      </c>
      <c r="AC9" t="str">
        <v>上市食品</v>
      </c>
      <c r="AD9" t="str">
        <v>老牌綜合食品大廠</v>
      </c>
      <c r="AE9" t="str">
        <f t="array" ref="AE9:AH9">[1]!'1201.TW-CName,InvestorConferenceDate,DateofMeetingofShareHolders,TradingDate'</f>
        <v>味全</v>
      </c>
      <c r="AF9" t="str">
        <v>2022/12/19</v>
      </c>
      <c r="AG9" t="str">
        <v>2022/06/29</v>
      </c>
      <c r="AH9" t="str">
        <v>2022/12/22</v>
      </c>
    </row>
    <row r="10" spans="1:34" x14ac:dyDescent="0.3">
      <c r="A10" t="str">
        <f t="array" ref="A10:J10">[1]!'1203.TW-ID,Name,MarketValue,Capital,NetIncomeGrowthRate,OperIncomeGrowthRate,FinancialStatementsTime,TFXRatio,MonthlyNetSalesYoY,RevenueMonth'</f>
        <v>1203</v>
      </c>
      <c r="B10" t="str">
        <v>味王</v>
      </c>
      <c r="C10" t="str">
        <v>84.0</v>
      </c>
      <c r="D10" t="str">
        <v>24.00</v>
      </c>
      <c r="E10" t="str">
        <v>31.72</v>
      </c>
      <c r="F10" t="str">
        <v>-3.75</v>
      </c>
      <c r="G10" t="str">
        <v>2022/09</v>
      </c>
      <c r="H10" t="str">
        <v>0.57</v>
      </c>
      <c r="I10" t="str">
        <v>38.46</v>
      </c>
      <c r="J10" t="str">
        <v>2022/11</v>
      </c>
      <c r="K10" t="str">
        <f t="array" ref="K10:T10">[1]!'1203.TW-OperatingProfitRatio,Price,PriceChangeRatio,InOutRatioNumber,Value,YearReturn,MonthReturn,WeekReturn,FinanceBalanceDif,ChipsField2'</f>
        <v>13.78</v>
      </c>
      <c r="L10">
        <v>35</v>
      </c>
      <c r="M10">
        <v>0.56999999999999995</v>
      </c>
      <c r="N10" t="str">
        <v>66.67%</v>
      </c>
      <c r="O10" t="str">
        <v>31.6萬</v>
      </c>
      <c r="P10" t="str">
        <v>+12.07</v>
      </c>
      <c r="Q10" t="str">
        <v>+5.11</v>
      </c>
      <c r="R10" t="str">
        <v>-1.13</v>
      </c>
      <c r="S10">
        <v>-1</v>
      </c>
      <c r="T10">
        <v>0</v>
      </c>
      <c r="U10">
        <f t="array" ref="U10:AD10">[1]!'1203.TW-ChipsField3,ChipsField1,ChipsField25,CashAndStockDividend,CashDividendYieldRate,ProfitFourSeason,ProfitSingle,CName,ExchangeIndustry,CompanyPos'</f>
        <v>-2</v>
      </c>
      <c r="V10">
        <v>0</v>
      </c>
      <c r="W10" t="str">
        <v>2022/09/01</v>
      </c>
      <c r="X10" t="str">
        <v>1.10</v>
      </c>
      <c r="Y10">
        <v>3.14</v>
      </c>
      <c r="Z10" t="str">
        <v>2.63</v>
      </c>
      <c r="AA10" t="str">
        <v>1.50</v>
      </c>
      <c r="AB10" t="str">
        <v>味王</v>
      </c>
      <c r="AC10" t="str">
        <v>上市食品</v>
      </c>
      <c r="AD10" t="str">
        <v>亞洲第一大味精品牌，並生產方便麵等食品</v>
      </c>
      <c r="AE10" t="str">
        <f t="array" ref="AE10:AH10">[1]!'1203.TW-CName,InvestorConferenceDate,DateofMeetingofShareHolders,TradingDate'</f>
        <v>味王</v>
      </c>
      <c r="AF10" t="str">
        <v>2022/10/25</v>
      </c>
      <c r="AG10" t="str">
        <v>2022/06/22</v>
      </c>
      <c r="AH10" t="str">
        <v>2022/12/22</v>
      </c>
    </row>
    <row r="11" spans="1:34" x14ac:dyDescent="0.3">
      <c r="A11" t="str">
        <f t="array" ref="A11:J11">[1]!'1210.TW-ID,Name,MarketValue,Capital,NetIncomeGrowthRate,OperIncomeGrowthRate,FinancialStatementsTime,TFXRatio,MonthlyNetSalesYoY,RevenueMonth'</f>
        <v>1210</v>
      </c>
      <c r="B11" t="str">
        <v>大成</v>
      </c>
      <c r="C11" t="str">
        <v>399.1</v>
      </c>
      <c r="D11" t="str">
        <v>89.48</v>
      </c>
      <c r="E11" t="str">
        <v>22.97</v>
      </c>
      <c r="F11" t="str">
        <v>31.19</v>
      </c>
      <c r="G11" t="str">
        <v>2022/09</v>
      </c>
      <c r="H11" t="str">
        <v>0.43</v>
      </c>
      <c r="I11" t="str">
        <v>13.76</v>
      </c>
      <c r="J11" t="str">
        <v>2022/11</v>
      </c>
      <c r="K11" t="str">
        <f t="array" ref="K11:T11">[1]!'1210.TW-OperatingProfitRatio,Price,PriceChangeRatio,InOutRatioNumber,Value,YearReturn,MonthReturn,WeekReturn,FinanceBalanceDif,ChipsField2'</f>
        <v>2.59</v>
      </c>
      <c r="L11">
        <v>44.6</v>
      </c>
      <c r="M11">
        <v>1.1299999999999999</v>
      </c>
      <c r="N11" t="str">
        <v>48.34%</v>
      </c>
      <c r="O11" t="str">
        <v>1271萬</v>
      </c>
      <c r="P11" t="str">
        <v>-8.29</v>
      </c>
      <c r="Q11" t="str">
        <v>+2.76</v>
      </c>
      <c r="R11" t="str">
        <v>-0.89</v>
      </c>
      <c r="S11">
        <v>4</v>
      </c>
      <c r="T11">
        <v>4</v>
      </c>
      <c r="U11">
        <f t="array" ref="U11:AD11">[1]!'1210.TW-ChipsField3,ChipsField1,ChipsField25,CashAndStockDividend,CashDividendYieldRate,ProfitFourSeason,ProfitSingle,CName,ExchangeIndustry,CompanyPos'</f>
        <v>-33</v>
      </c>
      <c r="V11">
        <v>-94</v>
      </c>
      <c r="W11" t="str">
        <v>2022/04/15</v>
      </c>
      <c r="X11" t="str">
        <v>2.00</v>
      </c>
      <c r="Y11">
        <v>4.4800000000000004</v>
      </c>
      <c r="Z11" t="str">
        <v>2.43</v>
      </c>
      <c r="AA11" t="str">
        <v>0.62</v>
      </c>
      <c r="AB11" t="str">
        <v>大成</v>
      </c>
      <c r="AC11" t="str">
        <v>上市食品</v>
      </c>
      <c r="AD11" t="str">
        <v>兩岸最大白肉雞電宰加工廠及飼料大廠</v>
      </c>
      <c r="AE11" t="str">
        <f t="array" ref="AE11:AH11">[1]!'1210.TW-CName,InvestorConferenceDate,DateofMeetingofShareHolders,TradingDate'</f>
        <v>大成</v>
      </c>
      <c r="AF11" t="str">
        <v>2022/11/18</v>
      </c>
      <c r="AG11" t="str">
        <v>2022/06/17</v>
      </c>
      <c r="AH11" t="str">
        <v>2022/12/22</v>
      </c>
    </row>
    <row r="12" spans="1:34" x14ac:dyDescent="0.3">
      <c r="A12" t="str">
        <f t="array" ref="A12:J12">[1]!'1213.TW-ID,Name,MarketValue,Capital,NetIncomeGrowthRate,OperIncomeGrowthRate,FinancialStatementsTime,TFXRatio,MonthlyNetSalesYoY,RevenueMonth'</f>
        <v>1213</v>
      </c>
      <c r="B12" t="str">
        <v>大飲</v>
      </c>
      <c r="C12" t="str">
        <v>4.0</v>
      </c>
      <c r="D12" t="str">
        <v>5.66</v>
      </c>
      <c r="E12" t="str">
        <v>20.91</v>
      </c>
      <c r="F12" t="str">
        <v>-10.86</v>
      </c>
      <c r="G12" t="str">
        <v>2022/09</v>
      </c>
      <c r="H12" t="str">
        <v>-1.72</v>
      </c>
      <c r="I12" t="str">
        <v>-13.58</v>
      </c>
      <c r="J12" t="str">
        <v>2022/11</v>
      </c>
      <c r="K12" t="str">
        <f t="array" ref="K12:T12">[1]!'1213.TW-OperatingProfitRatio,Price,PriceChangeRatio,InOutRatioNumber,Value,YearReturn,MonthReturn,WeekReturn,FinanceBalanceDif,ChipsField2'</f>
        <v>-18.57</v>
      </c>
      <c r="L12">
        <v>7.03</v>
      </c>
      <c r="M12">
        <v>0</v>
      </c>
      <c r="N12" t="str">
        <v>57.14%</v>
      </c>
      <c r="O12" t="str">
        <v>4.95萬</v>
      </c>
      <c r="P12" t="str">
        <v>-14.27</v>
      </c>
      <c r="Q12" t="str">
        <v>-1.95</v>
      </c>
      <c r="R12" t="str">
        <v>0.00</v>
      </c>
      <c r="S12">
        <v>0</v>
      </c>
      <c r="T12">
        <v>0</v>
      </c>
      <c r="U12">
        <f t="array" ref="U12:AD12">[1]!'1213.TW-ChipsField3,ChipsField1,ChipsField25,CashAndStockDividend,CashDividendYieldRate,ProfitFourSeason,ProfitSingle,CName,ExchangeIndustry,CompanyPos'</f>
        <v>0</v>
      </c>
      <c r="V12">
        <v>0</v>
      </c>
      <c r="W12" t="str">
        <v>--</v>
      </c>
      <c r="X12" t="str">
        <v>0.00</v>
      </c>
      <c r="Y12">
        <v>0</v>
      </c>
      <c r="Z12" t="str">
        <v>-1.38</v>
      </c>
      <c r="AA12" t="str">
        <v>-0.30</v>
      </c>
      <c r="AB12" t="str">
        <v>大飲</v>
      </c>
      <c r="AC12" t="str">
        <v>上市食品</v>
      </c>
      <c r="AD12" t="str">
        <v>產品以蘋果西打為主</v>
      </c>
      <c r="AE12" t="str">
        <f t="array" ref="AE12:AH12">[1]!'1213.TW-CName,InvestorConferenceDate,DateofMeetingofShareHolders,TradingDate'</f>
        <v>大飲</v>
      </c>
      <c r="AF12" t="str">
        <v>2022/11/23</v>
      </c>
      <c r="AG12" t="str">
        <v>2022/06/01</v>
      </c>
      <c r="AH12" t="str">
        <v>2022/12/22</v>
      </c>
    </row>
    <row r="13" spans="1:34" x14ac:dyDescent="0.3">
      <c r="A13" t="str">
        <f t="array" ref="A13:J13">[1]!'1215.TW-ID,Name,MarketValue,Capital,NetIncomeGrowthRate,OperIncomeGrowthRate,FinancialStatementsTime,TFXRatio,MonthlyNetSalesYoY,RevenueMonth'</f>
        <v>1215</v>
      </c>
      <c r="B13" t="str">
        <v>卜蜂</v>
      </c>
      <c r="C13" t="str">
        <v>229.1</v>
      </c>
      <c r="D13" t="str">
        <v>29.48</v>
      </c>
      <c r="E13" t="str">
        <v>13.00</v>
      </c>
      <c r="F13" t="str">
        <v>21.55</v>
      </c>
      <c r="G13" t="str">
        <v>2022/09</v>
      </c>
      <c r="H13" t="str">
        <v>9.74</v>
      </c>
      <c r="I13" t="str">
        <v>15.08</v>
      </c>
      <c r="J13" t="str">
        <v>2022/11</v>
      </c>
      <c r="K13" t="str">
        <f t="array" ref="K13:T13">[1]!'1215.TW-OperatingProfitRatio,Price,PriceChangeRatio,InOutRatioNumber,Value,YearReturn,MonthReturn,WeekReturn,FinanceBalanceDif,ChipsField2'</f>
        <v>7.16</v>
      </c>
      <c r="L13">
        <v>77.7</v>
      </c>
      <c r="M13">
        <v>0.91</v>
      </c>
      <c r="N13" t="str">
        <v>47.60%</v>
      </c>
      <c r="O13" t="str">
        <v>1790萬</v>
      </c>
      <c r="P13" t="str">
        <v>+10.70</v>
      </c>
      <c r="Q13" t="str">
        <v>0.00</v>
      </c>
      <c r="R13" t="str">
        <v>+0.52</v>
      </c>
      <c r="S13">
        <v>31</v>
      </c>
      <c r="T13">
        <v>-257</v>
      </c>
      <c r="U13">
        <f t="array" ref="U13:AD13">[1]!'1215.TW-ChipsField3,ChipsField1,ChipsField25,CashAndStockDividend,CashDividendYieldRate,ProfitFourSeason,ProfitSingle,CName,ExchangeIndustry,CompanyPos'</f>
        <v>-15</v>
      </c>
      <c r="V13">
        <v>172</v>
      </c>
      <c r="W13" t="str">
        <v>2022/07/05</v>
      </c>
      <c r="X13" t="str">
        <v>4.00</v>
      </c>
      <c r="Y13">
        <v>5.15</v>
      </c>
      <c r="Z13" t="str">
        <v>5.40</v>
      </c>
      <c r="AA13" t="str">
        <v>1.28</v>
      </c>
      <c r="AB13" t="str">
        <v>卜蜂</v>
      </c>
      <c r="AC13" t="str">
        <v>上市食品</v>
      </c>
      <c r="AD13" t="str">
        <v>台灣第二大白肉雞供應商及飼料大廠</v>
      </c>
      <c r="AE13" t="str">
        <f t="array" ref="AE13:AH13">[1]!'1215.TW-CName,InvestorConferenceDate,DateofMeetingofShareHolders,TradingDate'</f>
        <v>卜蜂</v>
      </c>
      <c r="AF13" t="str">
        <v>2022/11/29</v>
      </c>
      <c r="AG13" t="str">
        <v>2022/06/23</v>
      </c>
      <c r="AH13" t="str">
        <v>2022/12/22</v>
      </c>
    </row>
    <row r="14" spans="1:34" x14ac:dyDescent="0.3">
      <c r="A14" t="str">
        <f t="array" ref="A14:J14">[1]!'1216.TW-ID,Name,MarketValue,Capital,NetIncomeGrowthRate,OperIncomeGrowthRate,FinancialStatementsTime,TFXRatio,MonthlyNetSalesYoY,RevenueMonth'</f>
        <v>1216</v>
      </c>
      <c r="B14" t="str">
        <v>統一</v>
      </c>
      <c r="C14" t="str">
        <v>3744.4</v>
      </c>
      <c r="D14" t="str">
        <v>568.20</v>
      </c>
      <c r="E14" t="str">
        <v>-4.96</v>
      </c>
      <c r="F14" t="str">
        <v>3.98</v>
      </c>
      <c r="G14" t="str">
        <v>2022/09</v>
      </c>
      <c r="H14" t="str">
        <v>-5.29</v>
      </c>
      <c r="I14" t="str">
        <v>3.32</v>
      </c>
      <c r="J14" t="str">
        <v>2022/11</v>
      </c>
      <c r="K14" t="str">
        <f t="array" ref="K14:T14">[1]!'1216.TW-OperatingProfitRatio,Price,PriceChangeRatio,InOutRatioNumber,Value,YearReturn,MonthReturn,WeekReturn,FinanceBalanceDif,ChipsField2'</f>
        <v>6.07</v>
      </c>
      <c r="L14">
        <v>65.900000000000006</v>
      </c>
      <c r="M14">
        <v>0.76</v>
      </c>
      <c r="N14" t="str">
        <v>56.23%</v>
      </c>
      <c r="O14" t="str">
        <v>2.20億</v>
      </c>
      <c r="P14" t="str">
        <v>+1.04</v>
      </c>
      <c r="Q14" t="str">
        <v>+2.65</v>
      </c>
      <c r="R14" t="str">
        <v>-0.15</v>
      </c>
      <c r="S14">
        <v>3</v>
      </c>
      <c r="T14">
        <v>21</v>
      </c>
      <c r="U14">
        <f t="array" ref="U14:AD14">[1]!'1216.TW-ChipsField3,ChipsField1,ChipsField25,CashAndStockDividend,CashDividendYieldRate,ProfitFourSeason,ProfitSingle,CName,ExchangeIndustry,CompanyPos'</f>
        <v>-350</v>
      </c>
      <c r="V14">
        <v>-1030</v>
      </c>
      <c r="W14" t="str">
        <v>2022/08/04</v>
      </c>
      <c r="X14" t="str">
        <v>2.70</v>
      </c>
      <c r="Y14">
        <v>4.0999999999999996</v>
      </c>
      <c r="Z14" t="str">
        <v>3.17</v>
      </c>
      <c r="AA14" t="str">
        <v>0.97</v>
      </c>
      <c r="AB14" t="str">
        <v>統一</v>
      </c>
      <c r="AC14" t="str">
        <v>上市食品</v>
      </c>
      <c r="AD14" t="str">
        <v>台灣食品業龍頭廠之一</v>
      </c>
      <c r="AE14" t="str">
        <f t="array" ref="AE14:AH14">[1]!'1216.TW-CName,InvestorConferenceDate,DateofMeetingofShareHolders,TradingDate'</f>
        <v>統一</v>
      </c>
      <c r="AF14" t="str">
        <v>2022/03/11</v>
      </c>
      <c r="AG14" t="str">
        <v>2022/05/31</v>
      </c>
      <c r="AH14" t="str">
        <v>2022/12/22</v>
      </c>
    </row>
    <row r="15" spans="1:34" x14ac:dyDescent="0.3">
      <c r="A15" t="str">
        <f t="array" ref="A15:J15">[1]!'1217.TW-ID,Name,MarketValue,Capital,NetIncomeGrowthRate,OperIncomeGrowthRate,FinancialStatementsTime,TFXRatio,MonthlyNetSalesYoY,RevenueMonth'</f>
        <v>1217</v>
      </c>
      <c r="B15" t="str">
        <v>愛之味</v>
      </c>
      <c r="C15" t="str">
        <v>53.7</v>
      </c>
      <c r="D15" t="str">
        <v>49.45</v>
      </c>
      <c r="E15" t="str">
        <v>5.11</v>
      </c>
      <c r="F15" t="str">
        <v>5.63</v>
      </c>
      <c r="G15" t="str">
        <v>2022/09</v>
      </c>
      <c r="H15" t="str">
        <v>-3.63</v>
      </c>
      <c r="I15" t="str">
        <v>-0.64</v>
      </c>
      <c r="J15" t="str">
        <v>2022/11</v>
      </c>
      <c r="K15" t="str">
        <f t="array" ref="K15:T15">[1]!'1217.TW-OperatingProfitRatio,Price,PriceChangeRatio,InOutRatioNumber,Value,YearReturn,MonthReturn,WeekReturn,FinanceBalanceDif,ChipsField2'</f>
        <v>5.67</v>
      </c>
      <c r="L15">
        <v>10.85</v>
      </c>
      <c r="M15">
        <v>-0.46</v>
      </c>
      <c r="N15" t="str">
        <v>45.28%</v>
      </c>
      <c r="O15" t="str">
        <v>2543萬</v>
      </c>
      <c r="P15" t="str">
        <v>+6.78</v>
      </c>
      <c r="Q15" t="str">
        <v>+6.90</v>
      </c>
      <c r="R15" t="str">
        <v>+1.40</v>
      </c>
      <c r="S15">
        <v>-98</v>
      </c>
      <c r="T15">
        <v>0</v>
      </c>
      <c r="U15">
        <f t="array" ref="U15:AD15">[1]!'1217.TW-ChipsField3,ChipsField1,ChipsField25,CashAndStockDividend,CashDividendYieldRate,ProfitFourSeason,ProfitSingle,CName,ExchangeIndustry,CompanyPos'</f>
        <v>-30</v>
      </c>
      <c r="V15">
        <v>1089</v>
      </c>
      <c r="W15" t="str">
        <v>2022/07/12</v>
      </c>
      <c r="X15" t="str">
        <v>0.30</v>
      </c>
      <c r="Y15">
        <v>2.76</v>
      </c>
      <c r="Z15" t="str">
        <v>0.45</v>
      </c>
      <c r="AA15" t="str">
        <v>0.52</v>
      </c>
      <c r="AB15" t="str">
        <v>愛之味</v>
      </c>
      <c r="AC15" t="str">
        <v>上市食品</v>
      </c>
      <c r="AD15" t="str">
        <v>以飲料、傳統類罐頭為主的食品商</v>
      </c>
      <c r="AE15" t="str">
        <f t="array" ref="AE15:AH15">[1]!'1217.TW-CName,InvestorConferenceDate,DateofMeetingofShareHolders,TradingDate'</f>
        <v>愛之味</v>
      </c>
      <c r="AF15" t="str">
        <v>2022/08/19</v>
      </c>
      <c r="AG15" t="str">
        <v>2022/06/24</v>
      </c>
      <c r="AH15" t="str">
        <v>2022/12/22</v>
      </c>
    </row>
    <row r="16" spans="1:34" x14ac:dyDescent="0.3">
      <c r="A16" t="str">
        <f t="array" ref="A16:J16">[1]!'1218.TW-ID,Name,MarketValue,Capital,NetIncomeGrowthRate,OperIncomeGrowthRate,FinancialStatementsTime,TFXRatio,MonthlyNetSalesYoY,RevenueMonth'</f>
        <v>1218</v>
      </c>
      <c r="B16" t="str">
        <v>泰山</v>
      </c>
      <c r="C16" t="str">
        <v>161.0</v>
      </c>
      <c r="D16" t="str">
        <v>50.00</v>
      </c>
      <c r="E16" t="str">
        <v>-3.03</v>
      </c>
      <c r="F16" t="str">
        <v>-20.07</v>
      </c>
      <c r="G16" t="str">
        <v>2022/09</v>
      </c>
      <c r="H16" t="str">
        <v>9.70</v>
      </c>
      <c r="I16" t="str">
        <v>3.86</v>
      </c>
      <c r="J16" t="str">
        <v>2022/11</v>
      </c>
      <c r="K16" t="str">
        <f t="array" ref="K16:T16">[1]!'1218.TW-OperatingProfitRatio,Price,PriceChangeRatio,InOutRatioNumber,Value,YearReturn,MonthReturn,WeekReturn,FinanceBalanceDif,ChipsField2'</f>
        <v>1.57</v>
      </c>
      <c r="L16">
        <v>32.200000000000003</v>
      </c>
      <c r="M16">
        <v>-1.83</v>
      </c>
      <c r="N16" t="str">
        <v>32.17%</v>
      </c>
      <c r="O16" t="str">
        <v>1.31億</v>
      </c>
      <c r="P16" t="str">
        <v>+23.67</v>
      </c>
      <c r="Q16" t="str">
        <v>-14.36</v>
      </c>
      <c r="R16" t="str">
        <v>-17.22</v>
      </c>
      <c r="S16">
        <v>293</v>
      </c>
      <c r="T16">
        <v>0</v>
      </c>
      <c r="U16">
        <f t="array" ref="U16:AD16">[1]!'1218.TW-ChipsField3,ChipsField1,ChipsField25,CashAndStockDividend,CashDividendYieldRate,ProfitFourSeason,ProfitSingle,CName,ExchangeIndustry,CompanyPos'</f>
        <v>13</v>
      </c>
      <c r="V16">
        <v>980</v>
      </c>
      <c r="W16" t="str">
        <v>2022/06/23</v>
      </c>
      <c r="X16" t="str">
        <v>1.00</v>
      </c>
      <c r="Y16">
        <v>3.11</v>
      </c>
      <c r="Z16" t="str">
        <v>1.19</v>
      </c>
      <c r="AA16" t="str">
        <v>0.32</v>
      </c>
      <c r="AB16" t="str">
        <v>泰山</v>
      </c>
      <c r="AC16" t="str">
        <v>上市食品</v>
      </c>
      <c r="AD16" t="str">
        <v>台灣油脂、飲料大廠及轉投資全家便利超商</v>
      </c>
      <c r="AE16" t="str">
        <f t="array" ref="AE16:AH16">[1]!'1218.TW-CName,InvestorConferenceDate,DateofMeetingofShareHolders,TradingDate'</f>
        <v>泰山</v>
      </c>
      <c r="AF16" t="str">
        <v>2022/12/01</v>
      </c>
      <c r="AG16" t="str">
        <v>2022/05/26</v>
      </c>
      <c r="AH16" t="str">
        <v>2022/12/22</v>
      </c>
    </row>
    <row r="17" spans="1:34" x14ac:dyDescent="0.3">
      <c r="A17" t="str">
        <f t="array" ref="A17:J17">[1]!'1219.TW-ID,Name,MarketValue,Capital,NetIncomeGrowthRate,OperIncomeGrowthRate,FinancialStatementsTime,TFXRatio,MonthlyNetSalesYoY,RevenueMonth'</f>
        <v>1219</v>
      </c>
      <c r="B17" t="str">
        <v>福壽</v>
      </c>
      <c r="C17" t="str">
        <v>60.4</v>
      </c>
      <c r="D17" t="str">
        <v>32.20</v>
      </c>
      <c r="E17" t="str">
        <v>29.53</v>
      </c>
      <c r="F17" t="str">
        <v>23.54</v>
      </c>
      <c r="G17" t="str">
        <v>2022/09</v>
      </c>
      <c r="H17" t="str">
        <v>0.13</v>
      </c>
      <c r="I17" t="str">
        <v>3.00</v>
      </c>
      <c r="J17" t="str">
        <v>2022/11</v>
      </c>
      <c r="K17" t="str">
        <f t="array" ref="K17:T17">[1]!'1219.TW-OperatingProfitRatio,Price,PriceChangeRatio,InOutRatioNumber,Value,YearReturn,MonthReturn,WeekReturn,FinanceBalanceDif,ChipsField2'</f>
        <v>2.40</v>
      </c>
      <c r="L17">
        <v>18.75</v>
      </c>
      <c r="M17">
        <v>1.08</v>
      </c>
      <c r="N17" t="str">
        <v>51.22%</v>
      </c>
      <c r="O17" t="str">
        <v>1152萬</v>
      </c>
      <c r="P17" t="str">
        <v>+0.60</v>
      </c>
      <c r="Q17" t="str">
        <v>-0.53</v>
      </c>
      <c r="R17" t="str">
        <v>-2.85</v>
      </c>
      <c r="S17">
        <v>-281</v>
      </c>
      <c r="T17">
        <v>0</v>
      </c>
      <c r="U17">
        <f t="array" ref="U17:AD17">[1]!'1219.TW-ChipsField3,ChipsField1,ChipsField25,CashAndStockDividend,CashDividendYieldRate,ProfitFourSeason,ProfitSingle,CName,ExchangeIndustry,CompanyPos'</f>
        <v>-19</v>
      </c>
      <c r="V17">
        <v>-3</v>
      </c>
      <c r="W17" t="str">
        <v>2022/07/06</v>
      </c>
      <c r="X17" t="str">
        <v>1.10</v>
      </c>
      <c r="Y17">
        <v>5.87</v>
      </c>
      <c r="Z17" t="str">
        <v>1.16</v>
      </c>
      <c r="AA17" t="str">
        <v>-0.10</v>
      </c>
      <c r="AB17" t="str">
        <v>福壽</v>
      </c>
      <c r="AC17" t="str">
        <v>上市食品</v>
      </c>
      <c r="AD17" t="str">
        <v>台灣第二大麻油生產商及最大的寵物飼料廠</v>
      </c>
      <c r="AE17" t="str">
        <f t="array" ref="AE17:AH17">[1]!'1219.TW-CName,InvestorConferenceDate,DateofMeetingofShareHolders,TradingDate'</f>
        <v>福壽</v>
      </c>
      <c r="AF17" t="str">
        <v>2022/09/02</v>
      </c>
      <c r="AG17" t="str">
        <v>2022/06/17</v>
      </c>
      <c r="AH17" t="str">
        <v>2022/12/22</v>
      </c>
    </row>
    <row r="18" spans="1:34" x14ac:dyDescent="0.3">
      <c r="A18" t="str">
        <f t="array" ref="A18:J18">[1]!'1220.TW-ID,Name,MarketValue,Capital,NetIncomeGrowthRate,OperIncomeGrowthRate,FinancialStatementsTime,TFXRatio,MonthlyNetSalesYoY,RevenueMonth'</f>
        <v>1220</v>
      </c>
      <c r="B18" t="str">
        <v>台榮</v>
      </c>
      <c r="C18" t="str">
        <v>26.9</v>
      </c>
      <c r="D18" t="str">
        <v>17.71</v>
      </c>
      <c r="E18" t="str">
        <v>-66.61</v>
      </c>
      <c r="F18" t="str">
        <v>-71.52</v>
      </c>
      <c r="G18" t="str">
        <v>2022/09</v>
      </c>
      <c r="H18" t="str">
        <v>4.83</v>
      </c>
      <c r="I18" t="str">
        <v>5.23</v>
      </c>
      <c r="J18" t="str">
        <v>2022/11</v>
      </c>
      <c r="K18" t="str">
        <f t="array" ref="K18:T18">[1]!'1220.TW-OperatingProfitRatio,Price,PriceChangeRatio,InOutRatioNumber,Value,YearReturn,MonthReturn,WeekReturn,FinanceBalanceDif,ChipsField2'</f>
        <v>2.13</v>
      </c>
      <c r="L18">
        <v>15.2</v>
      </c>
      <c r="M18">
        <v>0.33</v>
      </c>
      <c r="N18" t="str">
        <v>45.45%</v>
      </c>
      <c r="O18" t="str">
        <v>217萬</v>
      </c>
      <c r="P18" t="str">
        <v>+4.05</v>
      </c>
      <c r="Q18" t="str">
        <v>+4.83</v>
      </c>
      <c r="R18" t="str">
        <v>-0.65</v>
      </c>
      <c r="S18">
        <v>45</v>
      </c>
      <c r="T18">
        <v>0</v>
      </c>
      <c r="U18">
        <f t="array" ref="U18:AD18">[1]!'1220.TW-ChipsField3,ChipsField1,ChipsField25,CashAndStockDividend,CashDividendYieldRate,ProfitFourSeason,ProfitSingle,CName,ExchangeIndustry,CompanyPos'</f>
        <v>-10</v>
      </c>
      <c r="V18">
        <v>20</v>
      </c>
      <c r="W18" t="str">
        <v>2022/07/19</v>
      </c>
      <c r="X18" t="str">
        <v>1.00</v>
      </c>
      <c r="Y18">
        <v>6.58</v>
      </c>
      <c r="Z18" t="str">
        <v>0.36</v>
      </c>
      <c r="AA18" t="str">
        <v>-0.08</v>
      </c>
      <c r="AB18" t="str">
        <v>台榮</v>
      </c>
      <c r="AC18" t="str">
        <v>上市食品</v>
      </c>
      <c r="AD18" t="str">
        <v>台灣知名果糖大廠，並生產飼料及水產品</v>
      </c>
      <c r="AE18" t="str">
        <f t="array" ref="AE18:AH18">[1]!'1220.TW-CName,InvestorConferenceDate,DateofMeetingofShareHolders,TradingDate'</f>
        <v>台榮</v>
      </c>
      <c r="AF18" t="str">
        <v>2022/10/11</v>
      </c>
      <c r="AG18" t="str">
        <v>2022/06/29</v>
      </c>
      <c r="AH18" t="str">
        <v>2022/12/22</v>
      </c>
    </row>
    <row r="19" spans="1:34" x14ac:dyDescent="0.3">
      <c r="A19" t="str">
        <f t="array" ref="A19:J19">[1]!'1225.TW-ID,Name,MarketValue,Capital,NetIncomeGrowthRate,OperIncomeGrowthRate,FinancialStatementsTime,TFXRatio,MonthlyNetSalesYoY,RevenueMonth'</f>
        <v>1225</v>
      </c>
      <c r="B19" t="str">
        <v>福懋油</v>
      </c>
      <c r="C19" t="str">
        <v>124.0</v>
      </c>
      <c r="D19" t="str">
        <v>21.87</v>
      </c>
      <c r="E19" t="str">
        <v>-7.77</v>
      </c>
      <c r="F19" t="str">
        <v>-12.32</v>
      </c>
      <c r="G19" t="str">
        <v>2022/09</v>
      </c>
      <c r="H19" t="str">
        <v>-0.06</v>
      </c>
      <c r="I19" t="str">
        <v>-2.38</v>
      </c>
      <c r="J19" t="str">
        <v>2022/11</v>
      </c>
      <c r="K19" t="str">
        <f t="array" ref="K19:T19">[1]!'1225.TW-OperatingProfitRatio,Price,PriceChangeRatio,InOutRatioNumber,Value,YearReturn,MonthReturn,WeekReturn,FinanceBalanceDif,ChipsField2'</f>
        <v>3.09</v>
      </c>
      <c r="L19" t="str">
        <v>--</v>
      </c>
      <c r="M19" t="str">
        <v>--</v>
      </c>
      <c r="N19" t="str">
        <v>--</v>
      </c>
      <c r="O19" t="str">
        <v>--</v>
      </c>
      <c r="P19" t="str">
        <v>+12.96</v>
      </c>
      <c r="Q19" t="str">
        <v>+0.35</v>
      </c>
      <c r="R19" t="str">
        <v>-1.90</v>
      </c>
      <c r="S19">
        <v>1</v>
      </c>
      <c r="T19">
        <v>0</v>
      </c>
      <c r="U19">
        <f t="array" ref="U19:AD19">[1]!'1225.TW-ChipsField3,ChipsField1,ChipsField25,CashAndStockDividend,CashDividendYieldRate,ProfitFourSeason,ProfitSingle,CName,ExchangeIndustry,CompanyPos'</f>
        <v>0</v>
      </c>
      <c r="V19">
        <v>0</v>
      </c>
      <c r="W19" t="str">
        <v>2022/08/26</v>
      </c>
      <c r="X19" t="str">
        <v>1.60</v>
      </c>
      <c r="Y19">
        <v>2.82</v>
      </c>
      <c r="Z19" t="str">
        <v>2.12</v>
      </c>
      <c r="AA19" t="str">
        <v>-0.05</v>
      </c>
      <c r="AB19" t="str">
        <v>福懋油</v>
      </c>
      <c r="AC19" t="str">
        <v>上市食品</v>
      </c>
      <c r="AD19" t="str">
        <v>台灣油脂、飼料大廠</v>
      </c>
      <c r="AE19" t="str">
        <f t="array" ref="AE19:AH19">[1]!'1225.TW-CName,InvestorConferenceDate,DateofMeetingofShareHolders,TradingDate'</f>
        <v>福懋油</v>
      </c>
      <c r="AF19" t="str">
        <v>2022/11/25</v>
      </c>
      <c r="AG19" t="str">
        <v>2022/06/23</v>
      </c>
      <c r="AH19" t="str">
        <v>2022/12/22</v>
      </c>
    </row>
    <row r="20" spans="1:34" x14ac:dyDescent="0.3">
      <c r="A20" t="str">
        <f t="array" ref="A20:J20">[1]!'1227.TW-ID,Name,MarketValue,Capital,NetIncomeGrowthRate,OperIncomeGrowthRate,FinancialStatementsTime,TFXRatio,MonthlyNetSalesYoY,RevenueMonth'</f>
        <v>1227</v>
      </c>
      <c r="B20" t="str">
        <v>佳格</v>
      </c>
      <c r="C20" t="str">
        <v>362.4</v>
      </c>
      <c r="D20" t="str">
        <v>91.51</v>
      </c>
      <c r="E20" t="str">
        <v>-48.84</v>
      </c>
      <c r="F20" t="str">
        <v>-52.54</v>
      </c>
      <c r="G20" t="str">
        <v>2022/09</v>
      </c>
      <c r="H20" t="str">
        <v>27.31</v>
      </c>
      <c r="I20" t="str">
        <v>-24.60</v>
      </c>
      <c r="J20" t="str">
        <v>2022/11</v>
      </c>
      <c r="K20" t="str">
        <f t="array" ref="K20:T20">[1]!'1227.TW-OperatingProfitRatio,Price,PriceChangeRatio,InOutRatioNumber,Value,YearReturn,MonthReturn,WeekReturn,FinanceBalanceDif,ChipsField2'</f>
        <v>5.70</v>
      </c>
      <c r="L20">
        <v>39.6</v>
      </c>
      <c r="M20">
        <v>1.1499999999999999</v>
      </c>
      <c r="N20" t="str">
        <v>66.49%</v>
      </c>
      <c r="O20" t="str">
        <v>1494萬</v>
      </c>
      <c r="P20" t="str">
        <v>-23.07</v>
      </c>
      <c r="Q20" t="str">
        <v>-0.75</v>
      </c>
      <c r="R20" t="str">
        <v>-1.25</v>
      </c>
      <c r="S20">
        <v>2</v>
      </c>
      <c r="T20">
        <v>2</v>
      </c>
      <c r="U20">
        <f t="array" ref="U20:AD20">[1]!'1227.TW-ChipsField3,ChipsField1,ChipsField25,CashAndStockDividend,CashDividendYieldRate,ProfitFourSeason,ProfitSingle,CName,ExchangeIndustry,CompanyPos'</f>
        <v>-40</v>
      </c>
      <c r="V20">
        <v>155</v>
      </c>
      <c r="W20" t="str">
        <v>2022/07/21</v>
      </c>
      <c r="X20" t="str">
        <v>1.90</v>
      </c>
      <c r="Y20">
        <v>4.8</v>
      </c>
      <c r="Z20" t="str">
        <v>1.61</v>
      </c>
      <c r="AA20" t="str">
        <v>0.54</v>
      </c>
      <c r="AB20" t="str">
        <v>佳格</v>
      </c>
      <c r="AC20" t="str">
        <v>上市食品</v>
      </c>
      <c r="AD20" t="str">
        <v>台灣最大穀物營養品與油品供應商</v>
      </c>
      <c r="AE20" t="str">
        <f t="array" ref="AE20:AH20">[1]!'1227.TW-CName,InvestorConferenceDate,DateofMeetingofShareHolders,TradingDate'</f>
        <v>佳格</v>
      </c>
      <c r="AF20" t="str">
        <v>2021/11/23</v>
      </c>
      <c r="AG20" t="str">
        <v>2022/06/16</v>
      </c>
      <c r="AH20" t="str">
        <v>2022/12/22</v>
      </c>
    </row>
    <row r="21" spans="1:34" x14ac:dyDescent="0.3">
      <c r="A21" t="str">
        <f t="array" ref="A21:J21">[1]!'1229.TW-ID,Name,MarketValue,Capital,NetIncomeGrowthRate,OperIncomeGrowthRate,FinancialStatementsTime,TFXRatio,MonthlyNetSalesYoY,RevenueMonth'</f>
        <v>1229</v>
      </c>
      <c r="B21" t="str">
        <v>聯華</v>
      </c>
      <c r="C21" t="str">
        <v>727.5</v>
      </c>
      <c r="D21" t="str">
        <v>148.01</v>
      </c>
      <c r="E21" t="str">
        <v>-0.87</v>
      </c>
      <c r="F21" t="str">
        <v>16.56</v>
      </c>
      <c r="G21" t="str">
        <v>2022/09</v>
      </c>
      <c r="H21" t="str">
        <v>3.55</v>
      </c>
      <c r="I21" t="str">
        <v>-16.96</v>
      </c>
      <c r="J21" t="str">
        <v>2022/11</v>
      </c>
      <c r="K21" t="str">
        <f t="array" ref="K21:T21">[1]!'1229.TW-OperatingProfitRatio,Price,PriceChangeRatio,InOutRatioNumber,Value,YearReturn,MonthReturn,WeekReturn,FinanceBalanceDif,ChipsField2'</f>
        <v>16.58</v>
      </c>
      <c r="L21">
        <v>49.15</v>
      </c>
      <c r="M21">
        <v>0.51</v>
      </c>
      <c r="N21" t="str">
        <v>23.99%</v>
      </c>
      <c r="O21" t="str">
        <v>1343萬</v>
      </c>
      <c r="P21" t="str">
        <v>-8.52</v>
      </c>
      <c r="Q21" t="str">
        <v>+0.51</v>
      </c>
      <c r="R21" t="str">
        <v>-1.60</v>
      </c>
      <c r="S21">
        <v>4</v>
      </c>
      <c r="T21">
        <v>4</v>
      </c>
      <c r="U21">
        <f t="array" ref="U21:AD21">[1]!'1229.TW-ChipsField3,ChipsField1,ChipsField25,CashAndStockDividend,CashDividendYieldRate,ProfitFourSeason,ProfitSingle,CName,ExchangeIndustry,CompanyPos'</f>
        <v>-69</v>
      </c>
      <c r="V21">
        <v>-6</v>
      </c>
      <c r="W21" t="str">
        <v>2022/04/21</v>
      </c>
      <c r="X21" t="str">
        <v>2.30</v>
      </c>
      <c r="Y21">
        <v>4.68</v>
      </c>
      <c r="Z21" t="str">
        <v>2.62</v>
      </c>
      <c r="AA21" t="str">
        <v>0.44</v>
      </c>
      <c r="AB21" t="str">
        <v>聯華</v>
      </c>
      <c r="AC21" t="str">
        <v>上市食品</v>
      </c>
      <c r="AD21" t="str">
        <v>神達集團母公司，台灣最大麵粉廠</v>
      </c>
      <c r="AE21" t="str">
        <f t="array" ref="AE21:AH21">[1]!'1229.TW-CName,InvestorConferenceDate,DateofMeetingofShareHolders,TradingDate'</f>
        <v>聯華</v>
      </c>
      <c r="AF21" t="str">
        <v>2022/12/14</v>
      </c>
      <c r="AG21" t="str">
        <v>2022/06/23</v>
      </c>
      <c r="AH21" t="str">
        <v>2022/12/22</v>
      </c>
    </row>
    <row r="22" spans="1:34" x14ac:dyDescent="0.3">
      <c r="A22" t="str">
        <f t="array" ref="A22:J22">[1]!'1231.TW-ID,Name,MarketValue,Capital,NetIncomeGrowthRate,OperIncomeGrowthRate,FinancialStatementsTime,TFXRatio,MonthlyNetSalesYoY,RevenueMonth'</f>
        <v>1231</v>
      </c>
      <c r="B22" t="str">
        <v>聯華食</v>
      </c>
      <c r="C22" t="str">
        <v>165.7</v>
      </c>
      <c r="D22" t="str">
        <v>22.42</v>
      </c>
      <c r="E22" t="str">
        <v>11.36</v>
      </c>
      <c r="F22" t="str">
        <v>24.63</v>
      </c>
      <c r="G22" t="str">
        <v>2022/09</v>
      </c>
      <c r="H22" t="str">
        <v>0.28</v>
      </c>
      <c r="I22" t="str">
        <v>16.21</v>
      </c>
      <c r="J22" t="str">
        <v>2022/11</v>
      </c>
      <c r="K22" t="str">
        <f t="array" ref="K22:T22">[1]!'1231.TW-OperatingProfitRatio,Price,PriceChangeRatio,InOutRatioNumber,Value,YearReturn,MonthReturn,WeekReturn,FinanceBalanceDif,ChipsField2'</f>
        <v>10.36</v>
      </c>
      <c r="L22">
        <v>73.900000000000006</v>
      </c>
      <c r="M22">
        <v>1.51</v>
      </c>
      <c r="N22" t="str">
        <v>80.00%</v>
      </c>
      <c r="O22" t="str">
        <v>562萬</v>
      </c>
      <c r="P22" t="str">
        <v>+22.56</v>
      </c>
      <c r="Q22" t="str">
        <v>+7.73</v>
      </c>
      <c r="R22" t="str">
        <v>-0.14</v>
      </c>
      <c r="S22">
        <v>-2</v>
      </c>
      <c r="T22">
        <v>0</v>
      </c>
      <c r="U22">
        <f t="array" ref="U22:AD22">[1]!'1231.TW-ChipsField3,ChipsField1,ChipsField25,CashAndStockDividend,CashDividendYieldRate,ProfitFourSeason,ProfitSingle,CName,ExchangeIndustry,CompanyPos'</f>
        <v>0</v>
      </c>
      <c r="V22">
        <v>-30</v>
      </c>
      <c r="W22" t="str">
        <v>2022/07/04</v>
      </c>
      <c r="X22" t="str">
        <v>2.60</v>
      </c>
      <c r="Y22">
        <v>3.52</v>
      </c>
      <c r="Z22" t="str">
        <v>4.11</v>
      </c>
      <c r="AA22" t="str">
        <v>1.04</v>
      </c>
      <c r="AB22" t="str">
        <v>聯華食</v>
      </c>
      <c r="AC22" t="str">
        <v>上市食品</v>
      </c>
      <c r="AD22" t="str">
        <v>台灣休閒食品大廠，並供應7-11鮮食產品</v>
      </c>
      <c r="AE22" t="str">
        <f t="array" ref="AE22:AH22">[1]!'1231.TW-CName,InvestorConferenceDate,DateofMeetingofShareHolders,TradingDate'</f>
        <v>聯華食</v>
      </c>
      <c r="AF22" t="str">
        <v>2022/12/21</v>
      </c>
      <c r="AG22" t="str">
        <v>2022/05/27</v>
      </c>
      <c r="AH22" t="str">
        <v>2022/12/22</v>
      </c>
    </row>
    <row r="23" spans="1:34" x14ac:dyDescent="0.3">
      <c r="A23" t="str">
        <f t="array" ref="A23:J23">[1]!'1232.TW-ID,Name,MarketValue,Capital,NetIncomeGrowthRate,OperIncomeGrowthRate,FinancialStatementsTime,TFXRatio,MonthlyNetSalesYoY,RevenueMonth'</f>
        <v>1232</v>
      </c>
      <c r="B23" t="str">
        <v>大統益</v>
      </c>
      <c r="C23" t="str">
        <v>227.2</v>
      </c>
      <c r="D23" t="str">
        <v>16.00</v>
      </c>
      <c r="E23" t="str">
        <v>10.33</v>
      </c>
      <c r="F23" t="str">
        <v>1.48</v>
      </c>
      <c r="G23" t="str">
        <v>2022/09</v>
      </c>
      <c r="H23" t="str">
        <v>2.73</v>
      </c>
      <c r="I23" t="str">
        <v>7.30</v>
      </c>
      <c r="J23" t="str">
        <v>2022/11</v>
      </c>
      <c r="K23" t="str">
        <f t="array" ref="K23:T23">[1]!'1232.TW-OperatingProfitRatio,Price,PriceChangeRatio,InOutRatioNumber,Value,YearReturn,MonthReturn,WeekReturn,FinanceBalanceDif,ChipsField2'</f>
        <v>6.28</v>
      </c>
      <c r="L23">
        <v>142</v>
      </c>
      <c r="M23">
        <v>0.71</v>
      </c>
      <c r="N23" t="str">
        <v>26.67%</v>
      </c>
      <c r="O23" t="str">
        <v>667萬</v>
      </c>
      <c r="P23" t="str">
        <v>-5.51</v>
      </c>
      <c r="Q23" t="str">
        <v>-3.07</v>
      </c>
      <c r="R23" t="str">
        <v>-1.05</v>
      </c>
      <c r="S23">
        <v>2</v>
      </c>
      <c r="T23">
        <v>-114</v>
      </c>
      <c r="U23">
        <f t="array" ref="U23:AD23">[1]!'1232.TW-ChipsField3,ChipsField1,ChipsField25,CashAndStockDividend,CashDividendYieldRate,ProfitFourSeason,ProfitSingle,CName,ExchangeIndustry,CompanyPos'</f>
        <v>-4</v>
      </c>
      <c r="V23">
        <v>0</v>
      </c>
      <c r="W23" t="str">
        <v>2022/06/27</v>
      </c>
      <c r="X23" t="str">
        <v>6.00</v>
      </c>
      <c r="Y23">
        <v>4.2300000000000004</v>
      </c>
      <c r="Z23" t="str">
        <v>8.30</v>
      </c>
      <c r="AA23" t="str">
        <v>0.78</v>
      </c>
      <c r="AB23" t="str">
        <v>大統益</v>
      </c>
      <c r="AC23" t="str">
        <v>上市食品</v>
      </c>
      <c r="AD23" t="str">
        <v>亞洲最大黃豆油煉製廠商</v>
      </c>
      <c r="AE23" t="str">
        <f t="array" ref="AE23:AH23">[1]!'1232.TW-CName,InvestorConferenceDate,DateofMeetingofShareHolders,TradingDate'</f>
        <v>大統益</v>
      </c>
      <c r="AF23" t="str">
        <v>2022/03/11</v>
      </c>
      <c r="AG23" t="str">
        <v>2022/05/25</v>
      </c>
      <c r="AH23" t="str">
        <v>2022/12/22</v>
      </c>
    </row>
    <row r="24" spans="1:34" x14ac:dyDescent="0.3">
      <c r="A24" t="str">
        <f t="array" ref="A24:J24">[1]!'1233.TW-ID,Name,MarketValue,Capital,NetIncomeGrowthRate,OperIncomeGrowthRate,FinancialStatementsTime,TFXRatio,MonthlyNetSalesYoY,RevenueMonth'</f>
        <v>1233</v>
      </c>
      <c r="B24" t="str">
        <v>天仁</v>
      </c>
      <c r="C24" t="str">
        <v>29.0</v>
      </c>
      <c r="D24" t="str">
        <v>9.06</v>
      </c>
      <c r="E24" t="str">
        <v>33.08</v>
      </c>
      <c r="F24" t="str">
        <v>-8.21</v>
      </c>
      <c r="G24" t="str">
        <v>2022/09</v>
      </c>
      <c r="H24" t="str">
        <v>18.38</v>
      </c>
      <c r="I24" t="str">
        <v>10.04</v>
      </c>
      <c r="J24" t="str">
        <v>2022/11</v>
      </c>
      <c r="K24" t="str">
        <f t="array" ref="K24:T24">[1]!'1233.TW-OperatingProfitRatio,Price,PriceChangeRatio,InOutRatioNumber,Value,YearReturn,MonthReturn,WeekReturn,FinanceBalanceDif,ChipsField2'</f>
        <v>-0.90</v>
      </c>
      <c r="L24">
        <v>32.049999999999997</v>
      </c>
      <c r="M24">
        <v>0</v>
      </c>
      <c r="N24" t="str">
        <v>28.57%</v>
      </c>
      <c r="O24" t="str">
        <v>22.5萬</v>
      </c>
      <c r="P24" t="str">
        <v>-4.72</v>
      </c>
      <c r="Q24" t="str">
        <v>-1.54</v>
      </c>
      <c r="R24" t="str">
        <v>-1.69</v>
      </c>
      <c r="S24">
        <v>0</v>
      </c>
      <c r="T24">
        <v>0</v>
      </c>
      <c r="U24">
        <f t="array" ref="U24:AD24">[1]!'1233.TW-ChipsField3,ChipsField1,ChipsField25,CashAndStockDividend,CashDividendYieldRate,ProfitFourSeason,ProfitSingle,CName,ExchangeIndustry,CompanyPos'</f>
        <v>0</v>
      </c>
      <c r="V24">
        <v>-2</v>
      </c>
      <c r="W24" t="str">
        <v>2022/07/12</v>
      </c>
      <c r="X24" t="str">
        <v>0.80</v>
      </c>
      <c r="Y24">
        <v>2.5</v>
      </c>
      <c r="Z24" t="str">
        <v>0.55</v>
      </c>
      <c r="AA24" t="str">
        <v>0.08</v>
      </c>
      <c r="AB24" t="str">
        <v>天仁</v>
      </c>
      <c r="AC24" t="str">
        <v>上市食品</v>
      </c>
      <c r="AD24" t="str">
        <v>台灣知名茶葉廠商並轉投資喫茶趣</v>
      </c>
      <c r="AE24" t="str">
        <f t="array" ref="AE24:AH24">[1]!'1233.TW-CName,InvestorConferenceDate,DateofMeetingofShareHolders,TradingDate'</f>
        <v>天仁</v>
      </c>
      <c r="AF24" t="str">
        <v>2022/12/09</v>
      </c>
      <c r="AG24" t="str">
        <v>2022/06/14</v>
      </c>
      <c r="AH24" t="str">
        <v>2022/12/22</v>
      </c>
    </row>
    <row r="25" spans="1:34" x14ac:dyDescent="0.3">
      <c r="A25" t="str">
        <f t="array" ref="A25:J25">[1]!'1234.TW-ID,Name,MarketValue,Capital,NetIncomeGrowthRate,OperIncomeGrowthRate,FinancialStatementsTime,TFXRatio,MonthlyNetSalesYoY,RevenueMonth'</f>
        <v>1234</v>
      </c>
      <c r="B25" t="str">
        <v>黑松</v>
      </c>
      <c r="C25" t="str">
        <v>132.0</v>
      </c>
      <c r="D25" t="str">
        <v>40.19</v>
      </c>
      <c r="E25" t="str">
        <v>29.29</v>
      </c>
      <c r="F25" t="str">
        <v>4.08</v>
      </c>
      <c r="G25" t="str">
        <v>2022/09</v>
      </c>
      <c r="H25" t="str">
        <v>12.52</v>
      </c>
      <c r="I25" t="str">
        <v>17.27</v>
      </c>
      <c r="J25" t="str">
        <v>2022/11</v>
      </c>
      <c r="K25" t="str">
        <f t="array" ref="K25:T25">[1]!'1234.TW-OperatingProfitRatio,Price,PriceChangeRatio,InOutRatioNumber,Value,YearReturn,MonthReturn,WeekReturn,FinanceBalanceDif,ChipsField2'</f>
        <v>6.68</v>
      </c>
      <c r="L25">
        <v>32.85</v>
      </c>
      <c r="M25">
        <v>0.15</v>
      </c>
      <c r="N25" t="str">
        <v>5.13%</v>
      </c>
      <c r="O25" t="str">
        <v>394萬</v>
      </c>
      <c r="P25" t="str">
        <v>-2.55</v>
      </c>
      <c r="Q25" t="str">
        <v>-0.15</v>
      </c>
      <c r="R25" t="str">
        <v>-0.45</v>
      </c>
      <c r="S25">
        <v>1</v>
      </c>
      <c r="T25">
        <v>0</v>
      </c>
      <c r="U25">
        <f t="array" ref="U25:AD25">[1]!'1234.TW-ChipsField3,ChipsField1,ChipsField25,CashAndStockDividend,CashDividendYieldRate,ProfitFourSeason,ProfitSingle,CName,ExchangeIndustry,CompanyPos'</f>
        <v>-3</v>
      </c>
      <c r="V25">
        <v>8</v>
      </c>
      <c r="W25" t="str">
        <v>2022/07/22</v>
      </c>
      <c r="X25" t="str">
        <v>1.70</v>
      </c>
      <c r="Y25">
        <v>5.18</v>
      </c>
      <c r="Z25" t="str">
        <v>2.37</v>
      </c>
      <c r="AA25" t="str">
        <v>0.97</v>
      </c>
      <c r="AB25" t="str">
        <v>黑松</v>
      </c>
      <c r="AC25" t="str">
        <v>上市食品</v>
      </c>
      <c r="AD25" t="str">
        <v>主要從事黑松品牌飲料製造及酒品代理</v>
      </c>
      <c r="AE25" t="str">
        <f t="array" ref="AE25:AH25">[1]!'1234.TW-CName,InvestorConferenceDate,DateofMeetingofShareHolders,TradingDate'</f>
        <v>黑松</v>
      </c>
      <c r="AF25" t="str">
        <v>2022/12/21</v>
      </c>
      <c r="AG25" t="str">
        <v>2022/06/23</v>
      </c>
      <c r="AH25" t="str">
        <v>2022/12/22</v>
      </c>
    </row>
    <row r="26" spans="1:34" x14ac:dyDescent="0.3">
      <c r="A26" t="str">
        <f t="array" ref="A26:J26">[1]!'1235.TW-ID,Name,MarketValue,Capital,NetIncomeGrowthRate,OperIncomeGrowthRate,FinancialStatementsTime,TFXRatio,MonthlyNetSalesYoY,RevenueMonth'</f>
        <v>1235</v>
      </c>
      <c r="B26" t="str">
        <v>興泰</v>
      </c>
      <c r="C26" t="str">
        <v>91.9</v>
      </c>
      <c r="D26" t="str">
        <v>13.36</v>
      </c>
      <c r="E26" t="str">
        <v>106.51</v>
      </c>
      <c r="F26" t="str">
        <v>195.72</v>
      </c>
      <c r="G26" t="str">
        <v>2022/09</v>
      </c>
      <c r="H26" t="str">
        <v>-16.88</v>
      </c>
      <c r="I26" t="str">
        <v>121.86</v>
      </c>
      <c r="J26" t="str">
        <v>2022/11</v>
      </c>
      <c r="K26" t="str">
        <f t="array" ref="K26:T26">[1]!'1235.TW-OperatingProfitRatio,Price,PriceChangeRatio,InOutRatioNumber,Value,YearReturn,MonthReturn,WeekReturn,FinanceBalanceDif,ChipsField2'</f>
        <v>36.48</v>
      </c>
      <c r="L26">
        <v>68.8</v>
      </c>
      <c r="M26">
        <v>0</v>
      </c>
      <c r="N26" t="str">
        <v>34.78%</v>
      </c>
      <c r="O26" t="str">
        <v>158萬</v>
      </c>
      <c r="P26" t="str">
        <v>+104.62</v>
      </c>
      <c r="Q26" t="str">
        <v>-1.15</v>
      </c>
      <c r="R26" t="str">
        <v>-2.13</v>
      </c>
      <c r="S26">
        <v>0</v>
      </c>
      <c r="T26">
        <v>0</v>
      </c>
      <c r="U26">
        <f t="array" ref="U26:AD26">[1]!'1235.TW-ChipsField3,ChipsField1,ChipsField25,CashAndStockDividend,CashDividendYieldRate,ProfitFourSeason,ProfitSingle,CName,ExchangeIndustry,CompanyPos'</f>
        <v>0</v>
      </c>
      <c r="V26">
        <v>-1</v>
      </c>
      <c r="W26" t="str">
        <v>2022/08/30</v>
      </c>
      <c r="X26" t="str">
        <v>3.80</v>
      </c>
      <c r="Y26">
        <v>5.52</v>
      </c>
      <c r="Z26" t="str">
        <v>1.62</v>
      </c>
      <c r="AA26" t="str">
        <v>1.03</v>
      </c>
      <c r="AB26" t="str">
        <v>興泰</v>
      </c>
      <c r="AC26" t="str">
        <v>上市食品</v>
      </c>
      <c r="AD26" t="str">
        <v>生產畜產及水產類飼料之廠商</v>
      </c>
      <c r="AE26" t="str">
        <f t="array" ref="AE26:AH26">[1]!'1235.TW-CName,InvestorConferenceDate,DateofMeetingofShareHolders,TradingDate'</f>
        <v>興泰</v>
      </c>
      <c r="AF26" t="str">
        <v>2022/12/23</v>
      </c>
      <c r="AG26" t="str">
        <v>2022/06/16</v>
      </c>
      <c r="AH26" t="str">
        <v>2022/12/22</v>
      </c>
    </row>
    <row r="27" spans="1:34" x14ac:dyDescent="0.3">
      <c r="A27" t="str">
        <f t="array" ref="A27:J27">[1]!'1236.TW-ID,Name,MarketValue,Capital,NetIncomeGrowthRate,OperIncomeGrowthRate,FinancialStatementsTime,TFXRatio,MonthlyNetSalesYoY,RevenueMonth'</f>
        <v>1236</v>
      </c>
      <c r="B27" t="str">
        <v>宏亞</v>
      </c>
      <c r="C27" t="str">
        <v>23.3</v>
      </c>
      <c r="D27" t="str">
        <v>10.83</v>
      </c>
      <c r="E27" t="str">
        <v>1650.35</v>
      </c>
      <c r="F27" t="str">
        <v>51.96</v>
      </c>
      <c r="G27" t="str">
        <v>2022/09</v>
      </c>
      <c r="H27" t="str">
        <v>38.34</v>
      </c>
      <c r="I27" t="str">
        <v>28.62</v>
      </c>
      <c r="J27" t="str">
        <v>2022/11</v>
      </c>
      <c r="K27" t="str">
        <f t="array" ref="K27:T27">[1]!'1236.TW-OperatingProfitRatio,Price,PriceChangeRatio,InOutRatioNumber,Value,YearReturn,MonthReturn,WeekReturn,FinanceBalanceDif,ChipsField2'</f>
        <v>-1.46</v>
      </c>
      <c r="L27">
        <v>21.5</v>
      </c>
      <c r="M27">
        <v>0.47</v>
      </c>
      <c r="N27" t="str">
        <v>44.93%</v>
      </c>
      <c r="O27" t="str">
        <v>148萬</v>
      </c>
      <c r="P27" t="str">
        <v>-24.30</v>
      </c>
      <c r="Q27" t="str">
        <v>+3.37</v>
      </c>
      <c r="R27" t="str">
        <v>-5.49</v>
      </c>
      <c r="S27">
        <v>-7</v>
      </c>
      <c r="T27">
        <v>0</v>
      </c>
      <c r="U27">
        <f t="array" ref="U27:AD27">[1]!'1236.TW-ChipsField3,ChipsField1,ChipsField25,CashAndStockDividend,CashDividendYieldRate,ProfitFourSeason,ProfitSingle,CName,ExchangeIndustry,CompanyPos'</f>
        <v>0</v>
      </c>
      <c r="V27">
        <v>-1</v>
      </c>
      <c r="W27" t="str">
        <v>2022/07/19</v>
      </c>
      <c r="X27" t="str">
        <v>0.50</v>
      </c>
      <c r="Y27">
        <v>2.33</v>
      </c>
      <c r="Z27" t="str">
        <v>3.68</v>
      </c>
      <c r="AA27" t="str">
        <v>0.14</v>
      </c>
      <c r="AB27" t="str">
        <v>宏亞</v>
      </c>
      <c r="AC27" t="str">
        <v>上市食品</v>
      </c>
      <c r="AD27" t="str">
        <v>旗下七七巧克力與禮坊喜餅為知名品牌</v>
      </c>
      <c r="AE27" t="str">
        <f t="array" ref="AE27:AH27">[1]!'1236.TW-CName,InvestorConferenceDate,DateofMeetingofShareHolders,TradingDate'</f>
        <v>宏亞</v>
      </c>
      <c r="AF27" t="str">
        <v>2022/12/28</v>
      </c>
      <c r="AG27" t="str">
        <v>2022/06/29</v>
      </c>
      <c r="AH27" t="str">
        <v>2022/12/22</v>
      </c>
    </row>
    <row r="28" spans="1:34" x14ac:dyDescent="0.3">
      <c r="A28" t="str">
        <f t="array" ref="A28:J28">[1]!'1256.TW-ID,Name,MarketValue,Capital,NetIncomeGrowthRate,OperIncomeGrowthRate,FinancialStatementsTime,TFXRatio,MonthlyNetSalesYoY,RevenueMonth'</f>
        <v>1256</v>
      </c>
      <c r="B28" t="str">
        <v>鮮活果汁-KY</v>
      </c>
      <c r="C28" t="str">
        <v>92.2</v>
      </c>
      <c r="D28" t="str">
        <v>3.38</v>
      </c>
      <c r="E28" t="str">
        <v>-44.52</v>
      </c>
      <c r="F28" t="str">
        <v>-53.72</v>
      </c>
      <c r="G28" t="str">
        <v>2022/09</v>
      </c>
      <c r="H28" t="str">
        <v>28.74</v>
      </c>
      <c r="I28" t="str">
        <v>-7.76</v>
      </c>
      <c r="J28" t="str">
        <v>2022/11</v>
      </c>
      <c r="K28" t="str">
        <f t="array" ref="K28:T28">[1]!'1256.TW-OperatingProfitRatio,Price,PriceChangeRatio,InOutRatioNumber,Value,YearReturn,MonthReturn,WeekReturn,FinanceBalanceDif,ChipsField2'</f>
        <v>13.43</v>
      </c>
      <c r="L28">
        <v>272.5</v>
      </c>
      <c r="M28">
        <v>1.87</v>
      </c>
      <c r="N28" t="str">
        <v>50.00%</v>
      </c>
      <c r="O28" t="str">
        <v>163萬</v>
      </c>
      <c r="P28" t="str">
        <v>-11.16</v>
      </c>
      <c r="Q28" t="str">
        <v>+18.22</v>
      </c>
      <c r="R28" t="str">
        <v>-3.88</v>
      </c>
      <c r="S28">
        <v>1</v>
      </c>
      <c r="T28">
        <v>0</v>
      </c>
      <c r="U28">
        <f t="array" ref="U28:AD28">[1]!'1256.TW-ChipsField3,ChipsField1,ChipsField25,CashAndStockDividend,CashDividendYieldRate,ProfitFourSeason,ProfitSingle,CName,ExchangeIndustry,CompanyPos'</f>
        <v>0</v>
      </c>
      <c r="V28">
        <v>-1</v>
      </c>
      <c r="W28" t="str">
        <v>2022/07/22</v>
      </c>
      <c r="X28" t="str">
        <v>13.00</v>
      </c>
      <c r="Y28">
        <v>4.7699999999999996</v>
      </c>
      <c r="Z28" t="str">
        <v>10.23</v>
      </c>
      <c r="AA28" t="str">
        <v>6.57</v>
      </c>
      <c r="AB28" t="str">
        <v>鮮活果汁-KY</v>
      </c>
      <c r="AC28" t="str">
        <v>上市食品</v>
      </c>
      <c r="AD28" t="str">
        <v>大陸最大原料型濃縮果汁、果粉、果粒供應商</v>
      </c>
      <c r="AE28" t="str">
        <f t="array" ref="AE28:AH28">[1]!'1256.TW-CName,InvestorConferenceDate,DateofMeetingofShareHolders,TradingDate'</f>
        <v>鮮活果汁-KY</v>
      </c>
      <c r="AF28" t="str">
        <v>2022/12/09</v>
      </c>
      <c r="AG28" t="str">
        <v>2022/05/26</v>
      </c>
      <c r="AH28" t="str">
        <v>2022/12/22</v>
      </c>
    </row>
    <row r="29" spans="1:34" x14ac:dyDescent="0.3">
      <c r="A29" t="str">
        <f t="array" ref="A29:J29">[1]!'1702.TW-ID,Name,MarketValue,Capital,NetIncomeGrowthRate,OperIncomeGrowthRate,FinancialStatementsTime,TFXRatio,MonthlyNetSalesYoY,RevenueMonth'</f>
        <v>1702</v>
      </c>
      <c r="B29" t="str">
        <v>南僑</v>
      </c>
      <c r="C29" t="str">
        <v>132.9</v>
      </c>
      <c r="D29" t="str">
        <v>29.41</v>
      </c>
      <c r="E29" t="str">
        <v>-37.03</v>
      </c>
      <c r="F29" t="str">
        <v>-46.62</v>
      </c>
      <c r="G29" t="str">
        <v>2022/09</v>
      </c>
      <c r="H29" t="str">
        <v>7.52</v>
      </c>
      <c r="I29" t="str">
        <v>11.18</v>
      </c>
      <c r="J29" t="str">
        <v>2022/11</v>
      </c>
      <c r="K29" t="str">
        <f t="array" ref="K29:T29">[1]!'1702.TW-OperatingProfitRatio,Price,PriceChangeRatio,InOutRatioNumber,Value,YearReturn,MonthReturn,WeekReturn,FinanceBalanceDif,ChipsField2'</f>
        <v>4.74</v>
      </c>
      <c r="L29">
        <v>45.2</v>
      </c>
      <c r="M29">
        <v>0.89</v>
      </c>
      <c r="N29" t="str">
        <v>45.24%</v>
      </c>
      <c r="O29" t="str">
        <v>379萬</v>
      </c>
      <c r="P29" t="str">
        <v>-4.17</v>
      </c>
      <c r="Q29" t="str">
        <v>+2.38</v>
      </c>
      <c r="R29" t="str">
        <v>+0.67</v>
      </c>
      <c r="S29">
        <v>8</v>
      </c>
      <c r="T29">
        <v>0</v>
      </c>
      <c r="U29">
        <f t="array" ref="U29:AD29">[1]!'1702.TW-ChipsField3,ChipsField1,ChipsField25,CashAndStockDividend,CashDividendYieldRate,ProfitFourSeason,ProfitSingle,CName,ExchangeIndustry,CompanyPos'</f>
        <v>-9</v>
      </c>
      <c r="V29">
        <v>-93</v>
      </c>
      <c r="W29" t="str">
        <v>2022/06/02</v>
      </c>
      <c r="X29" t="str">
        <v>2.20</v>
      </c>
      <c r="Y29">
        <v>4.87</v>
      </c>
      <c r="Z29" t="str">
        <v>2.92</v>
      </c>
      <c r="AA29" t="str">
        <v>0.40</v>
      </c>
      <c r="AB29" t="str">
        <v>南僑</v>
      </c>
      <c r="AC29" t="str">
        <v>上市食品</v>
      </c>
      <c r="AD29" t="str">
        <v>台灣最大烘焙用油脂廠，轉投資餐飲事業眾多品牌</v>
      </c>
      <c r="AE29" t="str">
        <f t="array" ref="AE29:AH29">[1]!'1702.TW-CName,InvestorConferenceDate,DateofMeetingofShareHolders,TradingDate'</f>
        <v>南僑</v>
      </c>
      <c r="AF29" t="str">
        <v>2022/06/22</v>
      </c>
      <c r="AG29" t="str">
        <v>2022/06/02</v>
      </c>
      <c r="AH29" t="str">
        <v>2022/12/22</v>
      </c>
    </row>
    <row r="30" spans="1:34" x14ac:dyDescent="0.3">
      <c r="A30" t="str">
        <f t="array" ref="A30:J30">[1]!'1737.TW-ID,Name,MarketValue,Capital,NetIncomeGrowthRate,OperIncomeGrowthRate,FinancialStatementsTime,TFXRatio,MonthlyNetSalesYoY,RevenueMonth'</f>
        <v>1737</v>
      </c>
      <c r="B30" t="str">
        <v>臺鹽</v>
      </c>
      <c r="C30" t="str">
        <v>64.3</v>
      </c>
      <c r="D30" t="str">
        <v>20.00</v>
      </c>
      <c r="E30" t="str">
        <v>0.85</v>
      </c>
      <c r="F30" t="str">
        <v>-15.51</v>
      </c>
      <c r="G30" t="str">
        <v>2022/09</v>
      </c>
      <c r="H30" t="str">
        <v>-9.09</v>
      </c>
      <c r="I30" t="str">
        <v>8.15</v>
      </c>
      <c r="J30" t="str">
        <v>2022/11</v>
      </c>
      <c r="K30" t="str">
        <f t="array" ref="K30:T30">[1]!'1737.TW-OperatingProfitRatio,Price,PriceChangeRatio,InOutRatioNumber,Value,YearReturn,MonthReturn,WeekReturn,FinanceBalanceDif,ChipsField2'</f>
        <v>12.67</v>
      </c>
      <c r="L30">
        <v>32.15</v>
      </c>
      <c r="M30">
        <v>-0.16</v>
      </c>
      <c r="N30" t="str">
        <v>26.47%</v>
      </c>
      <c r="O30" t="str">
        <v>109萬</v>
      </c>
      <c r="P30" t="str">
        <v>+1.42</v>
      </c>
      <c r="Q30" t="str">
        <v>+2.55</v>
      </c>
      <c r="R30" t="str">
        <v>+0.47</v>
      </c>
      <c r="S30">
        <v>0</v>
      </c>
      <c r="T30">
        <v>0</v>
      </c>
      <c r="U30">
        <f t="array" ref="U30:AD30">[1]!'1737.TW-ChipsField3,ChipsField1,ChipsField25,CashAndStockDividend,CashDividendYieldRate,ProfitFourSeason,ProfitSingle,CName,ExchangeIndustry,CompanyPos'</f>
        <v>-1</v>
      </c>
      <c r="V30">
        <v>26</v>
      </c>
      <c r="W30" t="str">
        <v>2022/08/23</v>
      </c>
      <c r="X30" t="str">
        <v>1.50</v>
      </c>
      <c r="Y30">
        <v>4.67</v>
      </c>
      <c r="Z30" t="str">
        <v>2.10</v>
      </c>
      <c r="AA30" t="str">
        <v>0.81</v>
      </c>
      <c r="AB30" t="str">
        <v>臺鹽</v>
      </c>
      <c r="AC30" t="str">
        <v>上市食品</v>
      </c>
      <c r="AD30" t="str">
        <v>台灣最大製鹽商，並跨足生技及水產品</v>
      </c>
      <c r="AE30" t="str">
        <f t="array" ref="AE30:AH30">[1]!'1737.TW-CName,InvestorConferenceDate,DateofMeetingofShareHolders,TradingDate'</f>
        <v>臺鹽</v>
      </c>
      <c r="AF30" t="str">
        <v>2022/08/26</v>
      </c>
      <c r="AG30" t="str">
        <v>2022/06/23</v>
      </c>
      <c r="AH30" t="str">
        <v>2022/12/22</v>
      </c>
    </row>
    <row r="31" spans="1:34" x14ac:dyDescent="0.3">
      <c r="A31" t="str">
        <f t="array" ref="A31:J31">[1]!'1301.TW-ID,Name,MarketValue,Capital,NetIncomeGrowthRate,OperIncomeGrowthRate,FinancialStatementsTime,TFXRatio,MonthlyNetSalesYoY,RevenueMonth'</f>
        <v>1301</v>
      </c>
      <c r="B31" t="str">
        <v>台塑</v>
      </c>
      <c r="C31" t="str">
        <v>5550.9</v>
      </c>
      <c r="D31" t="str">
        <v>636.57</v>
      </c>
      <c r="E31" t="str">
        <v>-20.13</v>
      </c>
      <c r="F31" t="str">
        <v>-33.94</v>
      </c>
      <c r="G31" t="str">
        <v>2022/09</v>
      </c>
      <c r="H31" t="str">
        <v>1.90</v>
      </c>
      <c r="I31" t="str">
        <v>-29.20</v>
      </c>
      <c r="J31" t="str">
        <v>2022/11</v>
      </c>
      <c r="K31" t="str">
        <f t="array" ref="K31:T31">[1]!'1301.TW-OperatingProfitRatio,Price,PriceChangeRatio,InOutRatioNumber,Value,YearReturn,MonthReturn,WeekReturn,FinanceBalanceDif,ChipsField2'</f>
        <v>14.51</v>
      </c>
      <c r="L31">
        <v>87.2</v>
      </c>
      <c r="M31">
        <v>2.11</v>
      </c>
      <c r="N31" t="str">
        <v>75.09%</v>
      </c>
      <c r="O31" t="str">
        <v>12.2億</v>
      </c>
      <c r="P31" t="str">
        <v>-8.79</v>
      </c>
      <c r="Q31" t="str">
        <v>-0.91</v>
      </c>
      <c r="R31" t="str">
        <v>0.00</v>
      </c>
      <c r="S31">
        <v>11</v>
      </c>
      <c r="T31">
        <v>7750</v>
      </c>
      <c r="U31">
        <f t="array" ref="U31:AD31">[1]!'1301.TW-ChipsField3,ChipsField1,ChipsField25,CashAndStockDividend,CashDividendYieldRate,ProfitFourSeason,ProfitSingle,CName,ExchangeIndustry,CompanyPos'</f>
        <v>-438</v>
      </c>
      <c r="V31">
        <v>-9298</v>
      </c>
      <c r="W31" t="str">
        <v>2022/07/05</v>
      </c>
      <c r="X31" t="str">
        <v>8.20</v>
      </c>
      <c r="Y31">
        <v>9.4</v>
      </c>
      <c r="Z31" t="str">
        <v>9.49</v>
      </c>
      <c r="AA31" t="str">
        <v>0.90</v>
      </c>
      <c r="AB31" t="str">
        <v>台塑</v>
      </c>
      <c r="AC31" t="str">
        <v>上市塑膠</v>
      </c>
      <c r="AD31" t="str">
        <v>台灣最大塑化集團，亞洲最大PVC生產商</v>
      </c>
      <c r="AE31" t="str">
        <f t="array" ref="AE31:AH31">[1]!'1301.TW-CName,InvestorConferenceDate,DateofMeetingofShareHolders,TradingDate'</f>
        <v>台塑</v>
      </c>
      <c r="AF31" t="str">
        <v>2022/03/14</v>
      </c>
      <c r="AG31" t="str">
        <v>2022/06/09</v>
      </c>
      <c r="AH31" t="str">
        <v>2022/12/22</v>
      </c>
    </row>
    <row r="32" spans="1:34" x14ac:dyDescent="0.3">
      <c r="A32" t="str">
        <f t="array" ref="A32:J32">[1]!'1303.TW-ID,Name,MarketValue,Capital,NetIncomeGrowthRate,OperIncomeGrowthRate,FinancialStatementsTime,TFXRatio,MonthlyNetSalesYoY,RevenueMonth'</f>
        <v>1303</v>
      </c>
      <c r="B32" t="str">
        <v>南亞</v>
      </c>
      <c r="C32" t="str">
        <v>5662.6</v>
      </c>
      <c r="D32" t="str">
        <v>793.08</v>
      </c>
      <c r="E32" t="str">
        <v>-43.50</v>
      </c>
      <c r="F32" t="str">
        <v>-56.65</v>
      </c>
      <c r="G32" t="str">
        <v>2022/09</v>
      </c>
      <c r="H32" t="str">
        <v>-5.35</v>
      </c>
      <c r="I32" t="str">
        <v>-30.08</v>
      </c>
      <c r="J32" t="str">
        <v>2022/11</v>
      </c>
      <c r="K32" t="str">
        <f t="array" ref="K32:T32">[1]!'1303.TW-OperatingProfitRatio,Price,PriceChangeRatio,InOutRatioNumber,Value,YearReturn,MonthReturn,WeekReturn,FinanceBalanceDif,ChipsField2'</f>
        <v>9.60</v>
      </c>
      <c r="L32">
        <v>71.400000000000006</v>
      </c>
      <c r="M32">
        <v>1.28</v>
      </c>
      <c r="N32" t="str">
        <v>76.36%</v>
      </c>
      <c r="O32" t="str">
        <v>10.3億</v>
      </c>
      <c r="P32" t="str">
        <v>-6.72</v>
      </c>
      <c r="Q32" t="str">
        <v>-3.38</v>
      </c>
      <c r="R32" t="str">
        <v>-3.38</v>
      </c>
      <c r="S32">
        <v>42</v>
      </c>
      <c r="T32">
        <v>9676</v>
      </c>
      <c r="U32">
        <f t="array" ref="U32:AD32">[1]!'1303.TW-ChipsField3,ChipsField1,ChipsField25,CashAndStockDividend,CashDividendYieldRate,ProfitFourSeason,ProfitSingle,CName,ExchangeIndustry,CompanyPos'</f>
        <v>-330</v>
      </c>
      <c r="V32">
        <v>-9653</v>
      </c>
      <c r="W32" t="str">
        <v>2022/07/06</v>
      </c>
      <c r="X32" t="str">
        <v>7.50</v>
      </c>
      <c r="Y32">
        <v>10.5</v>
      </c>
      <c r="Z32" t="str">
        <v>6.33</v>
      </c>
      <c r="AA32" t="str">
        <v>0.43</v>
      </c>
      <c r="AB32" t="str">
        <v>南亞</v>
      </c>
      <c r="AC32" t="str">
        <v>上市塑膠</v>
      </c>
      <c r="AD32" t="str">
        <v>全球最大的塑膠加工廠、第四大EG廠</v>
      </c>
      <c r="AE32" t="str">
        <f t="array" ref="AE32:AH32">[1]!'1303.TW-CName,InvestorConferenceDate,DateofMeetingofShareHolders,TradingDate'</f>
        <v>南亞</v>
      </c>
      <c r="AF32" t="str">
        <v>2021/05/18</v>
      </c>
      <c r="AG32" t="str">
        <v>2022/06/10</v>
      </c>
      <c r="AH32" t="str">
        <v>2022/12/22</v>
      </c>
    </row>
    <row r="33" spans="1:34" x14ac:dyDescent="0.3">
      <c r="A33" t="str">
        <f t="array" ref="A33:J33">[1]!'1304.TW-ID,Name,MarketValue,Capital,NetIncomeGrowthRate,OperIncomeGrowthRate,FinancialStatementsTime,TFXRatio,MonthlyNetSalesYoY,RevenueMonth'</f>
        <v>1304</v>
      </c>
      <c r="B33" t="str">
        <v>台聚</v>
      </c>
      <c r="C33" t="str">
        <v>258.6</v>
      </c>
      <c r="D33" t="str">
        <v>118.88</v>
      </c>
      <c r="E33" t="str">
        <v>-99.97</v>
      </c>
      <c r="F33" t="str">
        <v>-54.92</v>
      </c>
      <c r="G33" t="str">
        <v>2022/09</v>
      </c>
      <c r="H33" t="str">
        <v>-7.32</v>
      </c>
      <c r="I33" t="str">
        <v>-31.28</v>
      </c>
      <c r="J33" t="str">
        <v>2022/11</v>
      </c>
      <c r="K33" t="str">
        <f t="array" ref="K33:T33">[1]!'1304.TW-OperatingProfitRatio,Price,PriceChangeRatio,InOutRatioNumber,Value,YearReturn,MonthReturn,WeekReturn,FinanceBalanceDif,ChipsField2'</f>
        <v>7.83</v>
      </c>
      <c r="L33">
        <v>21.75</v>
      </c>
      <c r="M33">
        <v>3.82</v>
      </c>
      <c r="N33" t="str">
        <v>50.91%</v>
      </c>
      <c r="O33" t="str">
        <v>2.04億</v>
      </c>
      <c r="P33" t="str">
        <v>-23.13</v>
      </c>
      <c r="Q33" t="str">
        <v>+6.10</v>
      </c>
      <c r="R33" t="str">
        <v>+0.23</v>
      </c>
      <c r="S33">
        <v>29</v>
      </c>
      <c r="T33">
        <v>-2874</v>
      </c>
      <c r="U33">
        <f t="array" ref="U33:AD33">[1]!'1304.TW-ChipsField3,ChipsField1,ChipsField25,CashAndStockDividend,CashDividendYieldRate,ProfitFourSeason,ProfitSingle,CName,ExchangeIndustry,CompanyPos'</f>
        <v>-66</v>
      </c>
      <c r="V33">
        <v>2307</v>
      </c>
      <c r="W33" t="str">
        <v>2022/07/28</v>
      </c>
      <c r="X33" t="str">
        <v>2.20</v>
      </c>
      <c r="Y33">
        <v>10.11</v>
      </c>
      <c r="Z33" t="str">
        <v>2.48</v>
      </c>
      <c r="AA33" t="str">
        <v>0.16</v>
      </c>
      <c r="AB33" t="str">
        <v>台聚</v>
      </c>
      <c r="AC33" t="str">
        <v>上市塑膠</v>
      </c>
      <c r="AD33" t="str">
        <v>台灣EVA、PE知名廠商</v>
      </c>
      <c r="AE33" t="str">
        <f t="array" ref="AE33:AH33">[1]!'1304.TW-CName,InvestorConferenceDate,DateofMeetingofShareHolders,TradingDate'</f>
        <v>台聚</v>
      </c>
      <c r="AF33" t="str">
        <v>2022/11/17</v>
      </c>
      <c r="AG33" t="str">
        <v>2022/05/31</v>
      </c>
      <c r="AH33" t="str">
        <v>2022/12/22</v>
      </c>
    </row>
    <row r="34" spans="1:34" x14ac:dyDescent="0.3">
      <c r="A34" t="str">
        <f t="array" ref="A34:J34">[1]!'1305.TW-ID,Name,MarketValue,Capital,NetIncomeGrowthRate,OperIncomeGrowthRate,FinancialStatementsTime,TFXRatio,MonthlyNetSalesYoY,RevenueMonth'</f>
        <v>1305</v>
      </c>
      <c r="B34" t="str">
        <v>華夏</v>
      </c>
      <c r="C34" t="str">
        <v>152.2</v>
      </c>
      <c r="D34" t="str">
        <v>58.11</v>
      </c>
      <c r="E34" t="str">
        <v>-115.01</v>
      </c>
      <c r="F34" t="str">
        <v>-135.94</v>
      </c>
      <c r="G34" t="str">
        <v>2022/09</v>
      </c>
      <c r="H34" t="str">
        <v>-3.80</v>
      </c>
      <c r="I34" t="str">
        <v>-38.42</v>
      </c>
      <c r="J34" t="str">
        <v>2022/11</v>
      </c>
      <c r="K34" t="str">
        <f t="array" ref="K34:T34">[1]!'1305.TW-OperatingProfitRatio,Price,PriceChangeRatio,InOutRatioNumber,Value,YearReturn,MonthReturn,WeekReturn,FinanceBalanceDif,ChipsField2'</f>
        <v>-6.45</v>
      </c>
      <c r="L34">
        <v>26.2</v>
      </c>
      <c r="M34">
        <v>8.94</v>
      </c>
      <c r="N34" t="str">
        <v>71.11%</v>
      </c>
      <c r="O34" t="str">
        <v>3.20億</v>
      </c>
      <c r="P34" t="str">
        <v>-15.59</v>
      </c>
      <c r="Q34" t="str">
        <v>+28.43</v>
      </c>
      <c r="R34" t="str">
        <v>+3.35</v>
      </c>
      <c r="S34">
        <v>47</v>
      </c>
      <c r="T34">
        <v>50</v>
      </c>
      <c r="U34">
        <f t="array" ref="U34:AD34">[1]!'1305.TW-ChipsField3,ChipsField1,ChipsField25,CashAndStockDividend,CashDividendYieldRate,ProfitFourSeason,ProfitSingle,CName,ExchangeIndustry,CompanyPos'</f>
        <v>-39</v>
      </c>
      <c r="V34">
        <v>-323</v>
      </c>
      <c r="W34" t="str">
        <v>2022/07/28</v>
      </c>
      <c r="X34" t="str">
        <v>2.50</v>
      </c>
      <c r="Y34">
        <v>9.5399999999999991</v>
      </c>
      <c r="Z34" t="str">
        <v>0.49</v>
      </c>
      <c r="AA34" t="str">
        <v>-1.17</v>
      </c>
      <c r="AB34" t="str">
        <v>華夏</v>
      </c>
      <c r="AC34" t="str">
        <v>上市塑膠</v>
      </c>
      <c r="AD34" t="str">
        <v>台灣第二大PVC廠，轉投資台氯</v>
      </c>
      <c r="AE34" t="str">
        <f t="array" ref="AE34:AH34">[1]!'1305.TW-CName,InvestorConferenceDate,DateofMeetingofShareHolders,TradingDate'</f>
        <v>華夏</v>
      </c>
      <c r="AF34" t="str">
        <v>2022/11/16</v>
      </c>
      <c r="AG34" t="str">
        <v>2022/05/30</v>
      </c>
      <c r="AH34" t="str">
        <v>2022/12/22</v>
      </c>
    </row>
    <row r="35" spans="1:34" x14ac:dyDescent="0.3">
      <c r="A35" t="str">
        <f t="array" ref="A35:J35">[1]!'1307.TW-ID,Name,MarketValue,Capital,NetIncomeGrowthRate,OperIncomeGrowthRate,FinancialStatementsTime,TFXRatio,MonthlyNetSalesYoY,RevenueMonth'</f>
        <v>1307</v>
      </c>
      <c r="B35" t="str">
        <v>三芳</v>
      </c>
      <c r="C35" t="str">
        <v>82.7</v>
      </c>
      <c r="D35" t="str">
        <v>39.78</v>
      </c>
      <c r="E35" t="str">
        <v>372.65</v>
      </c>
      <c r="F35" t="str">
        <v>-27.22</v>
      </c>
      <c r="G35" t="str">
        <v>2022/09</v>
      </c>
      <c r="H35" t="str">
        <v>0.65</v>
      </c>
      <c r="I35" t="str">
        <v>2.53</v>
      </c>
      <c r="J35" t="str">
        <v>2022/11</v>
      </c>
      <c r="K35" t="str">
        <f t="array" ref="K35:T35">[1]!'1307.TW-OperatingProfitRatio,Price,PriceChangeRatio,InOutRatioNumber,Value,YearReturn,MonthReturn,WeekReturn,FinanceBalanceDif,ChipsField2'</f>
        <v>2.07</v>
      </c>
      <c r="L35">
        <v>20.8</v>
      </c>
      <c r="M35">
        <v>0.73</v>
      </c>
      <c r="N35" t="str">
        <v>51.22%</v>
      </c>
      <c r="O35" t="str">
        <v>184萬</v>
      </c>
      <c r="P35" t="str">
        <v>+3.09</v>
      </c>
      <c r="Q35" t="str">
        <v>-0.72</v>
      </c>
      <c r="R35" t="str">
        <v>-1.65</v>
      </c>
      <c r="S35">
        <v>0</v>
      </c>
      <c r="T35">
        <v>0</v>
      </c>
      <c r="U35">
        <f t="array" ref="U35:AD35">[1]!'1307.TW-ChipsField3,ChipsField1,ChipsField25,CashAndStockDividend,CashDividendYieldRate,ProfitFourSeason,ProfitSingle,CName,ExchangeIndustry,CompanyPos'</f>
        <v>-4</v>
      </c>
      <c r="V35">
        <v>-6</v>
      </c>
      <c r="W35" t="str">
        <v>2022/07/07</v>
      </c>
      <c r="X35" t="str">
        <v>0.50</v>
      </c>
      <c r="Y35">
        <v>2.4</v>
      </c>
      <c r="Z35" t="str">
        <v>1.19</v>
      </c>
      <c r="AA35" t="str">
        <v>0.46</v>
      </c>
      <c r="AB35" t="str">
        <v>三芳</v>
      </c>
      <c r="AC35" t="str">
        <v>上市塑膠</v>
      </c>
      <c r="AD35" t="str">
        <v>全球最大的合成皮生產商</v>
      </c>
      <c r="AE35" t="str">
        <f t="array" ref="AE35:AH35">[1]!'1307.TW-CName,InvestorConferenceDate,DateofMeetingofShareHolders,TradingDate'</f>
        <v>三芳</v>
      </c>
      <c r="AF35" t="str">
        <v>2022/09/20</v>
      </c>
      <c r="AG35" t="str">
        <v>2022/06/21</v>
      </c>
      <c r="AH35" t="str">
        <v>2022/12/22</v>
      </c>
    </row>
    <row r="36" spans="1:34" x14ac:dyDescent="0.3">
      <c r="A36" t="str">
        <f t="array" ref="A36:J36">[1]!'1308.TW-ID,Name,MarketValue,Capital,NetIncomeGrowthRate,OperIncomeGrowthRate,FinancialStatementsTime,TFXRatio,MonthlyNetSalesYoY,RevenueMonth'</f>
        <v>1308</v>
      </c>
      <c r="B36" t="str">
        <v>亞聚</v>
      </c>
      <c r="C36" t="str">
        <v>168.9</v>
      </c>
      <c r="D36" t="str">
        <v>59.37</v>
      </c>
      <c r="E36" t="str">
        <v>-46.94</v>
      </c>
      <c r="F36" t="str">
        <v>3.21</v>
      </c>
      <c r="G36" t="str">
        <v>2022/09</v>
      </c>
      <c r="H36" t="str">
        <v>-9.65</v>
      </c>
      <c r="I36" t="str">
        <v>-24.61</v>
      </c>
      <c r="J36" t="str">
        <v>2022/11</v>
      </c>
      <c r="K36" t="str">
        <f t="array" ref="K36:T36">[1]!'1308.TW-OperatingProfitRatio,Price,PriceChangeRatio,InOutRatioNumber,Value,YearReturn,MonthReturn,WeekReturn,FinanceBalanceDif,ChipsField2'</f>
        <v>30.04</v>
      </c>
      <c r="L36">
        <v>28.45</v>
      </c>
      <c r="M36">
        <v>2.34</v>
      </c>
      <c r="N36" t="str">
        <v>61.24%</v>
      </c>
      <c r="O36" t="str">
        <v>6189萬</v>
      </c>
      <c r="P36" t="str">
        <v>-13.43</v>
      </c>
      <c r="Q36" t="str">
        <v>+6.16</v>
      </c>
      <c r="R36" t="str">
        <v>-0.70</v>
      </c>
      <c r="S36">
        <v>-18</v>
      </c>
      <c r="T36">
        <v>0</v>
      </c>
      <c r="U36">
        <f t="array" ref="U36:AD36">[1]!'1308.TW-ChipsField3,ChipsField1,ChipsField25,CashAndStockDividend,CashDividendYieldRate,ProfitFourSeason,ProfitSingle,CName,ExchangeIndustry,CompanyPos'</f>
        <v>-29</v>
      </c>
      <c r="V36">
        <v>437</v>
      </c>
      <c r="W36" t="str">
        <v>2022/07/28</v>
      </c>
      <c r="X36" t="str">
        <v>3.00</v>
      </c>
      <c r="Y36">
        <v>10.54</v>
      </c>
      <c r="Z36" t="str">
        <v>3.52</v>
      </c>
      <c r="AA36" t="str">
        <v>0.76</v>
      </c>
      <c r="AB36" t="str">
        <v>亞聚</v>
      </c>
      <c r="AC36" t="str">
        <v>上市塑膠</v>
      </c>
      <c r="AD36" t="str">
        <v>台灣EVA及LDPE知名廠商</v>
      </c>
      <c r="AE36" t="str">
        <f t="array" ref="AE36:AH36">[1]!'1308.TW-CName,InvestorConferenceDate,DateofMeetingofShareHolders,TradingDate'</f>
        <v>亞聚</v>
      </c>
      <c r="AF36" t="str">
        <v>2022/05/18</v>
      </c>
      <c r="AG36" t="str">
        <v>2022/05/27</v>
      </c>
      <c r="AH36" t="str">
        <v>2022/12/22</v>
      </c>
    </row>
    <row r="37" spans="1:34" x14ac:dyDescent="0.3">
      <c r="A37" t="str">
        <f t="array" ref="A37:J37">[1]!'1309.TW-ID,Name,MarketValue,Capital,NetIncomeGrowthRate,OperIncomeGrowthRate,FinancialStatementsTime,TFXRatio,MonthlyNetSalesYoY,RevenueMonth'</f>
        <v>1309</v>
      </c>
      <c r="B37" t="str">
        <v>台達化</v>
      </c>
      <c r="C37" t="str">
        <v>88.7</v>
      </c>
      <c r="D37" t="str">
        <v>39.76</v>
      </c>
      <c r="E37" t="str">
        <v>-67.52</v>
      </c>
      <c r="F37" t="str">
        <v>-84.03</v>
      </c>
      <c r="G37" t="str">
        <v>2022/09</v>
      </c>
      <c r="H37" t="str">
        <v>-8.96</v>
      </c>
      <c r="I37" t="str">
        <v>-37.71</v>
      </c>
      <c r="J37" t="str">
        <v>2022/11</v>
      </c>
      <c r="K37" t="str">
        <f t="array" ref="K37:T37">[1]!'1309.TW-OperatingProfitRatio,Price,PriceChangeRatio,InOutRatioNumber,Value,YearReturn,MonthReturn,WeekReturn,FinanceBalanceDif,ChipsField2'</f>
        <v>1.94</v>
      </c>
      <c r="L37">
        <v>22.3</v>
      </c>
      <c r="M37">
        <v>5.19</v>
      </c>
      <c r="N37" t="str">
        <v>67.81%</v>
      </c>
      <c r="O37" t="str">
        <v>4955萬</v>
      </c>
      <c r="P37" t="str">
        <v>-25.05</v>
      </c>
      <c r="Q37" t="str">
        <v>+11.50</v>
      </c>
      <c r="R37" t="str">
        <v>+0.90</v>
      </c>
      <c r="S37">
        <v>80</v>
      </c>
      <c r="T37">
        <v>0</v>
      </c>
      <c r="U37">
        <f t="array" ref="U37:AD37">[1]!'1309.TW-ChipsField3,ChipsField1,ChipsField25,CashAndStockDividend,CashDividendYieldRate,ProfitFourSeason,ProfitSingle,CName,ExchangeIndustry,CompanyPos'</f>
        <v>-16</v>
      </c>
      <c r="V37">
        <v>-35</v>
      </c>
      <c r="W37" t="str">
        <v>2022/07/28</v>
      </c>
      <c r="X37" t="str">
        <v>2.50</v>
      </c>
      <c r="Y37">
        <v>11.21</v>
      </c>
      <c r="Z37" t="str">
        <v>2.36</v>
      </c>
      <c r="AA37" t="str">
        <v>0.09</v>
      </c>
      <c r="AB37" t="str">
        <v>台達化</v>
      </c>
      <c r="AC37" t="str">
        <v>上市塑膠</v>
      </c>
      <c r="AD37" t="str">
        <v>台灣第三大PS廠</v>
      </c>
      <c r="AE37" t="str">
        <f t="array" ref="AE37:AH37">[1]!'1309.TW-CName,InvestorConferenceDate,DateofMeetingofShareHolders,TradingDate'</f>
        <v>台達化</v>
      </c>
      <c r="AF37" t="str">
        <v>2022/05/18</v>
      </c>
      <c r="AG37" t="str">
        <v>2022/05/27</v>
      </c>
      <c r="AH37" t="str">
        <v>2022/12/22</v>
      </c>
    </row>
    <row r="38" spans="1:34" x14ac:dyDescent="0.3">
      <c r="A38" t="str">
        <f t="array" ref="A38:J38">[1]!'1310.TW-ID,Name,MarketValue,Capital,NetIncomeGrowthRate,OperIncomeGrowthRate,FinancialStatementsTime,TFXRatio,MonthlyNetSalesYoY,RevenueMonth'</f>
        <v>1310</v>
      </c>
      <c r="B38" t="str">
        <v>台苯</v>
      </c>
      <c r="C38" t="str">
        <v>70.7</v>
      </c>
      <c r="D38" t="str">
        <v>52.79</v>
      </c>
      <c r="E38" t="str">
        <v>-155.66</v>
      </c>
      <c r="F38" t="str">
        <v>-283.57</v>
      </c>
      <c r="G38" t="str">
        <v>2022/09</v>
      </c>
      <c r="H38" t="str">
        <v>-5.12</v>
      </c>
      <c r="I38" t="str">
        <v>-32.11</v>
      </c>
      <c r="J38" t="str">
        <v>2022/11</v>
      </c>
      <c r="K38" t="str">
        <f t="array" ref="K38:T38">[1]!'1310.TW-OperatingProfitRatio,Price,PriceChangeRatio,InOutRatioNumber,Value,YearReturn,MonthReturn,WeekReturn,FinanceBalanceDif,ChipsField2'</f>
        <v>-3.36</v>
      </c>
      <c r="L38">
        <v>13.4</v>
      </c>
      <c r="M38">
        <v>1.52</v>
      </c>
      <c r="N38" t="str">
        <v>41.62%</v>
      </c>
      <c r="O38" t="str">
        <v>562萬</v>
      </c>
      <c r="P38" t="str">
        <v>-21.28</v>
      </c>
      <c r="Q38" t="str">
        <v>+3.08</v>
      </c>
      <c r="R38" t="str">
        <v>-2.19</v>
      </c>
      <c r="S38">
        <v>59</v>
      </c>
      <c r="T38">
        <v>0</v>
      </c>
      <c r="U38">
        <f t="array" ref="U38:AD38">[1]!'1310.TW-ChipsField3,ChipsField1,ChipsField25,CashAndStockDividend,CashDividendYieldRate,ProfitFourSeason,ProfitSingle,CName,ExchangeIndustry,CompanyPos'</f>
        <v>-32</v>
      </c>
      <c r="V38">
        <v>10</v>
      </c>
      <c r="W38" t="str">
        <v>2022/09/14</v>
      </c>
      <c r="X38" t="str">
        <v>0.15</v>
      </c>
      <c r="Y38">
        <v>1.1200000000000001</v>
      </c>
      <c r="Z38" t="str">
        <v>-0.88</v>
      </c>
      <c r="AA38" t="str">
        <v>-0.33</v>
      </c>
      <c r="AB38" t="str">
        <v>台苯</v>
      </c>
      <c r="AC38" t="str">
        <v>上市塑膠</v>
      </c>
      <c r="AD38" t="str">
        <v>台灣第三大SM廠</v>
      </c>
      <c r="AE38" t="str">
        <f t="array" ref="AE38:AH38">[1]!'1310.TW-CName,InvestorConferenceDate,DateofMeetingofShareHolders,TradingDate'</f>
        <v>台苯</v>
      </c>
      <c r="AF38" t="str">
        <v>2022/09/22</v>
      </c>
      <c r="AG38" t="str">
        <v>2022/06/22</v>
      </c>
      <c r="AH38" t="str">
        <v>2022/12/22</v>
      </c>
    </row>
    <row r="39" spans="1:34" x14ac:dyDescent="0.3">
      <c r="A39" t="str">
        <f t="array" ref="A39:J39">[1]!'1312.TW-ID,Name,MarketValue,Capital,NetIncomeGrowthRate,OperIncomeGrowthRate,FinancialStatementsTime,TFXRatio,MonthlyNetSalesYoY,RevenueMonth'</f>
        <v>1312</v>
      </c>
      <c r="B39" t="str">
        <v>國喬</v>
      </c>
      <c r="C39" t="str">
        <v>170.0</v>
      </c>
      <c r="D39" t="str">
        <v>90.66</v>
      </c>
      <c r="E39" t="str">
        <v>-102.25</v>
      </c>
      <c r="F39" t="str">
        <v>-115.04</v>
      </c>
      <c r="G39" t="str">
        <v>2022/09</v>
      </c>
      <c r="H39" t="str">
        <v>-6.68</v>
      </c>
      <c r="I39" t="str">
        <v>-34.14</v>
      </c>
      <c r="J39" t="str">
        <v>2022/11</v>
      </c>
      <c r="K39" t="str">
        <f t="array" ref="K39:T39">[1]!'1312.TW-OperatingProfitRatio,Price,PriceChangeRatio,InOutRatioNumber,Value,YearReturn,MonthReturn,WeekReturn,FinanceBalanceDif,ChipsField2'</f>
        <v>-2.73</v>
      </c>
      <c r="L39">
        <v>18.75</v>
      </c>
      <c r="M39">
        <v>3.31</v>
      </c>
      <c r="N39" t="str">
        <v>59.69%</v>
      </c>
      <c r="O39" t="str">
        <v>9853萬</v>
      </c>
      <c r="P39" t="str">
        <v>-26.36</v>
      </c>
      <c r="Q39" t="str">
        <v>+8.07</v>
      </c>
      <c r="R39" t="str">
        <v>-0.27</v>
      </c>
      <c r="S39">
        <v>109</v>
      </c>
      <c r="T39">
        <v>0</v>
      </c>
      <c r="U39">
        <f t="array" ref="U39:AD39">[1]!'1312.TW-ChipsField3,ChipsField1,ChipsField25,CashAndStockDividend,CashDividendYieldRate,ProfitFourSeason,ProfitSingle,CName,ExchangeIndustry,CompanyPos'</f>
        <v>-3406</v>
      </c>
      <c r="V39">
        <v>-482</v>
      </c>
      <c r="W39" t="str">
        <v>2022/07/14</v>
      </c>
      <c r="X39" t="str">
        <v>2.00</v>
      </c>
      <c r="Y39">
        <v>10.67</v>
      </c>
      <c r="Z39" t="str">
        <v>0.69</v>
      </c>
      <c r="AA39" t="str">
        <v>-0.69</v>
      </c>
      <c r="AB39" t="str">
        <v>國喬</v>
      </c>
      <c r="AC39" t="str">
        <v>上市塑膠</v>
      </c>
      <c r="AD39" t="str">
        <v>台灣第二大SM及ABS廠</v>
      </c>
      <c r="AE39" t="str">
        <f t="array" ref="AE39:AH39">[1]!'1312.TW-CName,InvestorConferenceDate,DateofMeetingofShareHolders,TradingDate'</f>
        <v>國喬</v>
      </c>
      <c r="AF39" t="str">
        <v>2022/11/24</v>
      </c>
      <c r="AG39" t="str">
        <v>2022/05/20</v>
      </c>
      <c r="AH39" t="str">
        <v>2022/12/22</v>
      </c>
    </row>
    <row r="40" spans="1:34" x14ac:dyDescent="0.3">
      <c r="A40" t="str">
        <f t="array" ref="A40:J40">[1]!'1313.TW-ID,Name,MarketValue,Capital,NetIncomeGrowthRate,OperIncomeGrowthRate,FinancialStatementsTime,TFXRatio,MonthlyNetSalesYoY,RevenueMonth'</f>
        <v>1313</v>
      </c>
      <c r="B40" t="str">
        <v>聯成</v>
      </c>
      <c r="C40" t="str">
        <v>190.3</v>
      </c>
      <c r="D40" t="str">
        <v>135.49</v>
      </c>
      <c r="E40" t="str">
        <v>-127.22</v>
      </c>
      <c r="F40" t="str">
        <v>-153.96</v>
      </c>
      <c r="G40" t="str">
        <v>2022/09</v>
      </c>
      <c r="H40" t="str">
        <v>15.25</v>
      </c>
      <c r="I40" t="str">
        <v>-20.43</v>
      </c>
      <c r="J40" t="str">
        <v>2022/11</v>
      </c>
      <c r="K40" t="str">
        <f t="array" ref="K40:T40">[1]!'1313.TW-OperatingProfitRatio,Price,PriceChangeRatio,InOutRatioNumber,Value,YearReturn,MonthReturn,WeekReturn,FinanceBalanceDif,ChipsField2'</f>
        <v>-3.36</v>
      </c>
      <c r="L40">
        <v>14.05</v>
      </c>
      <c r="M40">
        <v>4.07</v>
      </c>
      <c r="N40" t="str">
        <v>66.49%</v>
      </c>
      <c r="O40" t="str">
        <v>3517萬</v>
      </c>
      <c r="P40" t="str">
        <v>-29.91</v>
      </c>
      <c r="Q40" t="str">
        <v>+11.51</v>
      </c>
      <c r="R40" t="str">
        <v>+1.08</v>
      </c>
      <c r="S40">
        <v>-41</v>
      </c>
      <c r="T40">
        <v>0</v>
      </c>
      <c r="U40">
        <f t="array" ref="U40:AD40">[1]!'1313.TW-ChipsField3,ChipsField1,ChipsField25,CashAndStockDividend,CashDividendYieldRate,ProfitFourSeason,ProfitSingle,CName,ExchangeIndustry,CompanyPos'</f>
        <v>-76</v>
      </c>
      <c r="V40">
        <v>326</v>
      </c>
      <c r="W40" t="str">
        <v>2022/03/24</v>
      </c>
      <c r="X40" t="str">
        <v>1.00</v>
      </c>
      <c r="Y40">
        <v>7.12</v>
      </c>
      <c r="Z40" t="str">
        <v>-1.30</v>
      </c>
      <c r="AA40" t="str">
        <v>-0.65</v>
      </c>
      <c r="AB40" t="str">
        <v>聯成</v>
      </c>
      <c r="AC40" t="str">
        <v>上市塑膠</v>
      </c>
      <c r="AD40" t="str">
        <v>全球最大可塑劑及苯酐供應商</v>
      </c>
      <c r="AE40" t="str">
        <f t="array" ref="AE40:AH40">[1]!'1313.TW-CName,InvestorConferenceDate,DateofMeetingofShareHolders,TradingDate'</f>
        <v>聯成</v>
      </c>
      <c r="AF40" t="str">
        <v>2022/11/22</v>
      </c>
      <c r="AG40" t="str">
        <v>2022/05/26</v>
      </c>
      <c r="AH40" t="str">
        <v>2022/12/22</v>
      </c>
    </row>
    <row r="41" spans="1:34" x14ac:dyDescent="0.3">
      <c r="A41" t="str">
        <f t="array" ref="A41:J41">[1]!'1314.TW-ID,Name,MarketValue,Capital,NetIncomeGrowthRate,OperIncomeGrowthRate,FinancialStatementsTime,TFXRatio,MonthlyNetSalesYoY,RevenueMonth'</f>
        <v>1314</v>
      </c>
      <c r="B41" t="str">
        <v>中石化</v>
      </c>
      <c r="C41" t="str">
        <v>377.0</v>
      </c>
      <c r="D41" t="str">
        <v>378.49</v>
      </c>
      <c r="E41" t="str">
        <v>-74.93</v>
      </c>
      <c r="F41" t="str">
        <v>-206.65</v>
      </c>
      <c r="G41" t="str">
        <v>2022/09</v>
      </c>
      <c r="H41" t="str">
        <v>-18.96</v>
      </c>
      <c r="I41" t="str">
        <v>-60.49</v>
      </c>
      <c r="J41" t="str">
        <v>2022/11</v>
      </c>
      <c r="K41" t="str">
        <f t="array" ref="K41:T41">[1]!'1314.TW-OperatingProfitRatio,Price,PriceChangeRatio,InOutRatioNumber,Value,YearReturn,MonthReturn,WeekReturn,FinanceBalanceDif,ChipsField2'</f>
        <v>-10.89</v>
      </c>
      <c r="L41">
        <v>9.9600000000000009</v>
      </c>
      <c r="M41">
        <v>2.4700000000000002</v>
      </c>
      <c r="N41" t="str">
        <v>64.00%</v>
      </c>
      <c r="O41" t="str">
        <v>6189萬</v>
      </c>
      <c r="P41" t="str">
        <v>-17.02</v>
      </c>
      <c r="Q41" t="str">
        <v>+2.15</v>
      </c>
      <c r="R41" t="str">
        <v>-0.90</v>
      </c>
      <c r="S41">
        <v>-157</v>
      </c>
      <c r="T41">
        <v>0</v>
      </c>
      <c r="U41">
        <f t="array" ref="U41:AD41">[1]!'1314.TW-ChipsField3,ChipsField1,ChipsField25,CashAndStockDividend,CashDividendYieldRate,ProfitFourSeason,ProfitSingle,CName,ExchangeIndustry,CompanyPos'</f>
        <v>-494</v>
      </c>
      <c r="V41">
        <v>-1113</v>
      </c>
      <c r="W41" t="str">
        <v>2022/06/27</v>
      </c>
      <c r="X41" t="str">
        <v>0.40</v>
      </c>
      <c r="Y41">
        <v>4.0199999999999996</v>
      </c>
      <c r="Z41" t="str">
        <v>0.32</v>
      </c>
      <c r="AA41" t="str">
        <v>0.43</v>
      </c>
      <c r="AB41" t="str">
        <v>中石化</v>
      </c>
      <c r="AC41" t="str">
        <v>上市塑膠</v>
      </c>
      <c r="AD41" t="str">
        <v>台灣第一大CPL廠</v>
      </c>
      <c r="AE41" t="str">
        <f t="array" ref="AE41:AH41">[1]!'1314.TW-CName,InvestorConferenceDate,DateofMeetingofShareHolders,TradingDate'</f>
        <v>中石化</v>
      </c>
      <c r="AF41" t="str">
        <v>2022/10/14</v>
      </c>
      <c r="AG41" t="str">
        <v>2022/05/27</v>
      </c>
      <c r="AH41" t="str">
        <v>2022/12/22</v>
      </c>
    </row>
    <row r="42" spans="1:34" x14ac:dyDescent="0.3">
      <c r="A42" t="str">
        <f t="array" ref="A42:J42">[1]!'1315.TW-ID,Name,MarketValue,Capital,NetIncomeGrowthRate,OperIncomeGrowthRate,FinancialStatementsTime,TFXRatio,MonthlyNetSalesYoY,RevenueMonth'</f>
        <v>1315</v>
      </c>
      <c r="B42" t="str">
        <v>達新</v>
      </c>
      <c r="C42" t="str">
        <v>69.8</v>
      </c>
      <c r="D42" t="str">
        <v>9.91</v>
      </c>
      <c r="E42" t="str">
        <v>28753.75</v>
      </c>
      <c r="F42" t="str">
        <v>868.42</v>
      </c>
      <c r="G42" t="str">
        <v>2022/09</v>
      </c>
      <c r="H42" t="str">
        <v>4.69</v>
      </c>
      <c r="I42" t="str">
        <v>-6.95</v>
      </c>
      <c r="J42" t="str">
        <v>2022/11</v>
      </c>
      <c r="K42" t="str">
        <f t="array" ref="K42:T42">[1]!'1315.TW-OperatingProfitRatio,Price,PriceChangeRatio,InOutRatioNumber,Value,YearReturn,MonthReturn,WeekReturn,FinanceBalanceDif,ChipsField2'</f>
        <v>5.83</v>
      </c>
      <c r="L42">
        <v>70.400000000000006</v>
      </c>
      <c r="M42">
        <v>1.1499999999999999</v>
      </c>
      <c r="N42" t="str">
        <v>75.00%</v>
      </c>
      <c r="O42" t="str">
        <v>28.1萬</v>
      </c>
      <c r="P42" t="str">
        <v>-12.95</v>
      </c>
      <c r="Q42" t="str">
        <v>+2.47</v>
      </c>
      <c r="R42" t="str">
        <v>-1.68</v>
      </c>
      <c r="S42">
        <v>1</v>
      </c>
      <c r="T42">
        <v>0</v>
      </c>
      <c r="U42">
        <f t="array" ref="U42:AD42">[1]!'1315.TW-ChipsField3,ChipsField1,ChipsField25,CashAndStockDividend,CashDividendYieldRate,ProfitFourSeason,ProfitSingle,CName,ExchangeIndustry,CompanyPos'</f>
        <v>0</v>
      </c>
      <c r="V42">
        <v>-1</v>
      </c>
      <c r="W42" t="str">
        <v>2022/09/05</v>
      </c>
      <c r="X42" t="str">
        <v>2.50</v>
      </c>
      <c r="Y42">
        <v>6.39</v>
      </c>
      <c r="Z42" t="str">
        <v>6.87</v>
      </c>
      <c r="AA42" t="str">
        <v>5.29</v>
      </c>
      <c r="AB42" t="str">
        <v>達新</v>
      </c>
      <c r="AC42" t="str">
        <v>上市塑膠</v>
      </c>
      <c r="AD42" t="str">
        <v>台灣知名雨衣及成衣製造商</v>
      </c>
      <c r="AE42" t="str">
        <f t="array" ref="AE42:AH42">[1]!'1315.TW-CName,InvestorConferenceDate,DateofMeetingofShareHolders,TradingDate'</f>
        <v>達新</v>
      </c>
      <c r="AF42" t="str">
        <v>2022/12/22</v>
      </c>
      <c r="AG42" t="str">
        <v>2022/06/17</v>
      </c>
      <c r="AH42" t="str">
        <v>2022/12/22</v>
      </c>
    </row>
    <row r="43" spans="1:34" x14ac:dyDescent="0.3">
      <c r="A43" t="str">
        <f t="array" ref="A43:J43">[1]!'1321.TW-ID,Name,MarketValue,Capital,NetIncomeGrowthRate,OperIncomeGrowthRate,FinancialStatementsTime,TFXRatio,MonthlyNetSalesYoY,RevenueMonth'</f>
        <v>1321</v>
      </c>
      <c r="B43" t="str">
        <v>大洋</v>
      </c>
      <c r="C43" t="str">
        <v>76.1</v>
      </c>
      <c r="D43" t="str">
        <v>22.72</v>
      </c>
      <c r="E43" t="str">
        <v>-77.71</v>
      </c>
      <c r="F43" t="str">
        <v>-150.45</v>
      </c>
      <c r="G43" t="str">
        <v>2022/09</v>
      </c>
      <c r="H43" t="str">
        <v>-0.56</v>
      </c>
      <c r="I43" t="str">
        <v>-9.43</v>
      </c>
      <c r="J43" t="str">
        <v>2022/11</v>
      </c>
      <c r="K43" t="str">
        <f t="array" ref="K43:T43">[1]!'1321.TW-OperatingProfitRatio,Price,PriceChangeRatio,InOutRatioNumber,Value,YearReturn,MonthReturn,WeekReturn,FinanceBalanceDif,ChipsField2'</f>
        <v>-2.40</v>
      </c>
      <c r="L43">
        <v>33.5</v>
      </c>
      <c r="M43">
        <v>0.3</v>
      </c>
      <c r="N43" t="str">
        <v>12.57%</v>
      </c>
      <c r="O43" t="str">
        <v>639萬</v>
      </c>
      <c r="P43" t="str">
        <v>-1.76</v>
      </c>
      <c r="Q43" t="str">
        <v>+2.13</v>
      </c>
      <c r="R43" t="str">
        <v>-1.47</v>
      </c>
      <c r="S43">
        <v>-19</v>
      </c>
      <c r="T43">
        <v>0</v>
      </c>
      <c r="U43">
        <f t="array" ref="U43:AD43">[1]!'1321.TW-ChipsField3,ChipsField1,ChipsField25,CashAndStockDividend,CashDividendYieldRate,ProfitFourSeason,ProfitSingle,CName,ExchangeIndustry,CompanyPos'</f>
        <v>0</v>
      </c>
      <c r="V43">
        <v>-5</v>
      </c>
      <c r="W43" t="str">
        <v>2022/08/25</v>
      </c>
      <c r="X43" t="str">
        <v>0.70</v>
      </c>
      <c r="Y43">
        <v>2.09</v>
      </c>
      <c r="Z43" t="str">
        <v>0.27</v>
      </c>
      <c r="AA43" t="str">
        <v>0.39</v>
      </c>
      <c r="AB43" t="str">
        <v>大洋</v>
      </c>
      <c r="AC43" t="str">
        <v>上市塑膠</v>
      </c>
      <c r="AD43" t="str">
        <v>台灣第三大PVC廠，並有資產開發題材</v>
      </c>
      <c r="AE43" t="str">
        <f t="array" ref="AE43:AH43">[1]!'1321.TW-CName,InvestorConferenceDate,DateofMeetingofShareHolders,TradingDate'</f>
        <v>大洋</v>
      </c>
      <c r="AF43" t="str">
        <v>2022/08/29</v>
      </c>
      <c r="AG43" t="str">
        <v>2022/06/21</v>
      </c>
      <c r="AH43" t="str">
        <v>2022/12/22</v>
      </c>
    </row>
    <row r="44" spans="1:34" x14ac:dyDescent="0.3">
      <c r="A44" t="str">
        <f t="array" ref="A44:J44">[1]!'1323.TW-ID,Name,MarketValue,Capital,NetIncomeGrowthRate,OperIncomeGrowthRate,FinancialStatementsTime,TFXRatio,MonthlyNetSalesYoY,RevenueMonth'</f>
        <v>1323</v>
      </c>
      <c r="B44" t="str">
        <v>永裕</v>
      </c>
      <c r="C44" t="str">
        <v>29.8</v>
      </c>
      <c r="D44" t="str">
        <v>9.13</v>
      </c>
      <c r="E44" t="str">
        <v>-17.33</v>
      </c>
      <c r="F44" t="str">
        <v>-23.79</v>
      </c>
      <c r="G44" t="str">
        <v>2022/09</v>
      </c>
      <c r="H44" t="str">
        <v>-8.27</v>
      </c>
      <c r="I44" t="str">
        <v>-10.68</v>
      </c>
      <c r="J44" t="str">
        <v>2022/11</v>
      </c>
      <c r="K44" t="str">
        <f t="array" ref="K44:T44">[1]!'1323.TW-OperatingProfitRatio,Price,PriceChangeRatio,InOutRatioNumber,Value,YearReturn,MonthReturn,WeekReturn,FinanceBalanceDif,ChipsField2'</f>
        <v>9.02</v>
      </c>
      <c r="L44">
        <v>32.6</v>
      </c>
      <c r="M44">
        <v>-0.15</v>
      </c>
      <c r="N44" t="str">
        <v>47.06%</v>
      </c>
      <c r="O44" t="str">
        <v>111萬</v>
      </c>
      <c r="P44" t="str">
        <v>-2.14</v>
      </c>
      <c r="Q44" t="str">
        <v>-0.15</v>
      </c>
      <c r="R44" t="str">
        <v>-0.91</v>
      </c>
      <c r="S44">
        <v>9</v>
      </c>
      <c r="T44">
        <v>0</v>
      </c>
      <c r="U44">
        <f t="array" ref="U44:AD44">[1]!'1323.TW-ChipsField3,ChipsField1,ChipsField25,CashAndStockDividend,CashDividendYieldRate,ProfitFourSeason,ProfitSingle,CName,ExchangeIndustry,CompanyPos'</f>
        <v>0</v>
      </c>
      <c r="V44">
        <v>8</v>
      </c>
      <c r="W44" t="str">
        <v>2022/06/23</v>
      </c>
      <c r="X44" t="str">
        <v>1.60</v>
      </c>
      <c r="Y44">
        <v>4.91</v>
      </c>
      <c r="Z44" t="str">
        <v>2.17</v>
      </c>
      <c r="AA44" t="str">
        <v>0.55</v>
      </c>
      <c r="AB44" t="str">
        <v>永裕</v>
      </c>
      <c r="AC44" t="str">
        <v>上市塑膠</v>
      </c>
      <c r="AD44" t="str">
        <v>台灣知名的塑膠瓶及軟管製造商</v>
      </c>
      <c r="AE44" t="str">
        <f t="array" ref="AE44:AH44">[1]!'1323.TW-CName,InvestorConferenceDate,DateofMeetingofShareHolders,TradingDate'</f>
        <v>永裕</v>
      </c>
      <c r="AF44" t="str">
        <v>2022/11/14</v>
      </c>
      <c r="AG44" t="str">
        <v>2022/06/22</v>
      </c>
      <c r="AH44" t="str">
        <v>2022/12/22</v>
      </c>
    </row>
    <row r="45" spans="1:34" x14ac:dyDescent="0.3">
      <c r="A45" t="str">
        <f t="array" ref="A45:J45">[1]!'1324.TW-ID,Name,MarketValue,Capital,NetIncomeGrowthRate,OperIncomeGrowthRate,FinancialStatementsTime,TFXRatio,MonthlyNetSalesYoY,RevenueMonth'</f>
        <v>1324</v>
      </c>
      <c r="B45" t="str">
        <v>地球</v>
      </c>
      <c r="C45" t="str">
        <v>8.1</v>
      </c>
      <c r="D45" t="str">
        <v>7.51</v>
      </c>
      <c r="E45" t="str">
        <v>30.20</v>
      </c>
      <c r="F45" t="str">
        <v>-1996.54</v>
      </c>
      <c r="G45" t="str">
        <v>2022/09</v>
      </c>
      <c r="H45" t="str">
        <v>22.88</v>
      </c>
      <c r="I45" t="str">
        <v>-6.76</v>
      </c>
      <c r="J45" t="str">
        <v>2022/11</v>
      </c>
      <c r="K45" t="str">
        <f t="array" ref="K45:T45">[1]!'1324.TW-OperatingProfitRatio,Price,PriceChangeRatio,InOutRatioNumber,Value,YearReturn,MonthReturn,WeekReturn,FinanceBalanceDif,ChipsField2'</f>
        <v>-1.15</v>
      </c>
      <c r="L45">
        <v>10.75</v>
      </c>
      <c r="M45">
        <v>0.47</v>
      </c>
      <c r="N45" t="str">
        <v>20.00%</v>
      </c>
      <c r="O45" t="str">
        <v>5.33萬</v>
      </c>
      <c r="P45" t="str">
        <v>-6.48</v>
      </c>
      <c r="Q45" t="str">
        <v>+3.37</v>
      </c>
      <c r="R45" t="str">
        <v>+2.38</v>
      </c>
      <c r="S45">
        <v>-14</v>
      </c>
      <c r="T45">
        <v>0</v>
      </c>
      <c r="U45">
        <f t="array" ref="U45:AD45">[1]!'1324.TW-ChipsField3,ChipsField1,ChipsField25,CashAndStockDividend,CashDividendYieldRate,ProfitFourSeason,ProfitSingle,CName,ExchangeIndustry,CompanyPos'</f>
        <v>0</v>
      </c>
      <c r="V45">
        <v>1</v>
      </c>
      <c r="W45" t="str">
        <v>2022/08/19</v>
      </c>
      <c r="X45" t="str">
        <v>0.20</v>
      </c>
      <c r="Y45">
        <v>1.86</v>
      </c>
      <c r="Z45" t="str">
        <v>0.04</v>
      </c>
      <c r="AA45" t="str">
        <v>-0.01</v>
      </c>
      <c r="AB45" t="str">
        <v>地球</v>
      </c>
      <c r="AC45" t="str">
        <v>上市塑膠</v>
      </c>
      <c r="AD45" t="str">
        <v>台灣主要PVC膠帶供應商</v>
      </c>
      <c r="AE45" t="str">
        <f t="array" ref="AE45:AH45">[1]!'1324.TW-CName,InvestorConferenceDate,DateofMeetingofShareHolders,TradingDate'</f>
        <v>地球</v>
      </c>
      <c r="AF45" t="str">
        <v>2022/03/11</v>
      </c>
      <c r="AG45" t="str">
        <v>2022/06/09</v>
      </c>
      <c r="AH45" t="str">
        <v>2022/12/22</v>
      </c>
    </row>
    <row r="46" spans="1:34" x14ac:dyDescent="0.3">
      <c r="A46" t="str">
        <f t="array" ref="A46:J46">[1]!'1325.TW-ID,Name,MarketValue,Capital,NetIncomeGrowthRate,OperIncomeGrowthRate,FinancialStatementsTime,TFXRatio,MonthlyNetSalesYoY,RevenueMonth'</f>
        <v>1325</v>
      </c>
      <c r="B46" t="str">
        <v>恆大</v>
      </c>
      <c r="C46" t="str">
        <v>22.4</v>
      </c>
      <c r="D46" t="str">
        <v>8.53</v>
      </c>
      <c r="E46" t="str">
        <v>-89.66</v>
      </c>
      <c r="F46" t="str">
        <v>-103.28</v>
      </c>
      <c r="G46" t="str">
        <v>2022/09</v>
      </c>
      <c r="H46" t="str">
        <v>27.81</v>
      </c>
      <c r="I46" t="str">
        <v>-9.60</v>
      </c>
      <c r="J46" t="str">
        <v>2022/11</v>
      </c>
      <c r="K46" t="str">
        <f t="array" ref="K46:T46">[1]!'1325.TW-OperatingProfitRatio,Price,PriceChangeRatio,InOutRatioNumber,Value,YearReturn,MonthReturn,WeekReturn,FinanceBalanceDif,ChipsField2'</f>
        <v>-2.77</v>
      </c>
      <c r="L46">
        <v>26.3</v>
      </c>
      <c r="M46">
        <v>-3.13</v>
      </c>
      <c r="N46" t="str">
        <v>30.45%</v>
      </c>
      <c r="O46" t="str">
        <v>3072萬</v>
      </c>
      <c r="P46" t="str">
        <v>-37.48</v>
      </c>
      <c r="Q46" t="str">
        <v>+16.37</v>
      </c>
      <c r="R46" t="str">
        <v>+8.68</v>
      </c>
      <c r="S46">
        <v>54</v>
      </c>
      <c r="T46">
        <v>0</v>
      </c>
      <c r="U46">
        <f t="array" ref="U46:AD46">[1]!'1325.TW-ChipsField3,ChipsField1,ChipsField25,CashAndStockDividend,CashDividendYieldRate,ProfitFourSeason,ProfitSingle,CName,ExchangeIndustry,CompanyPos'</f>
        <v>-3</v>
      </c>
      <c r="V46">
        <v>-174</v>
      </c>
      <c r="W46" t="str">
        <v>2022/07/18</v>
      </c>
      <c r="X46" t="str">
        <v>2.00</v>
      </c>
      <c r="Y46">
        <v>7.6</v>
      </c>
      <c r="Z46" t="str">
        <v>0.43</v>
      </c>
      <c r="AA46" t="str">
        <v>0.28</v>
      </c>
      <c r="AB46" t="str">
        <v>恆大</v>
      </c>
      <c r="AC46" t="str">
        <v>上市塑膠</v>
      </c>
      <c r="AD46" t="str">
        <v>台灣最大的紡結不織布生產廠</v>
      </c>
      <c r="AE46" t="str">
        <f t="array" ref="AE46:AH46">[1]!'1325.TW-CName,InvestorConferenceDate,DateofMeetingofShareHolders,TradingDate'</f>
        <v>恆大</v>
      </c>
      <c r="AF46" t="str">
        <v>2022/12/23</v>
      </c>
      <c r="AG46" t="str">
        <v>2022/06/29</v>
      </c>
      <c r="AH46" t="str">
        <v>2022/12/22</v>
      </c>
    </row>
    <row r="47" spans="1:34" x14ac:dyDescent="0.3">
      <c r="A47" t="str">
        <f t="array" ref="A47:J47">[1]!'1326.TW-ID,Name,MarketValue,Capital,NetIncomeGrowthRate,OperIncomeGrowthRate,FinancialStatementsTime,TFXRatio,MonthlyNetSalesYoY,RevenueMonth'</f>
        <v>1326</v>
      </c>
      <c r="B47" t="str">
        <v>台化</v>
      </c>
      <c r="C47" t="str">
        <v>4097.0</v>
      </c>
      <c r="D47" t="str">
        <v>586.12</v>
      </c>
      <c r="E47" t="str">
        <v>-55.30</v>
      </c>
      <c r="F47" t="str">
        <v>-100.05</v>
      </c>
      <c r="G47" t="str">
        <v>2022/09</v>
      </c>
      <c r="H47" t="str">
        <v>-12.33</v>
      </c>
      <c r="I47" t="str">
        <v>-15.62</v>
      </c>
      <c r="J47" t="str">
        <v>2022/11</v>
      </c>
      <c r="K47" t="str">
        <f t="array" ref="K47:T47">[1]!'1326.TW-OperatingProfitRatio,Price,PriceChangeRatio,InOutRatioNumber,Value,YearReturn,MonthReturn,WeekReturn,FinanceBalanceDif,ChipsField2'</f>
        <v>0.00</v>
      </c>
      <c r="L47">
        <v>69.900000000000006</v>
      </c>
      <c r="M47">
        <v>0.72</v>
      </c>
      <c r="N47" t="str">
        <v>69.24%</v>
      </c>
      <c r="O47" t="str">
        <v>8590萬</v>
      </c>
      <c r="P47" t="str">
        <v>-7.04</v>
      </c>
      <c r="Q47" t="str">
        <v>-3.98</v>
      </c>
      <c r="R47" t="str">
        <v>-2.24</v>
      </c>
      <c r="S47">
        <v>-19</v>
      </c>
      <c r="T47">
        <v>8</v>
      </c>
      <c r="U47">
        <f t="array" ref="U47:AD47">[1]!'1326.TW-ChipsField3,ChipsField1,ChipsField25,CashAndStockDividend,CashDividendYieldRate,ProfitFourSeason,ProfitSingle,CName,ExchangeIndustry,CompanyPos'</f>
        <v>-297</v>
      </c>
      <c r="V47">
        <v>-161</v>
      </c>
      <c r="W47" t="str">
        <v>2022/06/28</v>
      </c>
      <c r="X47" t="str">
        <v>4.80</v>
      </c>
      <c r="Y47">
        <v>6.87</v>
      </c>
      <c r="Z47" t="str">
        <v>3.15</v>
      </c>
      <c r="AA47" t="str">
        <v>0.43</v>
      </c>
      <c r="AB47" t="str">
        <v>台化</v>
      </c>
      <c r="AC47" t="str">
        <v>上市塑膠</v>
      </c>
      <c r="AD47" t="str">
        <v>台灣最大的PTA廠</v>
      </c>
      <c r="AE47" t="str">
        <f t="array" ref="AE47:AH47">[1]!'1326.TW-CName,InvestorConferenceDate,DateofMeetingofShareHolders,TradingDate'</f>
        <v>台化</v>
      </c>
      <c r="AF47" t="str">
        <v>2022/08/24</v>
      </c>
      <c r="AG47" t="str">
        <v>2022/06/08</v>
      </c>
      <c r="AH47" t="str">
        <v>2022/12/22</v>
      </c>
    </row>
    <row r="48" spans="1:34" x14ac:dyDescent="0.3">
      <c r="A48" t="str">
        <f t="array" ref="A48:J48">[1]!'1337.TW-ID,Name,MarketValue,Capital,NetIncomeGrowthRate,OperIncomeGrowthRate,FinancialStatementsTime,TFXRatio,MonthlyNetSalesYoY,RevenueMonth'</f>
        <v>1337</v>
      </c>
      <c r="B48" t="str">
        <v>再生-KY</v>
      </c>
      <c r="C48" t="str">
        <v>18.6</v>
      </c>
      <c r="D48" t="str">
        <v>26.90</v>
      </c>
      <c r="E48" t="str">
        <v>-1.17</v>
      </c>
      <c r="F48" t="str">
        <v>4.97</v>
      </c>
      <c r="G48" t="str">
        <v>2022/09</v>
      </c>
      <c r="H48" t="str">
        <v>10.90</v>
      </c>
      <c r="I48" t="str">
        <v>-47.39</v>
      </c>
      <c r="J48" t="str">
        <v>2022/11</v>
      </c>
      <c r="K48" t="str">
        <f t="array" ref="K48:T48">[1]!'1337.TW-OperatingProfitRatio,Price,PriceChangeRatio,InOutRatioNumber,Value,YearReturn,MonthReturn,WeekReturn,FinanceBalanceDif,ChipsField2'</f>
        <v>-75.55</v>
      </c>
      <c r="L48">
        <v>6.9</v>
      </c>
      <c r="M48">
        <v>0.73</v>
      </c>
      <c r="N48" t="str">
        <v>38.97%</v>
      </c>
      <c r="O48" t="str">
        <v>241萬</v>
      </c>
      <c r="P48" t="str">
        <v>-3.23</v>
      </c>
      <c r="Q48" t="str">
        <v>-0.14</v>
      </c>
      <c r="R48" t="str">
        <v>-3.36</v>
      </c>
      <c r="S48">
        <v>8</v>
      </c>
      <c r="T48">
        <v>0</v>
      </c>
      <c r="U48">
        <f t="array" ref="U48:AD48">[1]!'1337.TW-ChipsField3,ChipsField1,ChipsField25,CashAndStockDividend,CashDividendYieldRate,ProfitFourSeason,ProfitSingle,CName,ExchangeIndustry,CompanyPos'</f>
        <v>0</v>
      </c>
      <c r="V48">
        <v>-13</v>
      </c>
      <c r="W48" t="str">
        <v>--</v>
      </c>
      <c r="X48" t="str">
        <v>0.00</v>
      </c>
      <c r="Y48">
        <v>0</v>
      </c>
      <c r="Z48" t="str">
        <v>-1.73</v>
      </c>
      <c r="AA48" t="str">
        <v>-0.53</v>
      </c>
      <c r="AB48" t="str">
        <v>再生-KY</v>
      </c>
      <c r="AC48" t="str">
        <v>上市塑膠</v>
      </c>
      <c r="AD48" t="str">
        <v>大陸第一大EVA發泡材商</v>
      </c>
      <c r="AE48" t="str">
        <f t="array" ref="AE48:AH48">[1]!'1337.TW-CName,InvestorConferenceDate,DateofMeetingofShareHolders,TradingDate'</f>
        <v>再生-KY</v>
      </c>
      <c r="AF48" t="str">
        <v>2022/12/07</v>
      </c>
      <c r="AG48" t="str">
        <v>2022/06/15</v>
      </c>
      <c r="AH48" t="str">
        <v>2022/12/22</v>
      </c>
    </row>
    <row r="49" spans="1:34" x14ac:dyDescent="0.3">
      <c r="A49" t="str">
        <f t="array" ref="A49:J49">[1]!'1340.TW-ID,Name,MarketValue,Capital,NetIncomeGrowthRate,OperIncomeGrowthRate,FinancialStatementsTime,TFXRatio,MonthlyNetSalesYoY,RevenueMonth'</f>
        <v>1340</v>
      </c>
      <c r="B49" t="str">
        <v>勝悅-KY</v>
      </c>
      <c r="C49" t="str">
        <v>15.2</v>
      </c>
      <c r="D49" t="str">
        <v>15.29</v>
      </c>
      <c r="E49" t="str">
        <v>0.56</v>
      </c>
      <c r="F49" t="str">
        <v>8.18</v>
      </c>
      <c r="G49" t="str">
        <v>2022/09</v>
      </c>
      <c r="H49" t="str">
        <v>8.06</v>
      </c>
      <c r="I49" t="str">
        <v>-26.06</v>
      </c>
      <c r="J49" t="str">
        <v>2022/11</v>
      </c>
      <c r="K49" t="str">
        <f t="array" ref="K49:T49">[1]!'1340.TW-OperatingProfitRatio,Price,PriceChangeRatio,InOutRatioNumber,Value,YearReturn,MonthReturn,WeekReturn,FinanceBalanceDif,ChipsField2'</f>
        <v>-90.25</v>
      </c>
      <c r="L49">
        <v>9.9499999999999993</v>
      </c>
      <c r="M49">
        <v>-0.4</v>
      </c>
      <c r="N49" t="str">
        <v>13.64%</v>
      </c>
      <c r="O49" t="str">
        <v>21.9萬</v>
      </c>
      <c r="P49" t="str">
        <v>-10.76</v>
      </c>
      <c r="Q49" t="str">
        <v>-1.49</v>
      </c>
      <c r="R49" t="str">
        <v>-1.00</v>
      </c>
      <c r="S49">
        <v>2</v>
      </c>
      <c r="T49">
        <v>0</v>
      </c>
      <c r="U49">
        <f t="array" ref="U49:AD49">[1]!'1340.TW-ChipsField3,ChipsField1,ChipsField25,CashAndStockDividend,CashDividendYieldRate,ProfitFourSeason,ProfitSingle,CName,ExchangeIndustry,CompanyPos'</f>
        <v>0</v>
      </c>
      <c r="V49">
        <v>-3</v>
      </c>
      <c r="W49" t="str">
        <v>--</v>
      </c>
      <c r="X49" t="str">
        <v>0.00</v>
      </c>
      <c r="Y49">
        <v>0</v>
      </c>
      <c r="Z49" t="str">
        <v>-3.34</v>
      </c>
      <c r="AA49" t="str">
        <v>-0.77</v>
      </c>
      <c r="AB49" t="str">
        <v>勝悅-KY</v>
      </c>
      <c r="AC49" t="str">
        <v>上市塑膠</v>
      </c>
      <c r="AD49" t="str">
        <v>為鞋底及EVO鞋材生產商</v>
      </c>
      <c r="AE49" t="str">
        <f t="array" ref="AE49:AH49">[1]!'1340.TW-CName,InvestorConferenceDate,DateofMeetingofShareHolders,TradingDate'</f>
        <v>勝悅-KY</v>
      </c>
      <c r="AF49" t="str">
        <v>2022/12/01</v>
      </c>
      <c r="AG49" t="str">
        <v>2022/06/30</v>
      </c>
      <c r="AH49" t="str">
        <v>2022/12/22</v>
      </c>
    </row>
    <row r="50" spans="1:34" x14ac:dyDescent="0.3">
      <c r="A50" t="str">
        <f t="array" ref="A50:J50">[1]!'1341.TW-ID,Name,MarketValue,Capital,NetIncomeGrowthRate,OperIncomeGrowthRate,FinancialStatementsTime,TFXRatio,MonthlyNetSalesYoY,RevenueMonth'</f>
        <v>1341</v>
      </c>
      <c r="B50" t="str">
        <v>富林-KY</v>
      </c>
      <c r="C50" t="str">
        <v>33.8</v>
      </c>
      <c r="D50" t="str">
        <v>5.06</v>
      </c>
      <c r="E50" t="str">
        <v>2.91</v>
      </c>
      <c r="F50" t="str">
        <v>-5.43</v>
      </c>
      <c r="G50" t="str">
        <v>2022/09</v>
      </c>
      <c r="H50" t="str">
        <v>12.84</v>
      </c>
      <c r="I50" t="str">
        <v>11.93</v>
      </c>
      <c r="J50" t="str">
        <v>2022/11</v>
      </c>
      <c r="K50" t="str">
        <f t="array" ref="K50:T50">[1]!'1341.TW-OperatingProfitRatio,Price,PriceChangeRatio,InOutRatioNumber,Value,YearReturn,MonthReturn,WeekReturn,FinanceBalanceDif,ChipsField2'</f>
        <v>10.76</v>
      </c>
      <c r="L50">
        <v>66.900000000000006</v>
      </c>
      <c r="M50">
        <v>0.3</v>
      </c>
      <c r="N50" t="str">
        <v>62.50%</v>
      </c>
      <c r="O50" t="str">
        <v>53.5萬</v>
      </c>
      <c r="P50" t="str">
        <v>+10.83</v>
      </c>
      <c r="Q50" t="str">
        <v>+0.95</v>
      </c>
      <c r="R50" t="str">
        <v>-2.62</v>
      </c>
      <c r="S50">
        <v>0</v>
      </c>
      <c r="T50">
        <v>0</v>
      </c>
      <c r="U50">
        <f t="array" ref="U50:AD50">[1]!'1341.TW-ChipsField3,ChipsField1,ChipsField25,CashAndStockDividend,CashDividendYieldRate,ProfitFourSeason,ProfitSingle,CName,ExchangeIndustry,CompanyPos'</f>
        <v>-1</v>
      </c>
      <c r="V50">
        <v>-1</v>
      </c>
      <c r="W50" t="str">
        <v>2022/12/02</v>
      </c>
      <c r="X50" t="str">
        <v>3.13</v>
      </c>
      <c r="Y50">
        <v>8.9700000000000006</v>
      </c>
      <c r="Z50" t="str">
        <v>6.05</v>
      </c>
      <c r="AA50" t="str">
        <v>1.40</v>
      </c>
      <c r="AB50" t="str">
        <v>富林-KY</v>
      </c>
      <c r="AC50" t="str">
        <v>上市塑膠</v>
      </c>
      <c r="AD50" t="str">
        <v>越南第一大PVC人造皮革生產商</v>
      </c>
      <c r="AE50" t="str">
        <f t="array" ref="AE50:AH50">[1]!'1341.TW-CName,InvestorConferenceDate,DateofMeetingofShareHolders,TradingDate'</f>
        <v>富林-KY</v>
      </c>
      <c r="AF50" t="str">
        <v>2022/05/25</v>
      </c>
      <c r="AG50" t="str">
        <v>2022/06/09</v>
      </c>
      <c r="AH50" t="str">
        <v>2022/12/22</v>
      </c>
    </row>
    <row r="51" spans="1:34" x14ac:dyDescent="0.3">
      <c r="A51" t="str">
        <f t="array" ref="A51:J51">[1]!'4306.TW-ID,Name,MarketValue,Capital,NetIncomeGrowthRate,OperIncomeGrowthRate,FinancialStatementsTime,TFXRatio,MonthlyNetSalesYoY,RevenueMonth'</f>
        <v>4306</v>
      </c>
      <c r="B51" t="str">
        <v>炎洲</v>
      </c>
      <c r="C51" t="str">
        <v>92.2</v>
      </c>
      <c r="D51" t="str">
        <v>64.05</v>
      </c>
      <c r="E51" t="str">
        <v>22.57</v>
      </c>
      <c r="F51" t="str">
        <v>-14.47</v>
      </c>
      <c r="G51" t="str">
        <v>2022/09</v>
      </c>
      <c r="H51" t="str">
        <v>-1.41</v>
      </c>
      <c r="I51" t="str">
        <v>-29.90</v>
      </c>
      <c r="J51" t="str">
        <v>2022/11</v>
      </c>
      <c r="K51" t="str">
        <f t="array" ref="K51:T51">[1]!'4306.TW-OperatingProfitRatio,Price,PriceChangeRatio,InOutRatioNumber,Value,YearReturn,MonthReturn,WeekReturn,FinanceBalanceDif,ChipsField2'</f>
        <v>7.82</v>
      </c>
      <c r="L51">
        <v>14.45</v>
      </c>
      <c r="M51">
        <v>0.35</v>
      </c>
      <c r="N51" t="str">
        <v>35.49%</v>
      </c>
      <c r="O51" t="str">
        <v>439萬</v>
      </c>
      <c r="P51" t="str">
        <v>+2.61</v>
      </c>
      <c r="Q51" t="str">
        <v>+1.05</v>
      </c>
      <c r="R51" t="str">
        <v>-1.70</v>
      </c>
      <c r="S51">
        <v>-39</v>
      </c>
      <c r="T51">
        <v>0</v>
      </c>
      <c r="U51">
        <f t="array" ref="U51:AD51">[1]!'4306.TW-ChipsField3,ChipsField1,ChipsField25,CashAndStockDividend,CashDividendYieldRate,ProfitFourSeason,ProfitSingle,CName,ExchangeIndustry,CompanyPos'</f>
        <v>-7</v>
      </c>
      <c r="V51">
        <v>245</v>
      </c>
      <c r="W51" t="str">
        <v>2022/07/15</v>
      </c>
      <c r="X51" t="str">
        <v>1.00</v>
      </c>
      <c r="Y51">
        <v>6.92</v>
      </c>
      <c r="Z51" t="str">
        <v>1.54</v>
      </c>
      <c r="AA51" t="str">
        <v>0.43</v>
      </c>
      <c r="AB51" t="str">
        <v>炎洲</v>
      </c>
      <c r="AC51" t="str">
        <v>上市塑膠</v>
      </c>
      <c r="AD51" t="str">
        <v>全球第一大PVC膠帶生產商</v>
      </c>
      <c r="AE51" t="str">
        <f t="array" ref="AE51:AH51">[1]!'4306.TW-CName,InvestorConferenceDate,DateofMeetingofShareHolders,TradingDate'</f>
        <v>炎洲</v>
      </c>
      <c r="AF51" t="str">
        <v>2021/12/21</v>
      </c>
      <c r="AG51" t="str">
        <v>2022/06/17</v>
      </c>
      <c r="AH51" t="str">
        <v>2022/12/22</v>
      </c>
    </row>
    <row r="52" spans="1:34" x14ac:dyDescent="0.3">
      <c r="A52" t="str">
        <f t="array" ref="A52:J52">[1]!'1402.TW-ID,Name,MarketValue,Capital,NetIncomeGrowthRate,OperIncomeGrowthRate,FinancialStatementsTime,TFXRatio,MonthlyNetSalesYoY,RevenueMonth'</f>
        <v>1402</v>
      </c>
      <c r="B52" t="str">
        <v>遠東新</v>
      </c>
      <c r="C52" t="str">
        <v>1766.4</v>
      </c>
      <c r="D52" t="str">
        <v>535.29</v>
      </c>
      <c r="E52" t="str">
        <v>-3.27</v>
      </c>
      <c r="F52" t="str">
        <v>26.68</v>
      </c>
      <c r="G52" t="str">
        <v>2022/09</v>
      </c>
      <c r="H52" t="str">
        <v>-5.35</v>
      </c>
      <c r="I52" t="str">
        <v>-5.73</v>
      </c>
      <c r="J52" t="str">
        <v>2022/11</v>
      </c>
      <c r="K52" t="str">
        <f t="array" ref="K52:T52">[1]!'1402.TW-OperatingProfitRatio,Price,PriceChangeRatio,InOutRatioNumber,Value,YearReturn,MonthReturn,WeekReturn,FinanceBalanceDif,ChipsField2'</f>
        <v>6.15</v>
      </c>
      <c r="L52">
        <v>33</v>
      </c>
      <c r="M52">
        <v>5.43</v>
      </c>
      <c r="N52" t="str">
        <v>72.84%</v>
      </c>
      <c r="O52" t="str">
        <v>13.0億</v>
      </c>
      <c r="P52" t="str">
        <v>+21.32</v>
      </c>
      <c r="Q52" t="str">
        <v>+7.84</v>
      </c>
      <c r="R52" t="str">
        <v>0.00</v>
      </c>
      <c r="S52">
        <v>9</v>
      </c>
      <c r="T52">
        <v>19969</v>
      </c>
      <c r="U52">
        <f t="array" ref="U52:AD52">[1]!'1402.TW-ChipsField3,ChipsField1,ChipsField25,CashAndStockDividend,CashDividendYieldRate,ProfitFourSeason,ProfitSingle,CName,ExchangeIndustry,CompanyPos'</f>
        <v>-59</v>
      </c>
      <c r="V52">
        <v>-22190</v>
      </c>
      <c r="W52" t="str">
        <v>2022/07/28</v>
      </c>
      <c r="X52" t="str">
        <v>1.50</v>
      </c>
      <c r="Y52">
        <v>4.55</v>
      </c>
      <c r="Z52" t="str">
        <v>1.87</v>
      </c>
      <c r="AA52" t="str">
        <v>0.46</v>
      </c>
      <c r="AB52" t="str">
        <v>遠東新</v>
      </c>
      <c r="AC52" t="str">
        <v>上市紡織纖維</v>
      </c>
      <c r="AD52" t="str">
        <v>全球前五大聚酯製造商，集團轉投資橫跨領域廣</v>
      </c>
      <c r="AE52" t="str">
        <f t="array" ref="AE52:AH52">[1]!'1402.TW-CName,InvestorConferenceDate,DateofMeetingofShareHolders,TradingDate'</f>
        <v>遠東新</v>
      </c>
      <c r="AF52" t="str">
        <v>2022/04/08</v>
      </c>
      <c r="AG52" t="str">
        <v>2022/06/30</v>
      </c>
      <c r="AH52" t="str">
        <v>2022/12/22</v>
      </c>
    </row>
    <row r="53" spans="1:34" x14ac:dyDescent="0.3">
      <c r="A53" t="str">
        <f t="array" ref="A53:J53">[1]!'1409.TW-ID,Name,MarketValue,Capital,NetIncomeGrowthRate,OperIncomeGrowthRate,FinancialStatementsTime,TFXRatio,MonthlyNetSalesYoY,RevenueMonth'</f>
        <v>1409</v>
      </c>
      <c r="B53" t="str">
        <v>新纖</v>
      </c>
      <c r="C53" t="str">
        <v>288.9</v>
      </c>
      <c r="D53" t="str">
        <v>161.84</v>
      </c>
      <c r="E53" t="str">
        <v>-3.80</v>
      </c>
      <c r="F53" t="str">
        <v>-26.03</v>
      </c>
      <c r="G53" t="str">
        <v>2022/09</v>
      </c>
      <c r="H53" t="str">
        <v>-21.58</v>
      </c>
      <c r="I53" t="str">
        <v>-30.52</v>
      </c>
      <c r="J53" t="str">
        <v>2022/11</v>
      </c>
      <c r="K53" t="str">
        <f t="array" ref="K53:T53">[1]!'1409.TW-OperatingProfitRatio,Price,PriceChangeRatio,InOutRatioNumber,Value,YearReturn,MonthReturn,WeekReturn,FinanceBalanceDif,ChipsField2'</f>
        <v>9.94</v>
      </c>
      <c r="L53">
        <v>17.850000000000001</v>
      </c>
      <c r="M53">
        <v>-0.28000000000000003</v>
      </c>
      <c r="N53" t="str">
        <v>37.68%</v>
      </c>
      <c r="O53" t="str">
        <v>4258萬</v>
      </c>
      <c r="P53" t="str">
        <v>-4.01</v>
      </c>
      <c r="Q53" t="str">
        <v>+1.71</v>
      </c>
      <c r="R53" t="str">
        <v>+3.78</v>
      </c>
      <c r="S53">
        <v>167</v>
      </c>
      <c r="T53">
        <v>110</v>
      </c>
      <c r="U53">
        <f t="array" ref="U53:AD53">[1]!'1409.TW-ChipsField3,ChipsField1,ChipsField25,CashAndStockDividend,CashDividendYieldRate,ProfitFourSeason,ProfitSingle,CName,ExchangeIndustry,CompanyPos'</f>
        <v>83</v>
      </c>
      <c r="V53">
        <v>-1128</v>
      </c>
      <c r="W53" t="str">
        <v>2022/08/30</v>
      </c>
      <c r="X53" t="str">
        <v>1.40</v>
      </c>
      <c r="Y53">
        <v>7.84</v>
      </c>
      <c r="Z53" t="str">
        <v>2.28</v>
      </c>
      <c r="AA53" t="str">
        <v>0.69</v>
      </c>
      <c r="AB53" t="str">
        <v>新纖</v>
      </c>
      <c r="AC53" t="str">
        <v>上市紡織纖維</v>
      </c>
      <c r="AD53" t="str">
        <v>台灣知名化纖廠，為新光集團成員</v>
      </c>
      <c r="AE53" t="str">
        <f t="array" ref="AE53:AH53">[1]!'1409.TW-CName,InvestorConferenceDate,DateofMeetingofShareHolders,TradingDate'</f>
        <v>新纖</v>
      </c>
      <c r="AF53" t="str">
        <v>2022/08/30</v>
      </c>
      <c r="AG53" t="str">
        <v>2022/05/30</v>
      </c>
      <c r="AH53" t="str">
        <v>2022/12/22</v>
      </c>
    </row>
    <row r="54" spans="1:34" x14ac:dyDescent="0.3">
      <c r="A54" t="str">
        <f t="array" ref="A54:J54">[1]!'1410.TW-ID,Name,MarketValue,Capital,NetIncomeGrowthRate,OperIncomeGrowthRate,FinancialStatementsTime,TFXRatio,MonthlyNetSalesYoY,RevenueMonth'</f>
        <v>1410</v>
      </c>
      <c r="B54" t="str">
        <v>南染</v>
      </c>
      <c r="C54" t="str">
        <v>25.5</v>
      </c>
      <c r="D54" t="str">
        <v>6.30</v>
      </c>
      <c r="E54" t="str">
        <v>-39.55</v>
      </c>
      <c r="F54" t="str">
        <v>-75.90</v>
      </c>
      <c r="G54" t="str">
        <v>2022/09</v>
      </c>
      <c r="H54" t="str">
        <v>-0.09</v>
      </c>
      <c r="I54" t="str">
        <v>-29.93</v>
      </c>
      <c r="J54" t="str">
        <v>2022/11</v>
      </c>
      <c r="K54" t="str">
        <f t="array" ref="K54:T54">[1]!'1410.TW-OperatingProfitRatio,Price,PriceChangeRatio,InOutRatioNumber,Value,YearReturn,MonthReturn,WeekReturn,FinanceBalanceDif,ChipsField2'</f>
        <v>6.81</v>
      </c>
      <c r="L54">
        <v>40.450000000000003</v>
      </c>
      <c r="M54">
        <v>1</v>
      </c>
      <c r="N54" t="str">
        <v>49.57%</v>
      </c>
      <c r="O54" t="str">
        <v>479萬</v>
      </c>
      <c r="P54" t="str">
        <v>+12.13</v>
      </c>
      <c r="Q54" t="str">
        <v>-3.46</v>
      </c>
      <c r="R54" t="str">
        <v>-6.47</v>
      </c>
      <c r="S54">
        <v>-2</v>
      </c>
      <c r="T54">
        <v>0</v>
      </c>
      <c r="U54">
        <f t="array" ref="U54:AD54">[1]!'1410.TW-ChipsField3,ChipsField1,ChipsField25,CashAndStockDividend,CashDividendYieldRate,ProfitFourSeason,ProfitSingle,CName,ExchangeIndustry,CompanyPos'</f>
        <v>0</v>
      </c>
      <c r="V54">
        <v>-4</v>
      </c>
      <c r="W54" t="str">
        <v>2022/07/18</v>
      </c>
      <c r="X54" t="str">
        <v>1.30</v>
      </c>
      <c r="Y54">
        <v>3.21</v>
      </c>
      <c r="Z54" t="str">
        <v>0.95</v>
      </c>
      <c r="AA54" t="str">
        <v>0.25</v>
      </c>
      <c r="AB54" t="str">
        <v>南染</v>
      </c>
      <c r="AC54" t="str">
        <v>上市紡織纖維</v>
      </c>
      <c r="AD54" t="str">
        <v>台灣專業的染整廠</v>
      </c>
      <c r="AE54" t="str">
        <f t="array" ref="AE54:AH54">[1]!'1410.TW-CName,InvestorConferenceDate,DateofMeetingofShareHolders,TradingDate'</f>
        <v>南染</v>
      </c>
      <c r="AF54" t="str">
        <v>2022/10/25</v>
      </c>
      <c r="AG54" t="str">
        <v>2022/06/09</v>
      </c>
      <c r="AH54" t="str">
        <v>2022/12/22</v>
      </c>
    </row>
    <row r="55" spans="1:34" x14ac:dyDescent="0.3">
      <c r="A55" t="str">
        <f t="array" ref="A55:J55">[1]!'1413.TW-ID,Name,MarketValue,Capital,NetIncomeGrowthRate,OperIncomeGrowthRate,FinancialStatementsTime,TFXRatio,MonthlyNetSalesYoY,RevenueMonth'</f>
        <v>1413</v>
      </c>
      <c r="B55" t="str">
        <v>宏洲</v>
      </c>
      <c r="C55" t="str">
        <v>9.7</v>
      </c>
      <c r="D55" t="str">
        <v>13.21</v>
      </c>
      <c r="E55" t="str">
        <v>71.68</v>
      </c>
      <c r="F55" t="str">
        <v>58.04</v>
      </c>
      <c r="G55" t="str">
        <v>2022/09</v>
      </c>
      <c r="H55" t="str">
        <v>-23.72</v>
      </c>
      <c r="I55" t="str">
        <v>-32.46</v>
      </c>
      <c r="J55" t="str">
        <v>2022/11</v>
      </c>
      <c r="K55" t="str">
        <f t="array" ref="K55:T55">[1]!'1413.TW-OperatingProfitRatio,Price,PriceChangeRatio,InOutRatioNumber,Value,YearReturn,MonthReturn,WeekReturn,FinanceBalanceDif,ChipsField2'</f>
        <v>3.64</v>
      </c>
      <c r="L55">
        <v>9.4700000000000006</v>
      </c>
      <c r="M55">
        <v>-0.11</v>
      </c>
      <c r="N55" t="str">
        <v>14.29%</v>
      </c>
      <c r="O55" t="str">
        <v>6.64萬</v>
      </c>
      <c r="P55" t="str">
        <v>-10.24</v>
      </c>
      <c r="Q55" t="str">
        <v>-0.32</v>
      </c>
      <c r="R55" t="str">
        <v>-2.27</v>
      </c>
      <c r="S55">
        <v>0</v>
      </c>
      <c r="T55">
        <v>0</v>
      </c>
      <c r="U55">
        <f t="array" ref="U55:AD55">[1]!'1413.TW-ChipsField3,ChipsField1,ChipsField25,CashAndStockDividend,CashDividendYieldRate,ProfitFourSeason,ProfitSingle,CName,ExchangeIndustry,CompanyPos'</f>
        <v>0</v>
      </c>
      <c r="V55">
        <v>0</v>
      </c>
      <c r="W55" t="str">
        <v>--</v>
      </c>
      <c r="X55" t="str">
        <v>0.00</v>
      </c>
      <c r="Y55">
        <v>0</v>
      </c>
      <c r="Z55" t="str">
        <v>1.14</v>
      </c>
      <c r="AA55" t="str">
        <v>-0.05</v>
      </c>
      <c r="AB55" t="str">
        <v>宏洲</v>
      </c>
      <c r="AC55" t="str">
        <v>上市紡織纖維</v>
      </c>
      <c r="AD55" t="str">
        <v>聚酯粒、聚酯絲與加工絲一貫廠</v>
      </c>
      <c r="AE55" t="str">
        <f t="array" ref="AE55:AH55">[1]!'1413.TW-CName,InvestorConferenceDate,DateofMeetingofShareHolders,TradingDate'</f>
        <v>宏洲</v>
      </c>
      <c r="AF55" t="str">
        <v>2022/12/13</v>
      </c>
      <c r="AG55" t="str">
        <v>2022/06/29</v>
      </c>
      <c r="AH55" t="str">
        <v>2022/12/22</v>
      </c>
    </row>
    <row r="56" spans="1:34" x14ac:dyDescent="0.3">
      <c r="A56" t="str">
        <f t="array" ref="A56:J56">[1]!'1414.TW-ID,Name,MarketValue,Capital,NetIncomeGrowthRate,OperIncomeGrowthRate,FinancialStatementsTime,TFXRatio,MonthlyNetSalesYoY,RevenueMonth'</f>
        <v>1414</v>
      </c>
      <c r="B56" t="str">
        <v>東和</v>
      </c>
      <c r="C56" t="str">
        <v>39.7</v>
      </c>
      <c r="D56" t="str">
        <v>22.00</v>
      </c>
      <c r="E56" t="str">
        <v>2.65</v>
      </c>
      <c r="F56" t="str">
        <v>38.65</v>
      </c>
      <c r="G56" t="str">
        <v>2022/09</v>
      </c>
      <c r="H56" t="str">
        <v>-2.94</v>
      </c>
      <c r="I56" t="str">
        <v>-33.97</v>
      </c>
      <c r="J56" t="str">
        <v>2022/11</v>
      </c>
      <c r="K56" t="str">
        <f t="array" ref="K56:T56">[1]!'1414.TW-OperatingProfitRatio,Price,PriceChangeRatio,InOutRatioNumber,Value,YearReturn,MonthReturn,WeekReturn,FinanceBalanceDif,ChipsField2'</f>
        <v>17.05</v>
      </c>
      <c r="L56">
        <v>18.05</v>
      </c>
      <c r="M56">
        <v>0.28000000000000003</v>
      </c>
      <c r="N56" t="str">
        <v>43.70%</v>
      </c>
      <c r="O56" t="str">
        <v>434萬</v>
      </c>
      <c r="P56" t="str">
        <v>-6.99</v>
      </c>
      <c r="Q56" t="str">
        <v>+4.03</v>
      </c>
      <c r="R56" t="str">
        <v>0.00</v>
      </c>
      <c r="S56">
        <v>-12</v>
      </c>
      <c r="T56">
        <v>0</v>
      </c>
      <c r="U56">
        <f t="array" ref="U56:AD56">[1]!'1414.TW-ChipsField3,ChipsField1,ChipsField25,CashAndStockDividend,CashDividendYieldRate,ProfitFourSeason,ProfitSingle,CName,ExchangeIndustry,CompanyPos'</f>
        <v>-3</v>
      </c>
      <c r="V56">
        <v>22</v>
      </c>
      <c r="W56" t="str">
        <v>2022/07/12</v>
      </c>
      <c r="X56" t="str">
        <v>0.54</v>
      </c>
      <c r="Y56">
        <v>2.99</v>
      </c>
      <c r="Z56" t="str">
        <v>0.66</v>
      </c>
      <c r="AA56" t="str">
        <v>0.19</v>
      </c>
      <c r="AB56" t="str">
        <v>東和</v>
      </c>
      <c r="AC56" t="str">
        <v>上市紡織纖維</v>
      </c>
      <c r="AD56" t="str">
        <v>棉混紡紗大廠</v>
      </c>
      <c r="AE56" t="str">
        <f t="array" ref="AE56:AH56">[1]!'1414.TW-CName,InvestorConferenceDate,DateofMeetingofShareHolders,TradingDate'</f>
        <v>東和</v>
      </c>
      <c r="AF56" t="str">
        <v>2022/12/16</v>
      </c>
      <c r="AG56" t="str">
        <v>2022/06/17</v>
      </c>
      <c r="AH56" t="str">
        <v>2022/12/22</v>
      </c>
    </row>
    <row r="57" spans="1:34" x14ac:dyDescent="0.3">
      <c r="A57" t="str">
        <f t="array" ref="A57:J57">[1]!'1417.TW-ID,Name,MarketValue,Capital,NetIncomeGrowthRate,OperIncomeGrowthRate,FinancialStatementsTime,TFXRatio,MonthlyNetSalesYoY,RevenueMonth'</f>
        <v>1417</v>
      </c>
      <c r="B57" t="str">
        <v>嘉裕</v>
      </c>
      <c r="C57" t="str">
        <v>27.4</v>
      </c>
      <c r="D57" t="str">
        <v>18.99</v>
      </c>
      <c r="E57" t="str">
        <v>-61.82</v>
      </c>
      <c r="F57" t="str">
        <v>-212.49</v>
      </c>
      <c r="G57" t="str">
        <v>2022/09</v>
      </c>
      <c r="H57" t="str">
        <v>-2.59</v>
      </c>
      <c r="I57" t="str">
        <v>-20.26</v>
      </c>
      <c r="J57" t="str">
        <v>2022/11</v>
      </c>
      <c r="K57" t="str">
        <f t="array" ref="K57:T57">[1]!'1417.TW-OperatingProfitRatio,Price,PriceChangeRatio,InOutRatioNumber,Value,YearReturn,MonthReturn,WeekReturn,FinanceBalanceDif,ChipsField2'</f>
        <v>-3.88</v>
      </c>
      <c r="L57">
        <v>14.4</v>
      </c>
      <c r="M57">
        <v>2.4900000000000002</v>
      </c>
      <c r="N57" t="str">
        <v>51.52%</v>
      </c>
      <c r="O57" t="str">
        <v>5256萬</v>
      </c>
      <c r="P57" t="str">
        <v>+2.78</v>
      </c>
      <c r="Q57" t="str">
        <v>+20.00</v>
      </c>
      <c r="R57" t="str">
        <v>+2.86</v>
      </c>
      <c r="S57">
        <v>181</v>
      </c>
      <c r="T57">
        <v>0</v>
      </c>
      <c r="U57">
        <f t="array" ref="U57:AD57">[1]!'1417.TW-ChipsField3,ChipsField1,ChipsField25,CashAndStockDividend,CashDividendYieldRate,ProfitFourSeason,ProfitSingle,CName,ExchangeIndustry,CompanyPos'</f>
        <v>0</v>
      </c>
      <c r="V57">
        <v>-264</v>
      </c>
      <c r="W57" t="str">
        <v>2022/07/21</v>
      </c>
      <c r="X57" t="str">
        <v>0.35</v>
      </c>
      <c r="Y57">
        <v>2.4300000000000002</v>
      </c>
      <c r="Z57" t="str">
        <v>0.00</v>
      </c>
      <c r="AA57" t="str">
        <v>0.26</v>
      </c>
      <c r="AB57" t="str">
        <v>嘉裕</v>
      </c>
      <c r="AC57" t="str">
        <v>上市紡織纖維</v>
      </c>
      <c r="AD57" t="str">
        <v>裕隆集團旗下台灣知名的男性西服供應商</v>
      </c>
      <c r="AE57" t="str">
        <f t="array" ref="AE57:AH57">[1]!'1417.TW-CName,InvestorConferenceDate,DateofMeetingofShareHolders,TradingDate'</f>
        <v>嘉裕</v>
      </c>
      <c r="AF57" t="str">
        <v>2022/11/17</v>
      </c>
      <c r="AG57" t="str">
        <v>2022/06/29</v>
      </c>
      <c r="AH57" t="str">
        <v>2022/12/22</v>
      </c>
    </row>
    <row r="58" spans="1:34" x14ac:dyDescent="0.3">
      <c r="A58" t="str">
        <f t="array" ref="A58:J58">[1]!'1418.TW-ID,Name,MarketValue,Capital,NetIncomeGrowthRate,OperIncomeGrowthRate,FinancialStatementsTime,TFXRatio,MonthlyNetSalesYoY,RevenueMonth'</f>
        <v>1418</v>
      </c>
      <c r="B58" t="str">
        <v>東華</v>
      </c>
      <c r="C58" t="str">
        <v>6.6</v>
      </c>
      <c r="D58" t="str">
        <v>5.68</v>
      </c>
      <c r="E58" t="str">
        <v>64.23</v>
      </c>
      <c r="F58" t="str">
        <v>65.56</v>
      </c>
      <c r="G58" t="str">
        <v>2022/09</v>
      </c>
      <c r="H58" t="str">
        <v>-49.86</v>
      </c>
      <c r="I58" t="str">
        <v>504.79</v>
      </c>
      <c r="J58" t="str">
        <v>2022/11</v>
      </c>
      <c r="K58" t="str">
        <f t="array" ref="K58:T58">[1]!'1418.TW-OperatingProfitRatio,Price,PriceChangeRatio,InOutRatioNumber,Value,YearReturn,MonthReturn,WeekReturn,FinanceBalanceDif,ChipsField2'</f>
        <v>-528.61</v>
      </c>
      <c r="L58">
        <v>14.15</v>
      </c>
      <c r="M58">
        <v>0.71</v>
      </c>
      <c r="N58" t="str">
        <v>12.00%</v>
      </c>
      <c r="O58" t="str">
        <v>35.2萬</v>
      </c>
      <c r="P58" t="str">
        <v>+23.58</v>
      </c>
      <c r="Q58" t="str">
        <v>+1.43</v>
      </c>
      <c r="R58" t="str">
        <v>0.00</v>
      </c>
      <c r="S58">
        <v>0</v>
      </c>
      <c r="T58">
        <v>0</v>
      </c>
      <c r="U58">
        <f t="array" ref="U58:AD58">[1]!'1418.TW-ChipsField3,ChipsField1,ChipsField25,CashAndStockDividend,CashDividendYieldRate,ProfitFourSeason,ProfitSingle,CName,ExchangeIndustry,CompanyPos'</f>
        <v>0</v>
      </c>
      <c r="V58">
        <v>1</v>
      </c>
      <c r="W58" t="str">
        <v>--</v>
      </c>
      <c r="X58" t="str">
        <v>0.00</v>
      </c>
      <c r="Y58">
        <v>0</v>
      </c>
      <c r="Z58" t="str">
        <v>-0.42</v>
      </c>
      <c r="AA58" t="str">
        <v>-0.48</v>
      </c>
      <c r="AB58" t="str">
        <v>東華</v>
      </c>
      <c r="AC58" t="str">
        <v>上市紡織纖維</v>
      </c>
      <c r="AD58" t="str">
        <v>台灣老牌的亞克力棉製造商</v>
      </c>
      <c r="AE58" t="str">
        <f t="array" ref="AE58:AH58">[1]!'1418.TW-CName,InvestorConferenceDate,DateofMeetingofShareHolders,TradingDate'</f>
        <v>東華</v>
      </c>
      <c r="AF58" t="str">
        <v>2022/12/16</v>
      </c>
      <c r="AG58" t="str">
        <v>2022/06/27</v>
      </c>
      <c r="AH58" t="str">
        <v>2022/12/22</v>
      </c>
    </row>
    <row r="59" spans="1:34" x14ac:dyDescent="0.3">
      <c r="A59" t="str">
        <f t="array" ref="A59:J59">[1]!'1419.TW-ID,Name,MarketValue,Capital,NetIncomeGrowthRate,OperIncomeGrowthRate,FinancialStatementsTime,TFXRatio,MonthlyNetSalesYoY,RevenueMonth'</f>
        <v>1419</v>
      </c>
      <c r="B59" t="str">
        <v>新紡</v>
      </c>
      <c r="C59" t="str">
        <v>120.6</v>
      </c>
      <c r="D59" t="str">
        <v>30.00</v>
      </c>
      <c r="E59" t="str">
        <v>393.42</v>
      </c>
      <c r="F59" t="str">
        <v>37.05</v>
      </c>
      <c r="G59" t="str">
        <v>2022/09</v>
      </c>
      <c r="H59" t="str">
        <v>-9.28</v>
      </c>
      <c r="I59" t="str">
        <v>14.77</v>
      </c>
      <c r="J59" t="str">
        <v>2022/11</v>
      </c>
      <c r="K59" t="str">
        <f t="array" ref="K59:T59">[1]!'1419.TW-OperatingProfitRatio,Price,PriceChangeRatio,InOutRatioNumber,Value,YearReturn,MonthReturn,WeekReturn,FinanceBalanceDif,ChipsField2'</f>
        <v>7.81</v>
      </c>
      <c r="L59">
        <v>40.200000000000003</v>
      </c>
      <c r="M59">
        <v>0.75</v>
      </c>
      <c r="N59" t="str">
        <v>25.00%</v>
      </c>
      <c r="O59" t="str">
        <v>80.0萬</v>
      </c>
      <c r="P59" t="str">
        <v>-5.26</v>
      </c>
      <c r="Q59" t="str">
        <v>+4.96</v>
      </c>
      <c r="R59" t="str">
        <v>-2.66</v>
      </c>
      <c r="S59">
        <v>0</v>
      </c>
      <c r="T59">
        <v>0</v>
      </c>
      <c r="U59">
        <f t="array" ref="U59:AD59">[1]!'1419.TW-ChipsField3,ChipsField1,ChipsField25,CashAndStockDividend,CashDividendYieldRate,ProfitFourSeason,ProfitSingle,CName,ExchangeIndustry,CompanyPos'</f>
        <v>0</v>
      </c>
      <c r="V59">
        <v>2</v>
      </c>
      <c r="W59" t="str">
        <v>2022/08/11</v>
      </c>
      <c r="X59" t="str">
        <v>1.00</v>
      </c>
      <c r="Y59">
        <v>2.4900000000000002</v>
      </c>
      <c r="Z59" t="str">
        <v>6.76</v>
      </c>
      <c r="AA59" t="str">
        <v>0.88</v>
      </c>
      <c r="AB59" t="str">
        <v>新紡</v>
      </c>
      <c r="AC59" t="str">
        <v>上市紡織纖維</v>
      </c>
      <c r="AD59" t="str">
        <v>平織布生產商，為新光集團成員，士林三寶之一</v>
      </c>
      <c r="AE59" t="str">
        <f t="array" ref="AE59:AH59">[1]!'1419.TW-CName,InvestorConferenceDate,DateofMeetingofShareHolders,TradingDate'</f>
        <v>新紡</v>
      </c>
      <c r="AF59" t="str">
        <v>2022/09/20</v>
      </c>
      <c r="AG59" t="str">
        <v>2022/06/10</v>
      </c>
      <c r="AH59" t="str">
        <v>2022/12/22</v>
      </c>
    </row>
    <row r="60" spans="1:34" x14ac:dyDescent="0.3">
      <c r="A60" t="str">
        <f t="array" ref="A60:J60">[1]!'1423.TW-ID,Name,MarketValue,Capital,NetIncomeGrowthRate,OperIncomeGrowthRate,FinancialStatementsTime,TFXRatio,MonthlyNetSalesYoY,RevenueMonth'</f>
        <v>1423</v>
      </c>
      <c r="B60" t="str">
        <v>利華</v>
      </c>
      <c r="C60" t="str">
        <v>27.5</v>
      </c>
      <c r="D60" t="str">
        <v>13.84</v>
      </c>
      <c r="E60" t="str">
        <v>-56.39</v>
      </c>
      <c r="F60" t="str">
        <v>9.56</v>
      </c>
      <c r="G60" t="str">
        <v>2022/09</v>
      </c>
      <c r="H60" t="str">
        <v>80.97</v>
      </c>
      <c r="I60" t="str">
        <v>17.60</v>
      </c>
      <c r="J60" t="str">
        <v>2022/11</v>
      </c>
      <c r="K60" t="str">
        <f t="array" ref="K60:T60">[1]!'1423.TW-OperatingProfitRatio,Price,PriceChangeRatio,InOutRatioNumber,Value,YearReturn,MonthReturn,WeekReturn,FinanceBalanceDif,ChipsField2'</f>
        <v>-32.47</v>
      </c>
      <c r="L60">
        <v>19.850000000000001</v>
      </c>
      <c r="M60">
        <v>0.25</v>
      </c>
      <c r="N60" t="str">
        <v>3.39%</v>
      </c>
      <c r="O60" t="str">
        <v>117萬</v>
      </c>
      <c r="P60" t="str">
        <v>+3.75</v>
      </c>
      <c r="Q60" t="str">
        <v>-0.50</v>
      </c>
      <c r="R60" t="str">
        <v>-1.00</v>
      </c>
      <c r="S60">
        <v>-14</v>
      </c>
      <c r="T60">
        <v>0</v>
      </c>
      <c r="U60">
        <f t="array" ref="U60:AD60">[1]!'1423.TW-ChipsField3,ChipsField1,ChipsField25,CashAndStockDividend,CashDividendYieldRate,ProfitFourSeason,ProfitSingle,CName,ExchangeIndustry,CompanyPos'</f>
        <v>-3</v>
      </c>
      <c r="V60">
        <v>2</v>
      </c>
      <c r="W60" t="str">
        <v>2022/07/12</v>
      </c>
      <c r="X60" t="str">
        <v>0.75</v>
      </c>
      <c r="Y60">
        <v>3.78</v>
      </c>
      <c r="Z60" t="str">
        <v>0.55</v>
      </c>
      <c r="AA60" t="str">
        <v>0.14</v>
      </c>
      <c r="AB60" t="str">
        <v>利華</v>
      </c>
      <c r="AC60" t="str">
        <v>上市紡織纖維</v>
      </c>
      <c r="AD60" t="str">
        <v>台灣第一大的專業毛條生產商</v>
      </c>
      <c r="AE60" t="str">
        <f t="array" ref="AE60:AH60">[1]!'1423.TW-CName,InvestorConferenceDate,DateofMeetingofShareHolders,TradingDate'</f>
        <v>利華</v>
      </c>
      <c r="AF60" t="str">
        <v>2022/05/04</v>
      </c>
      <c r="AG60" t="str">
        <v>2022/06/21</v>
      </c>
      <c r="AH60" t="str">
        <v>2022/12/22</v>
      </c>
    </row>
    <row r="61" spans="1:34" x14ac:dyDescent="0.3">
      <c r="A61" t="str">
        <f t="array" ref="A61:J61">[1]!'1434.TW-ID,Name,MarketValue,Capital,NetIncomeGrowthRate,OperIncomeGrowthRate,FinancialStatementsTime,TFXRatio,MonthlyNetSalesYoY,RevenueMonth'</f>
        <v>1434</v>
      </c>
      <c r="B61" t="str">
        <v>福懋</v>
      </c>
      <c r="C61" t="str">
        <v>443.9</v>
      </c>
      <c r="D61" t="str">
        <v>168.47</v>
      </c>
      <c r="E61" t="str">
        <v>77.93</v>
      </c>
      <c r="F61" t="str">
        <v>-24.38</v>
      </c>
      <c r="G61" t="str">
        <v>2022/09</v>
      </c>
      <c r="H61" t="str">
        <v>-4.36</v>
      </c>
      <c r="I61" t="str">
        <v>-9.21</v>
      </c>
      <c r="J61" t="str">
        <v>2022/11</v>
      </c>
      <c r="K61" t="str">
        <f t="array" ref="K61:T61">[1]!'1434.TW-OperatingProfitRatio,Price,PriceChangeRatio,InOutRatioNumber,Value,YearReturn,MonthReturn,WeekReturn,FinanceBalanceDif,ChipsField2'</f>
        <v>3.49</v>
      </c>
      <c r="L61">
        <v>26.35</v>
      </c>
      <c r="M61">
        <v>0.56999999999999995</v>
      </c>
      <c r="N61" t="str">
        <v>41.53%</v>
      </c>
      <c r="O61" t="str">
        <v>877萬</v>
      </c>
      <c r="P61" t="str">
        <v>-2.38</v>
      </c>
      <c r="Q61" t="str">
        <v>+0.76</v>
      </c>
      <c r="R61" t="str">
        <v>-0.38</v>
      </c>
      <c r="S61">
        <v>10</v>
      </c>
      <c r="T61">
        <v>-195</v>
      </c>
      <c r="U61">
        <f t="array" ref="U61:AD61">[1]!'1434.TW-ChipsField3,ChipsField1,ChipsField25,CashAndStockDividend,CashDividendYieldRate,ProfitFourSeason,ProfitSingle,CName,ExchangeIndustry,CompanyPos'</f>
        <v>-48</v>
      </c>
      <c r="V61">
        <v>-296</v>
      </c>
      <c r="W61" t="str">
        <v>2022/07/26</v>
      </c>
      <c r="X61" t="str">
        <v>1.00</v>
      </c>
      <c r="Y61">
        <v>3.8</v>
      </c>
      <c r="Z61" t="str">
        <v>2.10</v>
      </c>
      <c r="AA61" t="str">
        <v>0.35</v>
      </c>
      <c r="AB61" t="str">
        <v>福懋</v>
      </c>
      <c r="AC61" t="str">
        <v>上市紡織纖維</v>
      </c>
      <c r="AD61" t="str">
        <v>台灣最大的輪胎簾布製造商，為台塑集團成員</v>
      </c>
      <c r="AE61" t="str">
        <f t="array" ref="AE61:AH61">[1]!'1434.TW-CName,InvestorConferenceDate,DateofMeetingofShareHolders,TradingDate'</f>
        <v>福懋</v>
      </c>
      <c r="AF61" t="str">
        <v>2022/11/28</v>
      </c>
      <c r="AG61" t="str">
        <v>2022/06/24</v>
      </c>
      <c r="AH61" t="str">
        <v>2022/12/22</v>
      </c>
    </row>
    <row r="62" spans="1:34" x14ac:dyDescent="0.3">
      <c r="A62" t="str">
        <f t="array" ref="A62:J62">[1]!'1439.TW-ID,Name,MarketValue,Capital,NetIncomeGrowthRate,OperIncomeGrowthRate,FinancialStatementsTime,TFXRatio,MonthlyNetSalesYoY,RevenueMonth'</f>
        <v>1439</v>
      </c>
      <c r="B62" t="str">
        <v>雋揚</v>
      </c>
      <c r="C62" t="str">
        <v>19.6</v>
      </c>
      <c r="D62" t="str">
        <v>9.20</v>
      </c>
      <c r="E62" t="str">
        <v>48.99</v>
      </c>
      <c r="F62" t="str">
        <v>37.49</v>
      </c>
      <c r="G62" t="str">
        <v>2022/09</v>
      </c>
      <c r="H62" t="str">
        <v>400.19</v>
      </c>
      <c r="I62" t="str">
        <v>763.76</v>
      </c>
      <c r="J62" t="str">
        <v>2022/11</v>
      </c>
      <c r="K62" t="str">
        <f t="array" ref="K62:T62">[1]!'1439.TW-OperatingProfitRatio,Price,PriceChangeRatio,InOutRatioNumber,Value,YearReturn,MonthReturn,WeekReturn,FinanceBalanceDif,ChipsField2'</f>
        <v>7.34</v>
      </c>
      <c r="L62">
        <v>21.3</v>
      </c>
      <c r="M62">
        <v>2.16</v>
      </c>
      <c r="N62" t="str">
        <v>59.26%</v>
      </c>
      <c r="O62" t="str">
        <v>56.8萬</v>
      </c>
      <c r="P62" t="str">
        <v>-8.82</v>
      </c>
      <c r="Q62" t="str">
        <v>-1.39</v>
      </c>
      <c r="R62" t="str">
        <v>-2.29</v>
      </c>
      <c r="S62">
        <v>1</v>
      </c>
      <c r="T62">
        <v>0</v>
      </c>
      <c r="U62">
        <f t="array" ref="U62:AD62">[1]!'1439.TW-ChipsField3,ChipsField1,ChipsField25,CashAndStockDividend,CashDividendYieldRate,ProfitFourSeason,ProfitSingle,CName,ExchangeIndustry,CompanyPos'</f>
        <v>-2</v>
      </c>
      <c r="V62">
        <v>-12</v>
      </c>
      <c r="W62" t="str">
        <v>2022/06/23</v>
      </c>
      <c r="X62" t="str">
        <v>0.20</v>
      </c>
      <c r="Y62">
        <v>0.94</v>
      </c>
      <c r="Z62" t="str">
        <v>1.75</v>
      </c>
      <c r="AA62" t="str">
        <v>0.61</v>
      </c>
      <c r="AB62" t="str">
        <v>雋揚</v>
      </c>
      <c r="AC62" t="str">
        <v>上市紡織纖維</v>
      </c>
      <c r="AD62" t="str">
        <v>台灣知名的毛條供應商</v>
      </c>
      <c r="AE62" t="str">
        <f t="array" ref="AE62:AH62">[1]!'1439.TW-CName,InvestorConferenceDate,DateofMeetingofShareHolders,TradingDate'</f>
        <v>雋揚</v>
      </c>
      <c r="AF62" t="str">
        <v>2022/12/16</v>
      </c>
      <c r="AG62" t="str">
        <v>2022/06/23</v>
      </c>
      <c r="AH62" t="str">
        <v>2022/12/22</v>
      </c>
    </row>
    <row r="63" spans="1:34" x14ac:dyDescent="0.3">
      <c r="A63" t="str">
        <f t="array" ref="A63:J63">[1]!'1440.TW-ID,Name,MarketValue,Capital,NetIncomeGrowthRate,OperIncomeGrowthRate,FinancialStatementsTime,TFXRatio,MonthlyNetSalesYoY,RevenueMonth'</f>
        <v>1440</v>
      </c>
      <c r="B63" t="str">
        <v>南紡</v>
      </c>
      <c r="C63" t="str">
        <v>290.8</v>
      </c>
      <c r="D63" t="str">
        <v>165.68</v>
      </c>
      <c r="E63" t="str">
        <v>-42.59</v>
      </c>
      <c r="F63" t="str">
        <v>-14.80</v>
      </c>
      <c r="G63" t="str">
        <v>2022/09</v>
      </c>
      <c r="H63" t="str">
        <v>-4.51</v>
      </c>
      <c r="I63" t="str">
        <v>2.53</v>
      </c>
      <c r="J63" t="str">
        <v>2022/11</v>
      </c>
      <c r="K63" t="str">
        <f t="array" ref="K63:T63">[1]!'1440.TW-OperatingProfitRatio,Price,PriceChangeRatio,InOutRatioNumber,Value,YearReturn,MonthReturn,WeekReturn,FinanceBalanceDif,ChipsField2'</f>
        <v>4.99</v>
      </c>
      <c r="L63">
        <v>17.55</v>
      </c>
      <c r="M63">
        <v>3.54</v>
      </c>
      <c r="N63" t="str">
        <v>65.02%</v>
      </c>
      <c r="O63" t="str">
        <v>4347萬</v>
      </c>
      <c r="P63" t="str">
        <v>-31.95</v>
      </c>
      <c r="Q63" t="str">
        <v>+5.09</v>
      </c>
      <c r="R63" t="str">
        <v>+1.45</v>
      </c>
      <c r="S63">
        <v>86</v>
      </c>
      <c r="T63">
        <v>0</v>
      </c>
      <c r="U63">
        <f t="array" ref="U63:AD63">[1]!'1440.TW-ChipsField3,ChipsField1,ChipsField25,CashAndStockDividend,CashDividendYieldRate,ProfitFourSeason,ProfitSingle,CName,ExchangeIndustry,CompanyPos'</f>
        <v>-49</v>
      </c>
      <c r="V63">
        <v>178</v>
      </c>
      <c r="W63" t="str">
        <v>2022/07/14</v>
      </c>
      <c r="X63" t="str">
        <v>0.80</v>
      </c>
      <c r="Y63">
        <v>4.5599999999999996</v>
      </c>
      <c r="Z63" t="str">
        <v>1.10</v>
      </c>
      <c r="AA63" t="str">
        <v>0.18</v>
      </c>
      <c r="AB63" t="str">
        <v>南紡</v>
      </c>
      <c r="AC63" t="str">
        <v>上市紡織纖維</v>
      </c>
      <c r="AD63" t="str">
        <v>台灣最大的聚酯棉與紡紗廠，並經營夢時代購物中心</v>
      </c>
      <c r="AE63" t="str">
        <f t="array" ref="AE63:AH63">[1]!'1440.TW-CName,InvestorConferenceDate,DateofMeetingofShareHolders,TradingDate'</f>
        <v>南紡</v>
      </c>
      <c r="AF63" t="str">
        <v>2021/04/14</v>
      </c>
      <c r="AG63" t="str">
        <v>2022/05/27</v>
      </c>
      <c r="AH63" t="str">
        <v>2022/12/22</v>
      </c>
    </row>
    <row r="64" spans="1:34" x14ac:dyDescent="0.3">
      <c r="A64" t="str">
        <f t="array" ref="A64:J64">[1]!'1441.TW-ID,Name,MarketValue,Capital,NetIncomeGrowthRate,OperIncomeGrowthRate,FinancialStatementsTime,TFXRatio,MonthlyNetSalesYoY,RevenueMonth'</f>
        <v>1441</v>
      </c>
      <c r="B64" t="str">
        <v>大東</v>
      </c>
      <c r="C64" t="str">
        <v>8.0</v>
      </c>
      <c r="D64" t="str">
        <v>11.39</v>
      </c>
      <c r="E64" t="str">
        <v>-158.12</v>
      </c>
      <c r="F64" t="str">
        <v>-98.28</v>
      </c>
      <c r="G64" t="str">
        <v>2022/09</v>
      </c>
      <c r="H64" t="str">
        <v>-9.95</v>
      </c>
      <c r="I64" t="str">
        <v>-20.15</v>
      </c>
      <c r="J64" t="str">
        <v>2022/11</v>
      </c>
      <c r="K64" t="str">
        <f t="array" ref="K64:T64">[1]!'1441.TW-OperatingProfitRatio,Price,PriceChangeRatio,InOutRatioNumber,Value,YearReturn,MonthReturn,WeekReturn,FinanceBalanceDif,ChipsField2'</f>
        <v>-13.92</v>
      </c>
      <c r="L64">
        <v>7.92</v>
      </c>
      <c r="M64">
        <v>-0.5</v>
      </c>
      <c r="N64" t="str">
        <v>66.67%</v>
      </c>
      <c r="O64" t="str">
        <v>9.50萬</v>
      </c>
      <c r="P64" t="str">
        <v>-15.57</v>
      </c>
      <c r="Q64" t="str">
        <v>-0.25</v>
      </c>
      <c r="R64" t="str">
        <v>-0.75</v>
      </c>
      <c r="S64">
        <v>0</v>
      </c>
      <c r="T64">
        <v>0</v>
      </c>
      <c r="U64">
        <f t="array" ref="U64:AD64">[1]!'1441.TW-ChipsField3,ChipsField1,ChipsField25,CashAndStockDividend,CashDividendYieldRate,ProfitFourSeason,ProfitSingle,CName,ExchangeIndustry,CompanyPos'</f>
        <v>0</v>
      </c>
      <c r="V64">
        <v>-2</v>
      </c>
      <c r="W64" t="str">
        <v>--</v>
      </c>
      <c r="X64" t="str">
        <v>0.00</v>
      </c>
      <c r="Y64">
        <v>0</v>
      </c>
      <c r="Z64" t="str">
        <v>-1.71</v>
      </c>
      <c r="AA64" t="str">
        <v>-0.93</v>
      </c>
      <c r="AB64" t="str">
        <v>大東</v>
      </c>
      <c r="AC64" t="str">
        <v>上市紡織纖維</v>
      </c>
      <c r="AD64" t="str">
        <v>台灣主要棉紡生產企業</v>
      </c>
      <c r="AE64" t="str">
        <f t="array" ref="AE64:AH64">[1]!'1441.TW-CName,InvestorConferenceDate,DateofMeetingofShareHolders,TradingDate'</f>
        <v>大東</v>
      </c>
      <c r="AF64" t="str">
        <v>2022/12/16</v>
      </c>
      <c r="AG64" t="str">
        <v>2022/06/14</v>
      </c>
      <c r="AH64" t="str">
        <v>2022/12/22</v>
      </c>
    </row>
    <row r="65" spans="1:34" x14ac:dyDescent="0.3">
      <c r="A65" t="str">
        <f t="array" ref="A65:J65">[1]!'1444.TW-ID,Name,MarketValue,Capital,NetIncomeGrowthRate,OperIncomeGrowthRate,FinancialStatementsTime,TFXRatio,MonthlyNetSalesYoY,RevenueMonth'</f>
        <v>1444</v>
      </c>
      <c r="B65" t="str">
        <v>力麗</v>
      </c>
      <c r="C65" t="str">
        <v>98.6</v>
      </c>
      <c r="D65" t="str">
        <v>95.73</v>
      </c>
      <c r="E65" t="str">
        <v>299.11</v>
      </c>
      <c r="F65" t="str">
        <v>56.54</v>
      </c>
      <c r="G65" t="str">
        <v>2022/09</v>
      </c>
      <c r="H65" t="str">
        <v>-3.95</v>
      </c>
      <c r="I65" t="str">
        <v>-6.22</v>
      </c>
      <c r="J65" t="str">
        <v>2022/11</v>
      </c>
      <c r="K65" t="str">
        <f t="array" ref="K65:T65">[1]!'1444.TW-OperatingProfitRatio,Price,PriceChangeRatio,InOutRatioNumber,Value,YearReturn,MonthReturn,WeekReturn,FinanceBalanceDif,ChipsField2'</f>
        <v>2.10</v>
      </c>
      <c r="L65">
        <v>10.3</v>
      </c>
      <c r="M65">
        <v>1.48</v>
      </c>
      <c r="N65" t="str">
        <v>55.45%</v>
      </c>
      <c r="O65" t="str">
        <v>1896萬</v>
      </c>
      <c r="P65" t="str">
        <v>-4.01</v>
      </c>
      <c r="Q65" t="str">
        <v>-2.37</v>
      </c>
      <c r="R65" t="str">
        <v>-2.37</v>
      </c>
      <c r="S65">
        <v>104</v>
      </c>
      <c r="T65">
        <v>0</v>
      </c>
      <c r="U65">
        <f t="array" ref="U65:AD65">[1]!'1444.TW-ChipsField3,ChipsField1,ChipsField25,CashAndStockDividend,CashDividendYieldRate,ProfitFourSeason,ProfitSingle,CName,ExchangeIndustry,CompanyPos'</f>
        <v>-44</v>
      </c>
      <c r="V65">
        <v>-89</v>
      </c>
      <c r="W65" t="str">
        <v>2022/08/11</v>
      </c>
      <c r="X65" t="str">
        <v>0.30</v>
      </c>
      <c r="Y65">
        <v>2.91</v>
      </c>
      <c r="Z65" t="str">
        <v>1.30</v>
      </c>
      <c r="AA65" t="str">
        <v>0.22</v>
      </c>
      <c r="AB65" t="str">
        <v>力麗</v>
      </c>
      <c r="AC65" t="str">
        <v>上市紡織纖維</v>
      </c>
      <c r="AD65" t="str">
        <v>台灣聚酯加工絲龍頭廠</v>
      </c>
      <c r="AE65" t="str">
        <f t="array" ref="AE65:AH65">[1]!'1444.TW-CName,InvestorConferenceDate,DateofMeetingofShareHolders,TradingDate'</f>
        <v>力麗</v>
      </c>
      <c r="AF65" t="str">
        <v>2022/10/31</v>
      </c>
      <c r="AG65" t="str">
        <v>2022/06/24</v>
      </c>
      <c r="AH65" t="str">
        <v>2022/12/22</v>
      </c>
    </row>
    <row r="66" spans="1:34" x14ac:dyDescent="0.3">
      <c r="A66" t="str">
        <f t="array" ref="A66:J66">[1]!'1445.TW-ID,Name,MarketValue,Capital,NetIncomeGrowthRate,OperIncomeGrowthRate,FinancialStatementsTime,TFXRatio,MonthlyNetSalesYoY,RevenueMonth'</f>
        <v>1445</v>
      </c>
      <c r="B66" t="str">
        <v>大宇</v>
      </c>
      <c r="C66" t="str">
        <v>21.0</v>
      </c>
      <c r="D66" t="str">
        <v>13.07</v>
      </c>
      <c r="E66" t="str">
        <v>79.37</v>
      </c>
      <c r="F66" t="str">
        <v>-35.72</v>
      </c>
      <c r="G66" t="str">
        <v>2022/09</v>
      </c>
      <c r="H66" t="str">
        <v>5.03</v>
      </c>
      <c r="I66" t="str">
        <v>15.31</v>
      </c>
      <c r="J66" t="str">
        <v>2022/11</v>
      </c>
      <c r="K66" t="str">
        <f t="array" ref="K66:T66">[1]!'1445.TW-OperatingProfitRatio,Price,PriceChangeRatio,InOutRatioNumber,Value,YearReturn,MonthReturn,WeekReturn,FinanceBalanceDif,ChipsField2'</f>
        <v>-5.27</v>
      </c>
      <c r="L66">
        <v>16.05</v>
      </c>
      <c r="M66">
        <v>-0.62</v>
      </c>
      <c r="N66" t="str">
        <v>2.00%</v>
      </c>
      <c r="O66" t="str">
        <v>80.5萬</v>
      </c>
      <c r="P66" t="str">
        <v>+4.56</v>
      </c>
      <c r="Q66" t="str">
        <v>-0.93</v>
      </c>
      <c r="R66" t="str">
        <v>+0.31</v>
      </c>
      <c r="S66">
        <v>-2</v>
      </c>
      <c r="T66">
        <v>0</v>
      </c>
      <c r="U66">
        <f t="array" ref="U66:AD66">[1]!'1445.TW-ChipsField3,ChipsField1,ChipsField25,CashAndStockDividend,CashDividendYieldRate,ProfitFourSeason,ProfitSingle,CName,ExchangeIndustry,CompanyPos'</f>
        <v>0</v>
      </c>
      <c r="V66">
        <v>-1</v>
      </c>
      <c r="W66" t="str">
        <v>--</v>
      </c>
      <c r="X66" t="str">
        <v>0.00</v>
      </c>
      <c r="Y66">
        <v>0</v>
      </c>
      <c r="Z66" t="str">
        <v>-0.05</v>
      </c>
      <c r="AA66" t="str">
        <v>0.15</v>
      </c>
      <c r="AB66" t="str">
        <v>大宇</v>
      </c>
      <c r="AC66" t="str">
        <v>上市紡織纖維</v>
      </c>
      <c r="AD66" t="str">
        <v>台灣專業的織布廠</v>
      </c>
      <c r="AE66" t="str">
        <f t="array" ref="AE66:AH66">[1]!'1445.TW-CName,InvestorConferenceDate,DateofMeetingofShareHolders,TradingDate'</f>
        <v>大宇</v>
      </c>
      <c r="AF66" t="str">
        <v>2022/11/28</v>
      </c>
      <c r="AG66" t="str">
        <v>2022/06/15</v>
      </c>
      <c r="AH66" t="str">
        <v>2022/12/22</v>
      </c>
    </row>
    <row r="67" spans="1:34" x14ac:dyDescent="0.3">
      <c r="A67" t="str">
        <f t="array" ref="A67:J67">[1]!'1446.TW-ID,Name,MarketValue,Capital,NetIncomeGrowthRate,OperIncomeGrowthRate,FinancialStatementsTime,TFXRatio,MonthlyNetSalesYoY,RevenueMonth'</f>
        <v>1446</v>
      </c>
      <c r="B67" t="str">
        <v>宏和</v>
      </c>
      <c r="C67" t="str">
        <v>41.3</v>
      </c>
      <c r="D67" t="str">
        <v>13.77</v>
      </c>
      <c r="E67" t="str">
        <v>2.58</v>
      </c>
      <c r="F67" t="str">
        <v>-942.64</v>
      </c>
      <c r="G67" t="str">
        <v>2022/09</v>
      </c>
      <c r="H67" t="str">
        <v>-13.36</v>
      </c>
      <c r="I67" t="str">
        <v>15.72</v>
      </c>
      <c r="J67" t="str">
        <v>2022/11</v>
      </c>
      <c r="K67" t="str">
        <f t="array" ref="K67:T67">[1]!'1446.TW-OperatingProfitRatio,Price,PriceChangeRatio,InOutRatioNumber,Value,YearReturn,MonthReturn,WeekReturn,FinanceBalanceDif,ChipsField2'</f>
        <v>-28.15</v>
      </c>
      <c r="L67">
        <v>30</v>
      </c>
      <c r="M67">
        <v>1.01</v>
      </c>
      <c r="N67" t="str">
        <v>70.00%</v>
      </c>
      <c r="O67" t="str">
        <v>51.1萬</v>
      </c>
      <c r="P67" t="str">
        <v>-10.81</v>
      </c>
      <c r="Q67" t="str">
        <v>-4.76</v>
      </c>
      <c r="R67" t="str">
        <v>-1.96</v>
      </c>
      <c r="S67">
        <v>-3</v>
      </c>
      <c r="T67">
        <v>0</v>
      </c>
      <c r="U67">
        <f t="array" ref="U67:AD67">[1]!'1446.TW-ChipsField3,ChipsField1,ChipsField25,CashAndStockDividend,CashDividendYieldRate,ProfitFourSeason,ProfitSingle,CName,ExchangeIndustry,CompanyPos'</f>
        <v>0</v>
      </c>
      <c r="V67">
        <v>4</v>
      </c>
      <c r="W67" t="str">
        <v>2022/07/15</v>
      </c>
      <c r="X67" t="str">
        <v>0.30</v>
      </c>
      <c r="Y67">
        <v>1</v>
      </c>
      <c r="Z67" t="str">
        <v>-0.12</v>
      </c>
      <c r="AA67" t="str">
        <v>-0.05</v>
      </c>
      <c r="AB67" t="str">
        <v>宏和</v>
      </c>
      <c r="AC67" t="str">
        <v>上市紡織纖維</v>
      </c>
      <c r="AD67" t="str">
        <v>台灣知名的長短纖布廠</v>
      </c>
      <c r="AE67" t="str">
        <f t="array" ref="AE67:AH67">[1]!'1446.TW-CName,InvestorConferenceDate,DateofMeetingofShareHolders,TradingDate'</f>
        <v>宏和</v>
      </c>
      <c r="AF67" t="str">
        <v>2022/12/13</v>
      </c>
      <c r="AG67" t="str">
        <v>2022/06/14</v>
      </c>
      <c r="AH67" t="str">
        <v>2022/12/22</v>
      </c>
    </row>
    <row r="68" spans="1:34" x14ac:dyDescent="0.3">
      <c r="A68" t="str">
        <f t="array" ref="A68:J68">[1]!'1447.TW-ID,Name,MarketValue,Capital,NetIncomeGrowthRate,OperIncomeGrowthRate,FinancialStatementsTime,TFXRatio,MonthlyNetSalesYoY,RevenueMonth'</f>
        <v>1447</v>
      </c>
      <c r="B68" t="str">
        <v>力鵬</v>
      </c>
      <c r="C68" t="str">
        <v>71.0</v>
      </c>
      <c r="D68" t="str">
        <v>91.45</v>
      </c>
      <c r="E68" t="str">
        <v>-1.33</v>
      </c>
      <c r="F68" t="str">
        <v>-134.53</v>
      </c>
      <c r="G68" t="str">
        <v>2022/09</v>
      </c>
      <c r="H68" t="str">
        <v>-19.75</v>
      </c>
      <c r="I68" t="str">
        <v>-8.09</v>
      </c>
      <c r="J68" t="str">
        <v>2022/11</v>
      </c>
      <c r="K68" t="str">
        <f t="array" ref="K68:T68">[1]!'1447.TW-OperatingProfitRatio,Price,PriceChangeRatio,InOutRatioNumber,Value,YearReturn,MonthReturn,WeekReturn,FinanceBalanceDif,ChipsField2'</f>
        <v>-0.62</v>
      </c>
      <c r="L68">
        <v>7.76</v>
      </c>
      <c r="M68">
        <v>1.57</v>
      </c>
      <c r="N68" t="str">
        <v>51.28%</v>
      </c>
      <c r="O68" t="str">
        <v>364萬</v>
      </c>
      <c r="P68" t="str">
        <v>-23.55</v>
      </c>
      <c r="Q68" t="str">
        <v>-1.02</v>
      </c>
      <c r="R68" t="str">
        <v>-1.02</v>
      </c>
      <c r="S68">
        <v>-29</v>
      </c>
      <c r="T68">
        <v>0</v>
      </c>
      <c r="U68">
        <f t="array" ref="U68:AD68">[1]!'1447.TW-ChipsField3,ChipsField1,ChipsField25,CashAndStockDividend,CashDividendYieldRate,ProfitFourSeason,ProfitSingle,CName,ExchangeIndustry,CompanyPos'</f>
        <v>-8</v>
      </c>
      <c r="V68">
        <v>34</v>
      </c>
      <c r="W68" t="str">
        <v>--</v>
      </c>
      <c r="X68" t="str">
        <v>0.00</v>
      </c>
      <c r="Y68">
        <v>0</v>
      </c>
      <c r="Z68" t="str">
        <v>0.28</v>
      </c>
      <c r="AA68" t="str">
        <v>-0.06</v>
      </c>
      <c r="AB68" t="str">
        <v>力鵬</v>
      </c>
      <c r="AC68" t="str">
        <v>上市紡織纖維</v>
      </c>
      <c r="AD68" t="str">
        <v>台灣第一大尼龍粒廠，為力麗集團成員</v>
      </c>
      <c r="AE68" t="str">
        <f t="array" ref="AE68:AH68">[1]!'1447.TW-CName,InvestorConferenceDate,DateofMeetingofShareHolders,TradingDate'</f>
        <v>力鵬</v>
      </c>
      <c r="AF68" t="str">
        <v>2022/10/31</v>
      </c>
      <c r="AG68" t="str">
        <v>2022/06/24</v>
      </c>
      <c r="AH68" t="str">
        <v>2022/12/22</v>
      </c>
    </row>
    <row r="69" spans="1:34" x14ac:dyDescent="0.3">
      <c r="A69" t="str">
        <f t="array" ref="A69:J69">[1]!'1449.TW-ID,Name,MarketValue,Capital,NetIncomeGrowthRate,OperIncomeGrowthRate,FinancialStatementsTime,TFXRatio,MonthlyNetSalesYoY,RevenueMonth'</f>
        <v>1449</v>
      </c>
      <c r="B69" t="str">
        <v>佳和</v>
      </c>
      <c r="C69" t="str">
        <v>12.3</v>
      </c>
      <c r="D69" t="str">
        <v>8.07</v>
      </c>
      <c r="E69" t="str">
        <v>111.70</v>
      </c>
      <c r="F69" t="str">
        <v>-9.08</v>
      </c>
      <c r="G69" t="str">
        <v>2022/09</v>
      </c>
      <c r="H69" t="str">
        <v>-31.41</v>
      </c>
      <c r="I69" t="str">
        <v>-32.59</v>
      </c>
      <c r="J69" t="str">
        <v>2022/11</v>
      </c>
      <c r="K69" t="str">
        <f t="array" ref="K69:T69">[1]!'1449.TW-OperatingProfitRatio,Price,PriceChangeRatio,InOutRatioNumber,Value,YearReturn,MonthReturn,WeekReturn,FinanceBalanceDif,ChipsField2'</f>
        <v>-2.40</v>
      </c>
      <c r="L69">
        <v>15.25</v>
      </c>
      <c r="M69">
        <v>-1.93</v>
      </c>
      <c r="N69" t="str">
        <v>40.90%</v>
      </c>
      <c r="O69" t="str">
        <v>925萬</v>
      </c>
      <c r="P69" t="str">
        <v>-30.18</v>
      </c>
      <c r="Q69" t="str">
        <v>-16.61</v>
      </c>
      <c r="R69" t="str">
        <v>-3.79</v>
      </c>
      <c r="S69">
        <v>30</v>
      </c>
      <c r="T69">
        <v>0</v>
      </c>
      <c r="U69">
        <f t="array" ref="U69:AD69">[1]!'1449.TW-ChipsField3,ChipsField1,ChipsField25,CashAndStockDividend,CashDividendYieldRate,ProfitFourSeason,ProfitSingle,CName,ExchangeIndustry,CompanyPos'</f>
        <v>0</v>
      </c>
      <c r="V69">
        <v>106</v>
      </c>
      <c r="W69" t="str">
        <v>--</v>
      </c>
      <c r="X69" t="str">
        <v>0.00</v>
      </c>
      <c r="Y69">
        <v>0</v>
      </c>
      <c r="Z69" t="str">
        <v>1.27</v>
      </c>
      <c r="AA69" t="str">
        <v>0.18</v>
      </c>
      <c r="AB69" t="str">
        <v>佳和</v>
      </c>
      <c r="AC69" t="str">
        <v>上市紡織纖維</v>
      </c>
      <c r="AD69" t="str">
        <v>佳和集團旗下子公司，以生產織布為主</v>
      </c>
      <c r="AE69" t="str">
        <f t="array" ref="AE69:AH69">[1]!'1449.TW-CName,InvestorConferenceDate,DateofMeetingofShareHolders,TradingDate'</f>
        <v>佳和</v>
      </c>
      <c r="AF69" t="str">
        <v>2022/12/14</v>
      </c>
      <c r="AG69" t="str">
        <v>2022/06/24</v>
      </c>
      <c r="AH69" t="str">
        <v>2022/12/22</v>
      </c>
    </row>
    <row r="70" spans="1:34" x14ac:dyDescent="0.3">
      <c r="A70" t="str">
        <f t="array" ref="A70:J70">[1]!'1451.TW-ID,Name,MarketValue,Capital,NetIncomeGrowthRate,OperIncomeGrowthRate,FinancialStatementsTime,TFXRatio,MonthlyNetSalesYoY,RevenueMonth'</f>
        <v>1451</v>
      </c>
      <c r="B70" t="str">
        <v>年興</v>
      </c>
      <c r="C70" t="str">
        <v>43.4</v>
      </c>
      <c r="D70" t="str">
        <v>20.67</v>
      </c>
      <c r="E70" t="str">
        <v>179.99</v>
      </c>
      <c r="F70" t="str">
        <v>106.51</v>
      </c>
      <c r="G70" t="str">
        <v>2022/09</v>
      </c>
      <c r="H70" t="str">
        <v>20.07</v>
      </c>
      <c r="I70" t="str">
        <v>1.95</v>
      </c>
      <c r="J70" t="str">
        <v>2022/11</v>
      </c>
      <c r="K70" t="str">
        <f t="array" ref="K70:T70">[1]!'1451.TW-OperatingProfitRatio,Price,PriceChangeRatio,InOutRatioNumber,Value,YearReturn,MonthReturn,WeekReturn,FinanceBalanceDif,ChipsField2'</f>
        <v>4.34</v>
      </c>
      <c r="L70">
        <v>20.95</v>
      </c>
      <c r="M70">
        <v>0.48</v>
      </c>
      <c r="N70" t="str">
        <v>46.21%</v>
      </c>
      <c r="O70" t="str">
        <v>309萬</v>
      </c>
      <c r="P70" t="str">
        <v>+4.55</v>
      </c>
      <c r="Q70" t="str">
        <v>-3.68</v>
      </c>
      <c r="R70" t="str">
        <v>-2.33</v>
      </c>
      <c r="S70">
        <v>0</v>
      </c>
      <c r="T70">
        <v>0</v>
      </c>
      <c r="U70">
        <f t="array" ref="U70:AD70">[1]!'1451.TW-ChipsField3,ChipsField1,ChipsField25,CashAndStockDividend,CashDividendYieldRate,ProfitFourSeason,ProfitSingle,CName,ExchangeIndustry,CompanyPos'</f>
        <v>-3</v>
      </c>
      <c r="V70">
        <v>75</v>
      </c>
      <c r="W70" t="str">
        <v>2022/07/11</v>
      </c>
      <c r="X70" t="str">
        <v>1.00</v>
      </c>
      <c r="Y70">
        <v>4.7699999999999996</v>
      </c>
      <c r="Z70" t="str">
        <v>2.74</v>
      </c>
      <c r="AA70" t="str">
        <v>0.57</v>
      </c>
      <c r="AB70" t="str">
        <v>年興</v>
      </c>
      <c r="AC70" t="str">
        <v>上市紡織纖維</v>
      </c>
      <c r="AD70" t="str">
        <v>全球最大的牛仔成衣廠</v>
      </c>
      <c r="AE70" t="str">
        <f t="array" ref="AE70:AH70">[1]!'1451.TW-CName,InvestorConferenceDate,DateofMeetingofShareHolders,TradingDate'</f>
        <v>年興</v>
      </c>
      <c r="AF70" t="str">
        <v>2022/12/08</v>
      </c>
      <c r="AG70" t="str">
        <v>2022/06/23</v>
      </c>
      <c r="AH70" t="str">
        <v>2022/12/22</v>
      </c>
    </row>
    <row r="71" spans="1:34" x14ac:dyDescent="0.3">
      <c r="A71" t="str">
        <f t="array" ref="A71:J71">[1]!'1452.TW-ID,Name,MarketValue,Capital,NetIncomeGrowthRate,OperIncomeGrowthRate,FinancialStatementsTime,TFXRatio,MonthlyNetSalesYoY,RevenueMonth'</f>
        <v>1452</v>
      </c>
      <c r="B71" t="str">
        <v>宏益</v>
      </c>
      <c r="C71" t="str">
        <v>23.3</v>
      </c>
      <c r="D71" t="str">
        <v>13.26</v>
      </c>
      <c r="E71" t="str">
        <v>-52.77</v>
      </c>
      <c r="F71" t="str">
        <v>-35.67</v>
      </c>
      <c r="G71" t="str">
        <v>2022/09</v>
      </c>
      <c r="H71" t="str">
        <v>10.79</v>
      </c>
      <c r="I71" t="str">
        <v>-36.28</v>
      </c>
      <c r="J71" t="str">
        <v>2022/11</v>
      </c>
      <c r="K71" t="str">
        <f t="array" ref="K71:T71">[1]!'1452.TW-OperatingProfitRatio,Price,PriceChangeRatio,InOutRatioNumber,Value,YearReturn,MonthReturn,WeekReturn,FinanceBalanceDif,ChipsField2'</f>
        <v>7.70</v>
      </c>
      <c r="L71">
        <v>17.600000000000001</v>
      </c>
      <c r="M71">
        <v>0.86</v>
      </c>
      <c r="N71" t="str">
        <v>76.67%</v>
      </c>
      <c r="O71" t="str">
        <v>106萬</v>
      </c>
      <c r="P71" t="str">
        <v>-18.69</v>
      </c>
      <c r="Q71" t="str">
        <v>+0.57</v>
      </c>
      <c r="R71" t="str">
        <v>+1.15</v>
      </c>
      <c r="S71">
        <v>47</v>
      </c>
      <c r="T71">
        <v>0</v>
      </c>
      <c r="U71">
        <f t="array" ref="U71:AD71">[1]!'1452.TW-ChipsField3,ChipsField1,ChipsField25,CashAndStockDividend,CashDividendYieldRate,ProfitFourSeason,ProfitSingle,CName,ExchangeIndustry,CompanyPos'</f>
        <v>0</v>
      </c>
      <c r="V71">
        <v>1</v>
      </c>
      <c r="W71" t="str">
        <v>2022/07/04</v>
      </c>
      <c r="X71" t="str">
        <v>2.00</v>
      </c>
      <c r="Y71">
        <v>11.36</v>
      </c>
      <c r="Z71" t="str">
        <v>1.49</v>
      </c>
      <c r="AA71" t="str">
        <v>0.33</v>
      </c>
      <c r="AB71" t="str">
        <v>宏益</v>
      </c>
      <c r="AC71" t="str">
        <v>上市紡織纖維</v>
      </c>
      <c r="AD71" t="str">
        <v>台灣專業的加工絲一貫廠</v>
      </c>
      <c r="AE71" t="str">
        <f t="array" ref="AE71:AH71">[1]!'1452.TW-CName,InvestorConferenceDate,DateofMeetingofShareHolders,TradingDate'</f>
        <v>宏益</v>
      </c>
      <c r="AF71" t="str">
        <v>2022/11/15</v>
      </c>
      <c r="AG71" t="str">
        <v>2022/06/15</v>
      </c>
      <c r="AH71" t="str">
        <v>2022/12/22</v>
      </c>
    </row>
    <row r="72" spans="1:34" x14ac:dyDescent="0.3">
      <c r="A72" t="str">
        <f t="array" ref="A72:J72">[1]!'1454.TW-ID,Name,MarketValue,Capital,NetIncomeGrowthRate,OperIncomeGrowthRate,FinancialStatementsTime,TFXRatio,MonthlyNetSalesYoY,RevenueMonth'</f>
        <v>1454</v>
      </c>
      <c r="B72" t="str">
        <v>台富</v>
      </c>
      <c r="C72" t="str">
        <v>16.7</v>
      </c>
      <c r="D72" t="str">
        <v>12.98</v>
      </c>
      <c r="E72" t="str">
        <v>518.44</v>
      </c>
      <c r="F72" t="str">
        <v>414.29</v>
      </c>
      <c r="G72" t="str">
        <v>2022/09</v>
      </c>
      <c r="H72" t="str">
        <v>11.17</v>
      </c>
      <c r="I72" t="str">
        <v>-1.11</v>
      </c>
      <c r="J72" t="str">
        <v>2022/11</v>
      </c>
      <c r="K72" t="str">
        <f t="array" ref="K72:T72">[1]!'1454.TW-OperatingProfitRatio,Price,PriceChangeRatio,InOutRatioNumber,Value,YearReturn,MonthReturn,WeekReturn,FinanceBalanceDif,ChipsField2'</f>
        <v>2.90</v>
      </c>
      <c r="L72">
        <v>12.9</v>
      </c>
      <c r="M72">
        <v>0.78</v>
      </c>
      <c r="N72" t="str">
        <v>89.29%</v>
      </c>
      <c r="O72" t="str">
        <v>37.4萬</v>
      </c>
      <c r="P72" t="str">
        <v>-9.71</v>
      </c>
      <c r="Q72" t="str">
        <v>-3.37</v>
      </c>
      <c r="R72" t="str">
        <v>-0.77</v>
      </c>
      <c r="S72">
        <v>0</v>
      </c>
      <c r="T72">
        <v>0</v>
      </c>
      <c r="U72">
        <f t="array" ref="U72:AD72">[1]!'1454.TW-ChipsField3,ChipsField1,ChipsField25,CashAndStockDividend,CashDividendYieldRate,ProfitFourSeason,ProfitSingle,CName,ExchangeIndustry,CompanyPos'</f>
        <v>-3</v>
      </c>
      <c r="V72">
        <v>0</v>
      </c>
      <c r="W72" t="str">
        <v>2022/07/14</v>
      </c>
      <c r="X72" t="str">
        <v>0.50</v>
      </c>
      <c r="Y72">
        <v>3.88</v>
      </c>
      <c r="Z72" t="str">
        <v>0.35</v>
      </c>
      <c r="AA72" t="str">
        <v>0.18</v>
      </c>
      <c r="AB72" t="str">
        <v>台富</v>
      </c>
      <c r="AC72" t="str">
        <v>上市紡織纖維</v>
      </c>
      <c r="AD72" t="str">
        <v>台灣加工絲、織布一貫廠</v>
      </c>
      <c r="AE72" t="str">
        <f t="array" ref="AE72:AH72">[1]!'1454.TW-CName,InvestorConferenceDate,DateofMeetingofShareHolders,TradingDate'</f>
        <v>台富</v>
      </c>
      <c r="AF72" t="str">
        <v>2022/12/01</v>
      </c>
      <c r="AG72" t="str">
        <v>2022/06/20</v>
      </c>
      <c r="AH72" t="str">
        <v>2022/12/22</v>
      </c>
    </row>
    <row r="73" spans="1:34" x14ac:dyDescent="0.3">
      <c r="A73" t="str">
        <f t="array" ref="A73:J73">[1]!'1455.TW-ID,Name,MarketValue,Capital,NetIncomeGrowthRate,OperIncomeGrowthRate,FinancialStatementsTime,TFXRatio,MonthlyNetSalesYoY,RevenueMonth'</f>
        <v>1455</v>
      </c>
      <c r="B73" t="str">
        <v>集盛</v>
      </c>
      <c r="C73" t="str">
        <v>55.6</v>
      </c>
      <c r="D73" t="str">
        <v>53.17</v>
      </c>
      <c r="E73" t="str">
        <v>-121.12</v>
      </c>
      <c r="F73" t="str">
        <v>-103.78</v>
      </c>
      <c r="G73" t="str">
        <v>2022/09</v>
      </c>
      <c r="H73" t="str">
        <v>-1.39</v>
      </c>
      <c r="I73" t="str">
        <v>-39.72</v>
      </c>
      <c r="J73" t="str">
        <v>2022/11</v>
      </c>
      <c r="K73" t="str">
        <f t="array" ref="K73:T73">[1]!'1455.TW-OperatingProfitRatio,Price,PriceChangeRatio,InOutRatioNumber,Value,YearReturn,MonthReturn,WeekReturn,FinanceBalanceDif,ChipsField2'</f>
        <v>-0.31</v>
      </c>
      <c r="L73">
        <v>10.45</v>
      </c>
      <c r="M73">
        <v>1.95</v>
      </c>
      <c r="N73" t="str">
        <v>53.33%</v>
      </c>
      <c r="O73" t="str">
        <v>425萬</v>
      </c>
      <c r="P73" t="str">
        <v>-33.06</v>
      </c>
      <c r="Q73" t="str">
        <v>+0.48</v>
      </c>
      <c r="R73" t="str">
        <v>+0.48</v>
      </c>
      <c r="S73">
        <v>-67</v>
      </c>
      <c r="T73">
        <v>0</v>
      </c>
      <c r="U73">
        <f t="array" ref="U73:AD73">[1]!'1455.TW-ChipsField3,ChipsField1,ChipsField25,CashAndStockDividend,CashDividendYieldRate,ProfitFourSeason,ProfitSingle,CName,ExchangeIndustry,CompanyPos'</f>
        <v>-40</v>
      </c>
      <c r="V73">
        <v>147</v>
      </c>
      <c r="W73" t="str">
        <v>2022/08/09</v>
      </c>
      <c r="X73" t="str">
        <v>0.80</v>
      </c>
      <c r="Y73">
        <v>7.66</v>
      </c>
      <c r="Z73" t="str">
        <v>-0.19</v>
      </c>
      <c r="AA73" t="str">
        <v>-0.42</v>
      </c>
      <c r="AB73" t="str">
        <v>集盛</v>
      </c>
      <c r="AC73" t="str">
        <v>上市紡織纖維</v>
      </c>
      <c r="AD73" t="str">
        <v>台灣第三大尼龍粒廠商及第四大聚酯加工絲廠商</v>
      </c>
      <c r="AE73" t="str">
        <f t="array" ref="AE73:AH73">[1]!'1455.TW-CName,InvestorConferenceDate,DateofMeetingofShareHolders,TradingDate'</f>
        <v>集盛</v>
      </c>
      <c r="AF73" t="str">
        <v>2022/12/15</v>
      </c>
      <c r="AG73" t="str">
        <v>2022/06/08</v>
      </c>
      <c r="AH73" t="str">
        <v>2022/12/22</v>
      </c>
    </row>
    <row r="74" spans="1:34" x14ac:dyDescent="0.3">
      <c r="A74" t="str">
        <f t="array" ref="A74:J74">[1]!'1457.TW-ID,Name,MarketValue,Capital,NetIncomeGrowthRate,OperIncomeGrowthRate,FinancialStatementsTime,TFXRatio,MonthlyNetSalesYoY,RevenueMonth'</f>
        <v>1457</v>
      </c>
      <c r="B74" t="str">
        <v>宜進</v>
      </c>
      <c r="C74" t="str">
        <v>56.7</v>
      </c>
      <c r="D74" t="str">
        <v>30.16</v>
      </c>
      <c r="E74" t="str">
        <v>468.95</v>
      </c>
      <c r="F74" t="str">
        <v>0.56</v>
      </c>
      <c r="G74" t="str">
        <v>2022/09</v>
      </c>
      <c r="H74" t="str">
        <v>-21.86</v>
      </c>
      <c r="I74" t="str">
        <v>-21.46</v>
      </c>
      <c r="J74" t="str">
        <v>2022/11</v>
      </c>
      <c r="K74" t="str">
        <f t="array" ref="K74:T74">[1]!'1457.TW-OperatingProfitRatio,Price,PriceChangeRatio,InOutRatioNumber,Value,YearReturn,MonthReturn,WeekReturn,FinanceBalanceDif,ChipsField2'</f>
        <v>7.45</v>
      </c>
      <c r="L74">
        <v>18.8</v>
      </c>
      <c r="M74">
        <v>0.8</v>
      </c>
      <c r="N74" t="str">
        <v>68.60%</v>
      </c>
      <c r="O74" t="str">
        <v>163萬</v>
      </c>
      <c r="P74" t="str">
        <v>+8.87</v>
      </c>
      <c r="Q74" t="str">
        <v>+1.62</v>
      </c>
      <c r="R74" t="str">
        <v>-0.27</v>
      </c>
      <c r="S74">
        <v>76</v>
      </c>
      <c r="T74">
        <v>0</v>
      </c>
      <c r="U74">
        <f t="array" ref="U74:AD74">[1]!'1457.TW-ChipsField3,ChipsField1,ChipsField25,CashAndStockDividend,CashDividendYieldRate,ProfitFourSeason,ProfitSingle,CName,ExchangeIndustry,CompanyPos'</f>
        <v>-3</v>
      </c>
      <c r="V74">
        <v>-23</v>
      </c>
      <c r="W74" t="str">
        <v>2022/07/11</v>
      </c>
      <c r="X74" t="str">
        <v>1.00</v>
      </c>
      <c r="Y74">
        <v>5.32</v>
      </c>
      <c r="Z74" t="str">
        <v>4.44</v>
      </c>
      <c r="AA74" t="str">
        <v>0.16</v>
      </c>
      <c r="AB74" t="str">
        <v>宜進</v>
      </c>
      <c r="AC74" t="str">
        <v>上市紡織纖維</v>
      </c>
      <c r="AD74" t="str">
        <v>台灣前五大加工絲廠之一</v>
      </c>
      <c r="AE74" t="str">
        <f t="array" ref="AE74:AH74">[1]!'1457.TW-CName,InvestorConferenceDate,DateofMeetingofShareHolders,TradingDate'</f>
        <v>宜進</v>
      </c>
      <c r="AF74" t="str">
        <v>2022/12/13</v>
      </c>
      <c r="AG74" t="str">
        <v>2022/06/24</v>
      </c>
      <c r="AH74" t="str">
        <v>2022/12/22</v>
      </c>
    </row>
    <row r="75" spans="1:34" x14ac:dyDescent="0.3">
      <c r="A75" t="str">
        <f t="array" ref="A75:J75">[1]!'1459.TW-ID,Name,MarketValue,Capital,NetIncomeGrowthRate,OperIncomeGrowthRate,FinancialStatementsTime,TFXRatio,MonthlyNetSalesYoY,RevenueMonth'</f>
        <v>1459</v>
      </c>
      <c r="B75" t="str">
        <v>聯發</v>
      </c>
      <c r="C75" t="str">
        <v>30.5</v>
      </c>
      <c r="D75" t="str">
        <v>35.86</v>
      </c>
      <c r="E75" t="str">
        <v>-165.21</v>
      </c>
      <c r="F75" t="str">
        <v>-151.43</v>
      </c>
      <c r="G75" t="str">
        <v>2022/09</v>
      </c>
      <c r="H75" t="str">
        <v>31.86</v>
      </c>
      <c r="I75" t="str">
        <v>-35.98</v>
      </c>
      <c r="J75" t="str">
        <v>2022/11</v>
      </c>
      <c r="K75" t="str">
        <f t="array" ref="K75:T75">[1]!'1459.TW-OperatingProfitRatio,Price,PriceChangeRatio,InOutRatioNumber,Value,YearReturn,MonthReturn,WeekReturn,FinanceBalanceDif,ChipsField2'</f>
        <v>-4.01</v>
      </c>
      <c r="L75">
        <v>8.5</v>
      </c>
      <c r="M75">
        <v>-1.73</v>
      </c>
      <c r="N75" t="str">
        <v>37.63%</v>
      </c>
      <c r="O75" t="str">
        <v>80.6萬</v>
      </c>
      <c r="P75" t="str">
        <v>-33.70</v>
      </c>
      <c r="Q75" t="str">
        <v>+3.66</v>
      </c>
      <c r="R75" t="str">
        <v>-0.70</v>
      </c>
      <c r="S75">
        <v>-37</v>
      </c>
      <c r="T75">
        <v>0</v>
      </c>
      <c r="U75">
        <f t="array" ref="U75:AD75">[1]!'1459.TW-ChipsField3,ChipsField1,ChipsField25,CashAndStockDividend,CashDividendYieldRate,ProfitFourSeason,ProfitSingle,CName,ExchangeIndustry,CompanyPos'</f>
        <v>-1</v>
      </c>
      <c r="V75">
        <v>-23</v>
      </c>
      <c r="W75" t="str">
        <v>2022/07/22</v>
      </c>
      <c r="X75" t="str">
        <v>0.20</v>
      </c>
      <c r="Y75">
        <v>2.35</v>
      </c>
      <c r="Z75" t="str">
        <v>-1.29</v>
      </c>
      <c r="AA75" t="str">
        <v>-0.70</v>
      </c>
      <c r="AB75" t="str">
        <v>聯發</v>
      </c>
      <c r="AC75" t="str">
        <v>上市紡織纖維</v>
      </c>
      <c r="AD75" t="str">
        <v>台灣十大聚酯加工絲廠之一</v>
      </c>
      <c r="AE75" t="str">
        <f t="array" ref="AE75:AH75">[1]!'1459.TW-CName,InvestorConferenceDate,DateofMeetingofShareHolders,TradingDate'</f>
        <v>聯發</v>
      </c>
      <c r="AF75" t="str">
        <v>--</v>
      </c>
      <c r="AG75" t="str">
        <v>2022/06/24</v>
      </c>
      <c r="AH75" t="str">
        <v>2022/12/22</v>
      </c>
    </row>
    <row r="76" spans="1:34" x14ac:dyDescent="0.3">
      <c r="A76" t="str">
        <f t="array" ref="A76:J76">[1]!'1460.TW-ID,Name,MarketValue,Capital,NetIncomeGrowthRate,OperIncomeGrowthRate,FinancialStatementsTime,TFXRatio,MonthlyNetSalesYoY,RevenueMonth'</f>
        <v>1460</v>
      </c>
      <c r="B76" t="str">
        <v>宏遠</v>
      </c>
      <c r="C76" t="str">
        <v>49.9</v>
      </c>
      <c r="D76" t="str">
        <v>69.46</v>
      </c>
      <c r="E76" t="str">
        <v>-446.17</v>
      </c>
      <c r="F76" t="str">
        <v>-74.29</v>
      </c>
      <c r="G76" t="str">
        <v>2022/09</v>
      </c>
      <c r="H76" t="str">
        <v>16.26</v>
      </c>
      <c r="I76" t="str">
        <v>-23.56</v>
      </c>
      <c r="J76" t="str">
        <v>2022/11</v>
      </c>
      <c r="K76" t="str">
        <f t="array" ref="K76:T76">[1]!'1460.TW-OperatingProfitRatio,Price,PriceChangeRatio,InOutRatioNumber,Value,YearReturn,MonthReturn,WeekReturn,FinanceBalanceDif,ChipsField2'</f>
        <v>0.79</v>
      </c>
      <c r="L76">
        <v>7.19</v>
      </c>
      <c r="M76">
        <v>1.27</v>
      </c>
      <c r="N76" t="str">
        <v>69.80%</v>
      </c>
      <c r="O76" t="str">
        <v>251萬</v>
      </c>
      <c r="P76" t="str">
        <v>-23.75</v>
      </c>
      <c r="Q76" t="str">
        <v>+2.13</v>
      </c>
      <c r="R76" t="str">
        <v>-0.83</v>
      </c>
      <c r="S76">
        <v>0</v>
      </c>
      <c r="T76">
        <v>0</v>
      </c>
      <c r="U76">
        <f t="array" ref="U76:AD76">[1]!'1460.TW-ChipsField3,ChipsField1,ChipsField25,CashAndStockDividend,CashDividendYieldRate,ProfitFourSeason,ProfitSingle,CName,ExchangeIndustry,CompanyPos'</f>
        <v>0</v>
      </c>
      <c r="V76">
        <v>-9</v>
      </c>
      <c r="W76" t="str">
        <v>--</v>
      </c>
      <c r="X76" t="str">
        <v>0.00</v>
      </c>
      <c r="Y76">
        <v>0</v>
      </c>
      <c r="Z76" t="str">
        <v>-0.47</v>
      </c>
      <c r="AA76" t="str">
        <v>-0.05</v>
      </c>
      <c r="AB76" t="str">
        <v>宏遠</v>
      </c>
      <c r="AC76" t="str">
        <v>上市紡織纖維</v>
      </c>
      <c r="AD76" t="str">
        <v>遠東集團旗下，是一家長短織一貫布廠</v>
      </c>
      <c r="AE76" t="str">
        <f t="array" ref="AE76:AH76">[1]!'1460.TW-CName,InvestorConferenceDate,DateofMeetingofShareHolders,TradingDate'</f>
        <v>宏遠</v>
      </c>
      <c r="AF76" t="str">
        <v>2022/07/08</v>
      </c>
      <c r="AG76" t="str">
        <v>2022/06/16</v>
      </c>
      <c r="AH76" t="str">
        <v>2022/12/22</v>
      </c>
    </row>
    <row r="77" spans="1:34" x14ac:dyDescent="0.3">
      <c r="A77" t="str">
        <f t="array" ref="A77:J77">[1]!'1463.TW-ID,Name,MarketValue,Capital,NetIncomeGrowthRate,OperIncomeGrowthRate,FinancialStatementsTime,TFXRatio,MonthlyNetSalesYoY,RevenueMonth'</f>
        <v>1463</v>
      </c>
      <c r="B77" t="str">
        <v>強盛</v>
      </c>
      <c r="C77" t="str">
        <v>25.0</v>
      </c>
      <c r="D77" t="str">
        <v>17.33</v>
      </c>
      <c r="E77" t="str">
        <v>-56.70</v>
      </c>
      <c r="F77" t="str">
        <v>286.13</v>
      </c>
      <c r="G77" t="str">
        <v>2022/09</v>
      </c>
      <c r="H77" t="str">
        <v>-27.88</v>
      </c>
      <c r="I77" t="str">
        <v>-27.35</v>
      </c>
      <c r="J77" t="str">
        <v>2022/11</v>
      </c>
      <c r="K77" t="str">
        <f t="array" ref="K77:T77">[1]!'1463.TW-OperatingProfitRatio,Price,PriceChangeRatio,InOutRatioNumber,Value,YearReturn,MonthReturn,WeekReturn,FinanceBalanceDif,ChipsField2'</f>
        <v>2.13</v>
      </c>
      <c r="L77">
        <v>14.4</v>
      </c>
      <c r="M77">
        <v>0.35</v>
      </c>
      <c r="N77" t="str">
        <v>97.06%</v>
      </c>
      <c r="O77" t="str">
        <v>49.0萬</v>
      </c>
      <c r="P77" t="str">
        <v>+1.88</v>
      </c>
      <c r="Q77" t="str">
        <v>+2.49</v>
      </c>
      <c r="R77" t="str">
        <v>+0.35</v>
      </c>
      <c r="S77">
        <v>-3</v>
      </c>
      <c r="T77">
        <v>0</v>
      </c>
      <c r="U77">
        <f t="array" ref="U77:AD77">[1]!'1463.TW-ChipsField3,ChipsField1,ChipsField25,CashAndStockDividend,CashDividendYieldRate,ProfitFourSeason,ProfitSingle,CName,ExchangeIndustry,CompanyPos'</f>
        <v>0</v>
      </c>
      <c r="V77">
        <v>-2</v>
      </c>
      <c r="W77" t="str">
        <v>2022/08/01</v>
      </c>
      <c r="X77" t="str">
        <v>0.40</v>
      </c>
      <c r="Y77">
        <v>2.78</v>
      </c>
      <c r="Z77" t="str">
        <v>0.38</v>
      </c>
      <c r="AA77" t="str">
        <v>0.28</v>
      </c>
      <c r="AB77" t="str">
        <v>強盛</v>
      </c>
      <c r="AC77" t="str">
        <v>上市紡織纖維</v>
      </c>
      <c r="AD77" t="str">
        <v>台灣專業的染整廠之一</v>
      </c>
      <c r="AE77" t="str">
        <f t="array" ref="AE77:AH77">[1]!'1463.TW-CName,InvestorConferenceDate,DateofMeetingofShareHolders,TradingDate'</f>
        <v>強盛</v>
      </c>
      <c r="AF77" t="str">
        <v>2022/12/14</v>
      </c>
      <c r="AG77" t="str">
        <v>2022/06/27</v>
      </c>
      <c r="AH77" t="str">
        <v>2022/12/22</v>
      </c>
    </row>
    <row r="78" spans="1:34" x14ac:dyDescent="0.3">
      <c r="A78" t="str">
        <f t="array" ref="A78:J78">[1]!'1464.TW-ID,Name,MarketValue,Capital,NetIncomeGrowthRate,OperIncomeGrowthRate,FinancialStatementsTime,TFXRatio,MonthlyNetSalesYoY,RevenueMonth'</f>
        <v>1464</v>
      </c>
      <c r="B78" t="str">
        <v>得力</v>
      </c>
      <c r="C78" t="str">
        <v>54.4</v>
      </c>
      <c r="D78" t="str">
        <v>38.46</v>
      </c>
      <c r="E78" t="str">
        <v>166.39</v>
      </c>
      <c r="F78" t="str">
        <v>-122.14</v>
      </c>
      <c r="G78" t="str">
        <v>2022/09</v>
      </c>
      <c r="H78" t="str">
        <v>-2.63</v>
      </c>
      <c r="I78" t="str">
        <v>5.09</v>
      </c>
      <c r="J78" t="str">
        <v>2022/11</v>
      </c>
      <c r="K78" t="str">
        <f t="array" ref="K78:T78">[1]!'1464.TW-OperatingProfitRatio,Price,PriceChangeRatio,InOutRatioNumber,Value,YearReturn,MonthReturn,WeekReturn,FinanceBalanceDif,ChipsField2'</f>
        <v>-0.79</v>
      </c>
      <c r="L78">
        <v>14.15</v>
      </c>
      <c r="M78">
        <v>1.43</v>
      </c>
      <c r="N78" t="str">
        <v>56.73%</v>
      </c>
      <c r="O78" t="str">
        <v>149萬</v>
      </c>
      <c r="P78" t="str">
        <v>-6.94</v>
      </c>
      <c r="Q78" t="str">
        <v>-2.75</v>
      </c>
      <c r="R78" t="str">
        <v>-1.39</v>
      </c>
      <c r="S78">
        <v>7</v>
      </c>
      <c r="T78">
        <v>0</v>
      </c>
      <c r="U78">
        <f t="array" ref="U78:AD78">[1]!'1464.TW-ChipsField3,ChipsField1,ChipsField25,CashAndStockDividend,CashDividendYieldRate,ProfitFourSeason,ProfitSingle,CName,ExchangeIndustry,CompanyPos'</f>
        <v>-3</v>
      </c>
      <c r="V78">
        <v>9</v>
      </c>
      <c r="W78" t="str">
        <v>2022/07/05</v>
      </c>
      <c r="X78" t="str">
        <v>0.25</v>
      </c>
      <c r="Y78">
        <v>1.77</v>
      </c>
      <c r="Z78" t="str">
        <v>1.09</v>
      </c>
      <c r="AA78" t="str">
        <v>0.45</v>
      </c>
      <c r="AB78" t="str">
        <v>得力</v>
      </c>
      <c r="AC78" t="str">
        <v>上市紡織纖維</v>
      </c>
      <c r="AD78" t="str">
        <v>台灣老牌織染一貫化布廠</v>
      </c>
      <c r="AE78" t="str">
        <f t="array" ref="AE78:AH78">[1]!'1464.TW-CName,InvestorConferenceDate,DateofMeetingofShareHolders,TradingDate'</f>
        <v>得力</v>
      </c>
      <c r="AF78" t="str">
        <v>2022/08/25</v>
      </c>
      <c r="AG78" t="str">
        <v>2022/06/17</v>
      </c>
      <c r="AH78" t="str">
        <v>2022/12/22</v>
      </c>
    </row>
    <row r="79" spans="1:34" x14ac:dyDescent="0.3">
      <c r="A79" t="str">
        <f t="array" ref="A79:J79">[1]!'1465.TW-ID,Name,MarketValue,Capital,NetIncomeGrowthRate,OperIncomeGrowthRate,FinancialStatementsTime,TFXRatio,MonthlyNetSalesYoY,RevenueMonth'</f>
        <v>1465</v>
      </c>
      <c r="B79" t="str">
        <v>偉全</v>
      </c>
      <c r="C79" t="str">
        <v>14.4</v>
      </c>
      <c r="D79" t="str">
        <v>10.36</v>
      </c>
      <c r="E79" t="str">
        <v>225.83</v>
      </c>
      <c r="F79" t="str">
        <v>78.59</v>
      </c>
      <c r="G79" t="str">
        <v>2022/09</v>
      </c>
      <c r="H79" t="str">
        <v>-14.31</v>
      </c>
      <c r="I79" t="str">
        <v>11.23</v>
      </c>
      <c r="J79" t="str">
        <v>2022/11</v>
      </c>
      <c r="K79" t="str">
        <f t="array" ref="K79:T79">[1]!'1465.TW-OperatingProfitRatio,Price,PriceChangeRatio,InOutRatioNumber,Value,YearReturn,MonthReturn,WeekReturn,FinanceBalanceDif,ChipsField2'</f>
        <v>-1.50</v>
      </c>
      <c r="L79">
        <v>13.9</v>
      </c>
      <c r="M79">
        <v>0</v>
      </c>
      <c r="N79" t="str">
        <v>66.67%</v>
      </c>
      <c r="O79" t="str">
        <v>16.7萬</v>
      </c>
      <c r="P79" t="str">
        <v>+13.93</v>
      </c>
      <c r="Q79" t="str">
        <v>+0.36</v>
      </c>
      <c r="R79" t="str">
        <v>-0.36</v>
      </c>
      <c r="S79">
        <v>-28</v>
      </c>
      <c r="T79">
        <v>0</v>
      </c>
      <c r="U79">
        <f t="array" ref="U79:AD79">[1]!'1465.TW-ChipsField3,ChipsField1,ChipsField25,CashAndStockDividend,CashDividendYieldRate,ProfitFourSeason,ProfitSingle,CName,ExchangeIndustry,CompanyPos'</f>
        <v>0</v>
      </c>
      <c r="V79">
        <v>0</v>
      </c>
      <c r="W79" t="str">
        <v>2022/07/19</v>
      </c>
      <c r="X79" t="str">
        <v>0.30</v>
      </c>
      <c r="Y79">
        <v>2.16</v>
      </c>
      <c r="Z79" t="str">
        <v>0.99</v>
      </c>
      <c r="AA79" t="str">
        <v>0.60</v>
      </c>
      <c r="AB79" t="str">
        <v>偉全</v>
      </c>
      <c r="AC79" t="str">
        <v>上市紡織纖維</v>
      </c>
      <c r="AD79" t="str">
        <v>台灣專業的長纖布廠</v>
      </c>
      <c r="AE79" t="str">
        <f t="array" ref="AE79:AH79">[1]!'1465.TW-CName,InvestorConferenceDate,DateofMeetingofShareHolders,TradingDate'</f>
        <v>偉全</v>
      </c>
      <c r="AF79" t="str">
        <v>2022/09/15</v>
      </c>
      <c r="AG79" t="str">
        <v>2022/06/09</v>
      </c>
      <c r="AH79" t="str">
        <v>2022/12/22</v>
      </c>
    </row>
    <row r="80" spans="1:34" x14ac:dyDescent="0.3">
      <c r="A80" t="str">
        <f t="array" ref="A80:J80">[1]!'1466.TW-ID,Name,MarketValue,Capital,NetIncomeGrowthRate,OperIncomeGrowthRate,FinancialStatementsTime,TFXRatio,MonthlyNetSalesYoY,RevenueMonth'</f>
        <v>1466</v>
      </c>
      <c r="B80" t="str">
        <v>聚隆</v>
      </c>
      <c r="C80" t="str">
        <v>13.3</v>
      </c>
      <c r="D80" t="str">
        <v>11.12</v>
      </c>
      <c r="E80" t="str">
        <v>-98.49</v>
      </c>
      <c r="F80" t="str">
        <v>-129.41</v>
      </c>
      <c r="G80" t="str">
        <v>2022/09</v>
      </c>
      <c r="H80" t="str">
        <v>34.05</v>
      </c>
      <c r="I80" t="str">
        <v>-27.57</v>
      </c>
      <c r="J80" t="str">
        <v>2022/11</v>
      </c>
      <c r="K80" t="str">
        <f t="array" ref="K80:T80">[1]!'1466.TW-OperatingProfitRatio,Price,PriceChangeRatio,InOutRatioNumber,Value,YearReturn,MonthReturn,WeekReturn,FinanceBalanceDif,ChipsField2'</f>
        <v>-2.64</v>
      </c>
      <c r="L80">
        <v>12</v>
      </c>
      <c r="M80">
        <v>-2.04</v>
      </c>
      <c r="N80" t="str">
        <v>34.65%</v>
      </c>
      <c r="O80" t="str">
        <v>155萬</v>
      </c>
      <c r="P80" t="str">
        <v>-14.48</v>
      </c>
      <c r="Q80" t="str">
        <v>+6.67</v>
      </c>
      <c r="R80" t="str">
        <v>+1.69</v>
      </c>
      <c r="S80">
        <v>9</v>
      </c>
      <c r="T80">
        <v>0</v>
      </c>
      <c r="U80">
        <f t="array" ref="U80:AD80">[1]!'1466.TW-ChipsField3,ChipsField1,ChipsField25,CashAndStockDividend,CashDividendYieldRate,ProfitFourSeason,ProfitSingle,CName,ExchangeIndustry,CompanyPos'</f>
        <v>0</v>
      </c>
      <c r="V80">
        <v>-4</v>
      </c>
      <c r="W80" t="str">
        <v>2022/08/24</v>
      </c>
      <c r="X80" t="str">
        <v>1.00</v>
      </c>
      <c r="Y80">
        <v>8.33</v>
      </c>
      <c r="Z80" t="str">
        <v>0.35</v>
      </c>
      <c r="AA80" t="str">
        <v>-0.40</v>
      </c>
      <c r="AB80" t="str">
        <v>聚隆</v>
      </c>
      <c r="AC80" t="str">
        <v>上市紡織纖維</v>
      </c>
      <c r="AD80" t="str">
        <v>台灣第二大的尼龍加工絲廠</v>
      </c>
      <c r="AE80" t="str">
        <f t="array" ref="AE80:AH80">[1]!'1466.TW-CName,InvestorConferenceDate,DateofMeetingofShareHolders,TradingDate'</f>
        <v>聚隆</v>
      </c>
      <c r="AF80" t="str">
        <v>2022/11/30</v>
      </c>
      <c r="AG80" t="str">
        <v>2022/06/29</v>
      </c>
      <c r="AH80" t="str">
        <v>2022/12/22</v>
      </c>
    </row>
    <row r="81" spans="1:34" x14ac:dyDescent="0.3">
      <c r="A81" t="str">
        <f t="array" ref="A81:J81">[1]!'1467.TW-ID,Name,MarketValue,Capital,NetIncomeGrowthRate,OperIncomeGrowthRate,FinancialStatementsTime,TFXRatio,MonthlyNetSalesYoY,RevenueMonth'</f>
        <v>1467</v>
      </c>
      <c r="B81" t="str">
        <v>南緯</v>
      </c>
      <c r="C81" t="str">
        <v>18.7</v>
      </c>
      <c r="D81" t="str">
        <v>23.36</v>
      </c>
      <c r="E81" t="str">
        <v>137.29</v>
      </c>
      <c r="F81" t="str">
        <v>50.50</v>
      </c>
      <c r="G81" t="str">
        <v>2022/09</v>
      </c>
      <c r="H81" t="str">
        <v>4.07</v>
      </c>
      <c r="I81" t="str">
        <v>-29.83</v>
      </c>
      <c r="J81" t="str">
        <v>2022/11</v>
      </c>
      <c r="K81" t="str">
        <f t="array" ref="K81:T81">[1]!'1467.TW-OperatingProfitRatio,Price,PriceChangeRatio,InOutRatioNumber,Value,YearReturn,MonthReturn,WeekReturn,FinanceBalanceDif,ChipsField2'</f>
        <v>2.13</v>
      </c>
      <c r="L81">
        <v>11.1</v>
      </c>
      <c r="M81">
        <v>0</v>
      </c>
      <c r="N81" t="str">
        <v>39.00%</v>
      </c>
      <c r="O81" t="str">
        <v>947萬</v>
      </c>
      <c r="P81" t="str">
        <v>-19.27</v>
      </c>
      <c r="Q81" t="str">
        <v>-11.55</v>
      </c>
      <c r="R81" t="str">
        <v>-8.64</v>
      </c>
      <c r="S81">
        <v>18</v>
      </c>
      <c r="T81">
        <v>0</v>
      </c>
      <c r="U81">
        <f t="array" ref="U81:AD81">[1]!'1467.TW-ChipsField3,ChipsField1,ChipsField25,CashAndStockDividend,CashDividendYieldRate,ProfitFourSeason,ProfitSingle,CName,ExchangeIndustry,CompanyPos'</f>
        <v>0</v>
      </c>
      <c r="V81">
        <v>-184</v>
      </c>
      <c r="W81" t="str">
        <v>--</v>
      </c>
      <c r="X81" t="str">
        <v>0.00</v>
      </c>
      <c r="Y81">
        <v>0</v>
      </c>
      <c r="Z81" t="str">
        <v>0.30</v>
      </c>
      <c r="AA81" t="str">
        <v>0.00</v>
      </c>
      <c r="AB81" t="str">
        <v>南緯</v>
      </c>
      <c r="AC81" t="str">
        <v>上市紡織纖維</v>
      </c>
      <c r="AD81" t="str">
        <v>為品牌大廠代工及與Wal-mart合作的成衣廠</v>
      </c>
      <c r="AE81" t="str">
        <f t="array" ref="AE81:AH81">[1]!'1467.TW-CName,InvestorConferenceDate,DateofMeetingofShareHolders,TradingDate'</f>
        <v>南緯</v>
      </c>
      <c r="AF81" t="str">
        <v>2022/12/16</v>
      </c>
      <c r="AG81" t="str">
        <v>2022/06/15</v>
      </c>
      <c r="AH81" t="str">
        <v>2022/12/22</v>
      </c>
    </row>
    <row r="82" spans="1:34" x14ac:dyDescent="0.3">
      <c r="A82" t="str">
        <f t="array" ref="A82:J82">[1]!'1468.TW-ID,Name,MarketValue,Capital,NetIncomeGrowthRate,OperIncomeGrowthRate,FinancialStatementsTime,TFXRatio,MonthlyNetSalesYoY,RevenueMonth'</f>
        <v>1468</v>
      </c>
      <c r="B82" t="str">
        <v>昶和</v>
      </c>
      <c r="C82" t="str">
        <v>21.5</v>
      </c>
      <c r="D82" t="str">
        <v>16.04</v>
      </c>
      <c r="E82" t="str">
        <v>922.40</v>
      </c>
      <c r="F82" t="str">
        <v>1502.24</v>
      </c>
      <c r="G82" t="str">
        <v>2022/09</v>
      </c>
      <c r="H82" t="str">
        <v>53.33</v>
      </c>
      <c r="I82" t="str">
        <v>28.81</v>
      </c>
      <c r="J82" t="str">
        <v>2022/11</v>
      </c>
      <c r="K82" t="str">
        <f t="array" ref="K82:T82">[1]!'1468.TW-OperatingProfitRatio,Price,PriceChangeRatio,InOutRatioNumber,Value,YearReturn,MonthReturn,WeekReturn,FinanceBalanceDif,ChipsField2'</f>
        <v>1.49</v>
      </c>
      <c r="L82">
        <v>13.4</v>
      </c>
      <c r="M82">
        <v>1.1299999999999999</v>
      </c>
      <c r="N82" t="str">
        <v>69.44%</v>
      </c>
      <c r="O82" t="str">
        <v>49.2萬</v>
      </c>
      <c r="P82" t="str">
        <v>+4.69</v>
      </c>
      <c r="Q82" t="str">
        <v>+4.69</v>
      </c>
      <c r="R82" t="str">
        <v>-1.11</v>
      </c>
      <c r="S82">
        <v>0</v>
      </c>
      <c r="T82">
        <v>0</v>
      </c>
      <c r="U82">
        <f t="array" ref="U82:AD82">[1]!'1468.TW-ChipsField3,ChipsField1,ChipsField25,CashAndStockDividend,CashDividendYieldRate,ProfitFourSeason,ProfitSingle,CName,ExchangeIndustry,CompanyPos'</f>
        <v>-1</v>
      </c>
      <c r="V82">
        <v>-7</v>
      </c>
      <c r="W82" t="str">
        <v>--</v>
      </c>
      <c r="X82" t="str">
        <v>0.00</v>
      </c>
      <c r="Y82">
        <v>0</v>
      </c>
      <c r="Z82" t="str">
        <v>0.95</v>
      </c>
      <c r="AA82" t="str">
        <v>0.65</v>
      </c>
      <c r="AB82" t="str">
        <v>昶和</v>
      </c>
      <c r="AC82" t="str">
        <v>上市紡織纖維</v>
      </c>
      <c r="AD82" t="str">
        <v>尼龍長織布廠</v>
      </c>
      <c r="AE82" t="str">
        <f t="array" ref="AE82:AH82">[1]!'1468.TW-CName,InvestorConferenceDate,DateofMeetingofShareHolders,TradingDate'</f>
        <v>昶和</v>
      </c>
      <c r="AF82" t="str">
        <v>2022/11/01</v>
      </c>
      <c r="AG82" t="str">
        <v>2022/06/15</v>
      </c>
      <c r="AH82" t="str">
        <v>2022/12/22</v>
      </c>
    </row>
    <row r="83" spans="1:34" x14ac:dyDescent="0.3">
      <c r="A83" t="str">
        <f t="array" ref="A83:J83">[1]!'1470.TW-ID,Name,MarketValue,Capital,NetIncomeGrowthRate,OperIncomeGrowthRate,FinancialStatementsTime,TFXRatio,MonthlyNetSalesYoY,RevenueMonth'</f>
        <v>1470</v>
      </c>
      <c r="B83" t="str">
        <v>大統新創</v>
      </c>
      <c r="C83" t="str">
        <v>15.5</v>
      </c>
      <c r="D83" t="str">
        <v>8.58</v>
      </c>
      <c r="E83" t="str">
        <v>-31.32</v>
      </c>
      <c r="F83" t="str">
        <v>48.32</v>
      </c>
      <c r="G83" t="str">
        <v>2022/09</v>
      </c>
      <c r="H83" t="str">
        <v>-33.69</v>
      </c>
      <c r="I83" t="str">
        <v>-55.15</v>
      </c>
      <c r="J83" t="str">
        <v>2022/11</v>
      </c>
      <c r="K83" t="str">
        <f t="array" ref="K83:T83">[1]!'1470.TW-OperatingProfitRatio,Price,PriceChangeRatio,InOutRatioNumber,Value,YearReturn,MonthReturn,WeekReturn,FinanceBalanceDif,ChipsField2'</f>
        <v>10.55</v>
      </c>
      <c r="L83">
        <v>18.100000000000001</v>
      </c>
      <c r="M83">
        <v>0.56000000000000005</v>
      </c>
      <c r="N83" t="str">
        <v>77.78%</v>
      </c>
      <c r="O83" t="str">
        <v>19.9萬</v>
      </c>
      <c r="P83" t="str">
        <v>+6.65</v>
      </c>
      <c r="Q83" t="str">
        <v>-4.49</v>
      </c>
      <c r="R83" t="str">
        <v>-4.23</v>
      </c>
      <c r="S83">
        <v>-5</v>
      </c>
      <c r="T83">
        <v>0</v>
      </c>
      <c r="U83">
        <f t="array" ref="U83:AD83">[1]!'1470.TW-ChipsField3,ChipsField1,ChipsField25,CashAndStockDividend,CashDividendYieldRate,ProfitFourSeason,ProfitSingle,CName,ExchangeIndustry,CompanyPos'</f>
        <v>0</v>
      </c>
      <c r="V83">
        <v>-3</v>
      </c>
      <c r="W83" t="str">
        <v>2022/07/28</v>
      </c>
      <c r="X83" t="str">
        <v>0.80</v>
      </c>
      <c r="Y83">
        <v>4.42</v>
      </c>
      <c r="Z83" t="str">
        <v>0.58</v>
      </c>
      <c r="AA83" t="str">
        <v>0.15</v>
      </c>
      <c r="AB83" t="str">
        <v>大統新創</v>
      </c>
      <c r="AC83" t="str">
        <v>上市紡織纖維</v>
      </c>
      <c r="AD83" t="str">
        <v>台灣知名的染整廠，並跨足機能布</v>
      </c>
      <c r="AE83" t="str">
        <f t="array" ref="AE83:AH83">[1]!'1470.TW-CName,InvestorConferenceDate,DateofMeetingofShareHolders,TradingDate'</f>
        <v>大統新創</v>
      </c>
      <c r="AF83" t="str">
        <v>2022/09/30</v>
      </c>
      <c r="AG83" t="str">
        <v>2022/06/30</v>
      </c>
      <c r="AH83" t="str">
        <v>2022/12/22</v>
      </c>
    </row>
    <row r="84" spans="1:34" x14ac:dyDescent="0.3">
      <c r="A84" t="str">
        <f t="array" ref="A84:J84">[1]!'1472.TW-ID,Name,MarketValue,Capital,NetIncomeGrowthRate,OperIncomeGrowthRate,FinancialStatementsTime,TFXRatio,MonthlyNetSalesYoY,RevenueMonth'</f>
        <v>1472</v>
      </c>
      <c r="B84" t="str">
        <v>三洋實業</v>
      </c>
      <c r="C84" t="str">
        <v>5.4</v>
      </c>
      <c r="D84" t="str">
        <v>2.50</v>
      </c>
      <c r="E84" t="str">
        <v>105.49</v>
      </c>
      <c r="F84" t="str">
        <v>-333.66</v>
      </c>
      <c r="G84" t="str">
        <v>2022/09</v>
      </c>
      <c r="H84" t="str">
        <v>-0.67</v>
      </c>
      <c r="I84" t="str">
        <v>994.38</v>
      </c>
      <c r="J84" t="str">
        <v>2022/11</v>
      </c>
      <c r="K84" t="str">
        <f t="array" ref="K84:T84">[1]!'1472.TW-OperatingProfitRatio,Price,PriceChangeRatio,InOutRatioNumber,Value,YearReturn,MonthReturn,WeekReturn,FinanceBalanceDif,ChipsField2'</f>
        <v>-3.07</v>
      </c>
      <c r="L84">
        <v>21.5</v>
      </c>
      <c r="M84">
        <v>-4.4400000000000004</v>
      </c>
      <c r="N84" t="str">
        <v>50.00%</v>
      </c>
      <c r="O84" t="str">
        <v>13.2萬</v>
      </c>
      <c r="P84" t="str">
        <v>-28.57</v>
      </c>
      <c r="Q84" t="str">
        <v>+5.13</v>
      </c>
      <c r="R84" t="str">
        <v>-3.15</v>
      </c>
      <c r="S84">
        <v>0</v>
      </c>
      <c r="T84">
        <v>0</v>
      </c>
      <c r="U84">
        <f t="array" ref="U84:AD84">[1]!'1472.TW-ChipsField3,ChipsField1,ChipsField25,CashAndStockDividend,CashDividendYieldRate,ProfitFourSeason,ProfitSingle,CName,ExchangeIndustry,CompanyPos'</f>
        <v>0</v>
      </c>
      <c r="V84">
        <v>0</v>
      </c>
      <c r="W84" t="str">
        <v>--</v>
      </c>
      <c r="X84" t="str">
        <v>0.00</v>
      </c>
      <c r="Y84">
        <v>0</v>
      </c>
      <c r="Z84" t="str">
        <v>-0.20</v>
      </c>
      <c r="AA84" t="str">
        <v>-0.42</v>
      </c>
      <c r="AB84" t="str">
        <v>三洋實業</v>
      </c>
      <c r="AC84" t="str">
        <v>上市紡織纖維</v>
      </c>
      <c r="AD84" t="str">
        <v>轉型為公共工程營造廠</v>
      </c>
      <c r="AE84" t="str">
        <f t="array" ref="AE84:AH84">[1]!'1472.TW-CName,InvestorConferenceDate,DateofMeetingofShareHolders,TradingDate'</f>
        <v>三洋實業</v>
      </c>
      <c r="AF84" t="str">
        <v>2021/12/30</v>
      </c>
      <c r="AG84" t="str">
        <v>2022/06/08</v>
      </c>
      <c r="AH84" t="str">
        <v>2022/12/22</v>
      </c>
    </row>
    <row r="85" spans="1:34" x14ac:dyDescent="0.3">
      <c r="A85" t="str">
        <f t="array" ref="A85:J85">[1]!'1473.TW-ID,Name,MarketValue,Capital,NetIncomeGrowthRate,OperIncomeGrowthRate,FinancialStatementsTime,TFXRatio,MonthlyNetSalesYoY,RevenueMonth'</f>
        <v>1473</v>
      </c>
      <c r="B85" t="str">
        <v>台南</v>
      </c>
      <c r="C85" t="str">
        <v>30.3</v>
      </c>
      <c r="D85" t="str">
        <v>14.72</v>
      </c>
      <c r="E85" t="str">
        <v>339.38</v>
      </c>
      <c r="F85" t="str">
        <v>253.02</v>
      </c>
      <c r="G85" t="str">
        <v>2022/09</v>
      </c>
      <c r="H85" t="str">
        <v>11.51</v>
      </c>
      <c r="I85" t="str">
        <v>13.02</v>
      </c>
      <c r="J85" t="str">
        <v>2022/11</v>
      </c>
      <c r="K85" t="str">
        <f t="array" ref="K85:T85">[1]!'1473.TW-OperatingProfitRatio,Price,PriceChangeRatio,InOutRatioNumber,Value,YearReturn,MonthReturn,WeekReturn,FinanceBalanceDif,ChipsField2'</f>
        <v>2.98</v>
      </c>
      <c r="L85">
        <v>20.6</v>
      </c>
      <c r="M85">
        <v>0.49</v>
      </c>
      <c r="N85" t="str">
        <v>37.68%</v>
      </c>
      <c r="O85" t="str">
        <v>142萬</v>
      </c>
      <c r="P85" t="str">
        <v>+15.00</v>
      </c>
      <c r="Q85" t="str">
        <v>+3.26</v>
      </c>
      <c r="R85" t="str">
        <v>-3.29</v>
      </c>
      <c r="S85">
        <v>-236</v>
      </c>
      <c r="T85">
        <v>0</v>
      </c>
      <c r="U85">
        <f t="array" ref="U85:AD85">[1]!'1473.TW-ChipsField3,ChipsField1,ChipsField25,CashAndStockDividend,CashDividendYieldRate,ProfitFourSeason,ProfitSingle,CName,ExchangeIndustry,CompanyPos'</f>
        <v>-3</v>
      </c>
      <c r="V85">
        <v>-20</v>
      </c>
      <c r="W85" t="str">
        <v>2022/07/28</v>
      </c>
      <c r="X85" t="str">
        <v>0.10</v>
      </c>
      <c r="Y85">
        <v>0.49</v>
      </c>
      <c r="Z85" t="str">
        <v>1.62</v>
      </c>
      <c r="AA85" t="str">
        <v>0.61</v>
      </c>
      <c r="AB85" t="str">
        <v>台南</v>
      </c>
      <c r="AC85" t="str">
        <v>上市紡織纖維</v>
      </c>
      <c r="AD85" t="str">
        <v>台灣前三大成衣製造商，在大陸有Tony wear自有品牌</v>
      </c>
      <c r="AE85" t="str">
        <f t="array" ref="AE85:AH85">[1]!'1473.TW-CName,InvestorConferenceDate,DateofMeetingofShareHolders,TradingDate'</f>
        <v>台南</v>
      </c>
      <c r="AF85" t="str">
        <v>2022/12/01</v>
      </c>
      <c r="AG85" t="str">
        <v>2022/06/20</v>
      </c>
      <c r="AH85" t="str">
        <v>2022/12/22</v>
      </c>
    </row>
    <row r="86" spans="1:34" x14ac:dyDescent="0.3">
      <c r="A86" t="str">
        <f t="array" ref="A86:J86">[1]!'1474.TW-ID,Name,MarketValue,Capital,NetIncomeGrowthRate,OperIncomeGrowthRate,FinancialStatementsTime,TFXRatio,MonthlyNetSalesYoY,RevenueMonth'</f>
        <v>1474</v>
      </c>
      <c r="B86" t="str">
        <v>弘裕</v>
      </c>
      <c r="C86" t="str">
        <v>15.7</v>
      </c>
      <c r="D86" t="str">
        <v>12.99</v>
      </c>
      <c r="E86" t="str">
        <v>-29.04</v>
      </c>
      <c r="F86" t="str">
        <v>-51.44</v>
      </c>
      <c r="G86" t="str">
        <v>2022/09</v>
      </c>
      <c r="H86" t="str">
        <v>7.49</v>
      </c>
      <c r="I86" t="str">
        <v>-25.08</v>
      </c>
      <c r="J86" t="str">
        <v>2022/11</v>
      </c>
      <c r="K86" t="str">
        <f t="array" ref="K86:T86">[1]!'1474.TW-OperatingProfitRatio,Price,PriceChangeRatio,InOutRatioNumber,Value,YearReturn,MonthReturn,WeekReturn,FinanceBalanceDif,ChipsField2'</f>
        <v>2.60</v>
      </c>
      <c r="L86">
        <v>12.05</v>
      </c>
      <c r="M86">
        <v>0.84</v>
      </c>
      <c r="N86" t="str">
        <v>53.85%</v>
      </c>
      <c r="O86" t="str">
        <v>31.4萬</v>
      </c>
      <c r="P86" t="str">
        <v>-17.85</v>
      </c>
      <c r="Q86" t="str">
        <v>+5.70</v>
      </c>
      <c r="R86" t="str">
        <v>+0.84</v>
      </c>
      <c r="S86">
        <v>2</v>
      </c>
      <c r="T86">
        <v>0</v>
      </c>
      <c r="U86">
        <f t="array" ref="U86:AD86">[1]!'1474.TW-ChipsField3,ChipsField1,ChipsField25,CashAndStockDividend,CashDividendYieldRate,ProfitFourSeason,ProfitSingle,CName,ExchangeIndustry,CompanyPos'</f>
        <v>0</v>
      </c>
      <c r="V86">
        <v>1</v>
      </c>
      <c r="W86" t="str">
        <v>2022/08/01</v>
      </c>
      <c r="X86" t="str">
        <v>0.50</v>
      </c>
      <c r="Y86">
        <v>4.1500000000000004</v>
      </c>
      <c r="Z86" t="str">
        <v>0.79</v>
      </c>
      <c r="AA86" t="str">
        <v>0.20</v>
      </c>
      <c r="AB86" t="str">
        <v>弘裕</v>
      </c>
      <c r="AC86" t="str">
        <v>上市紡織纖維</v>
      </c>
      <c r="AD86" t="str">
        <v>台灣最大的工業用布廠</v>
      </c>
      <c r="AE86" t="str">
        <f t="array" ref="AE86:AH86">[1]!'1474.TW-CName,InvestorConferenceDate,DateofMeetingofShareHolders,TradingDate'</f>
        <v>弘裕</v>
      </c>
      <c r="AF86" t="str">
        <v>2022/12/20</v>
      </c>
      <c r="AG86" t="str">
        <v>2022/06/21</v>
      </c>
      <c r="AH86" t="str">
        <v>2022/12/22</v>
      </c>
    </row>
    <row r="87" spans="1:34" x14ac:dyDescent="0.3">
      <c r="A87" t="str">
        <f t="array" ref="A87:J87">[1]!'1475.TW-ID,Name,MarketValue,Capital,NetIncomeGrowthRate,OperIncomeGrowthRate,FinancialStatementsTime,TFXRatio,MonthlyNetSalesYoY,RevenueMonth'</f>
        <v>1475</v>
      </c>
      <c r="B87" t="str">
        <v>業旺</v>
      </c>
      <c r="C87" t="str">
        <v>17.3</v>
      </c>
      <c r="D87" t="str">
        <v>2.60</v>
      </c>
      <c r="E87" t="str">
        <v>708.13</v>
      </c>
      <c r="F87" t="str">
        <v>488.90</v>
      </c>
      <c r="G87" t="str">
        <v>2022/09</v>
      </c>
      <c r="H87" t="str">
        <v>1.74</v>
      </c>
      <c r="I87" t="str">
        <v>26.06</v>
      </c>
      <c r="J87" t="str">
        <v>2022/11</v>
      </c>
      <c r="K87" t="str">
        <f t="array" ref="K87:T87">[1]!'1475.TW-OperatingProfitRatio,Price,PriceChangeRatio,InOutRatioNumber,Value,YearReturn,MonthReturn,WeekReturn,FinanceBalanceDif,ChipsField2'</f>
        <v>20.80</v>
      </c>
      <c r="L87">
        <v>66.400000000000006</v>
      </c>
      <c r="M87">
        <v>1.84</v>
      </c>
      <c r="N87" t="str">
        <v>71.74%</v>
      </c>
      <c r="O87" t="str">
        <v>304萬</v>
      </c>
      <c r="P87" t="str">
        <v>+34.14</v>
      </c>
      <c r="Q87" t="str">
        <v>+3.91</v>
      </c>
      <c r="R87" t="str">
        <v>+0.30</v>
      </c>
      <c r="S87">
        <v>-12</v>
      </c>
      <c r="T87">
        <v>0</v>
      </c>
      <c r="U87">
        <f t="array" ref="U87:AD87">[1]!'1475.TW-ChipsField3,ChipsField1,ChipsField25,CashAndStockDividend,CashDividendYieldRate,ProfitFourSeason,ProfitSingle,CName,ExchangeIndustry,CompanyPos'</f>
        <v>0</v>
      </c>
      <c r="V87">
        <v>0</v>
      </c>
      <c r="W87" t="str">
        <v>--</v>
      </c>
      <c r="X87" t="str">
        <v>0.00</v>
      </c>
      <c r="Y87">
        <v>0</v>
      </c>
      <c r="Z87" t="str">
        <v>12.69</v>
      </c>
      <c r="AA87" t="str">
        <v>4.30</v>
      </c>
      <c r="AB87" t="str">
        <v>業旺</v>
      </c>
      <c r="AC87" t="str">
        <v>上市紡織纖維</v>
      </c>
      <c r="AD87" t="str">
        <v>台灣紡織助染劑廠</v>
      </c>
      <c r="AE87" t="str">
        <f t="array" ref="AE87:AH87">[1]!'1475.TW-CName,InvestorConferenceDate,DateofMeetingofShareHolders,TradingDate'</f>
        <v>業旺</v>
      </c>
      <c r="AF87" t="str">
        <v>2022/12/20</v>
      </c>
      <c r="AG87" t="str">
        <v>2022/12/28</v>
      </c>
      <c r="AH87" t="str">
        <v>2022/12/22</v>
      </c>
    </row>
    <row r="88" spans="1:34" x14ac:dyDescent="0.3">
      <c r="A88" t="str">
        <f t="array" ref="A88:J88">[1]!'1476.TW-ID,Name,MarketValue,Capital,NetIncomeGrowthRate,OperIncomeGrowthRate,FinancialStatementsTime,TFXRatio,MonthlyNetSalesYoY,RevenueMonth'</f>
        <v>1476</v>
      </c>
      <c r="B88" t="str">
        <v>儒鴻</v>
      </c>
      <c r="C88" t="str">
        <v>1334.8</v>
      </c>
      <c r="D88" t="str">
        <v>27.44</v>
      </c>
      <c r="E88" t="str">
        <v>55.98</v>
      </c>
      <c r="F88" t="str">
        <v>36.25</v>
      </c>
      <c r="G88" t="str">
        <v>2022/09</v>
      </c>
      <c r="H88" t="str">
        <v>21.16</v>
      </c>
      <c r="I88" t="str">
        <v>-12.67</v>
      </c>
      <c r="J88" t="str">
        <v>2022/11</v>
      </c>
      <c r="K88" t="str">
        <f t="array" ref="K88:T88">[1]!'1476.TW-OperatingProfitRatio,Price,PriceChangeRatio,InOutRatioNumber,Value,YearReturn,MonthReturn,WeekReturn,FinanceBalanceDif,ChipsField2'</f>
        <v>20.43</v>
      </c>
      <c r="L88">
        <v>486.5</v>
      </c>
      <c r="M88">
        <v>2.96</v>
      </c>
      <c r="N88" t="str">
        <v>58.36%</v>
      </c>
      <c r="O88" t="str">
        <v>7.48億</v>
      </c>
      <c r="P88" t="str">
        <v>-19.17</v>
      </c>
      <c r="Q88" t="str">
        <v>+11.71</v>
      </c>
      <c r="R88" t="str">
        <v>+6.81</v>
      </c>
      <c r="S88">
        <v>-22</v>
      </c>
      <c r="T88">
        <v>24</v>
      </c>
      <c r="U88">
        <f t="array" ref="U88:AD88">[1]!'1476.TW-ChipsField3,ChipsField1,ChipsField25,CashAndStockDividend,CashDividendYieldRate,ProfitFourSeason,ProfitSingle,CName,ExchangeIndustry,CompanyPos'</f>
        <v>78</v>
      </c>
      <c r="V88">
        <v>214</v>
      </c>
      <c r="W88" t="str">
        <v>2022/07/05</v>
      </c>
      <c r="X88" t="str">
        <v>12.00</v>
      </c>
      <c r="Y88">
        <v>2.4700000000000002</v>
      </c>
      <c r="Z88" t="str">
        <v>26.61</v>
      </c>
      <c r="AA88" t="str">
        <v>7.91</v>
      </c>
      <c r="AB88" t="str">
        <v>儒鴻</v>
      </c>
      <c r="AC88" t="str">
        <v>上市紡織纖維</v>
      </c>
      <c r="AD88" t="str">
        <v>台灣最大針織布及第二大成衣代工廠</v>
      </c>
      <c r="AE88" t="str">
        <f t="array" ref="AE88:AH88">[1]!'1476.TW-CName,InvestorConferenceDate,DateofMeetingofShareHolders,TradingDate'</f>
        <v>儒鴻</v>
      </c>
      <c r="AF88" t="str">
        <v>2022/11/08</v>
      </c>
      <c r="AG88" t="str">
        <v>2022/06/14</v>
      </c>
      <c r="AH88" t="str">
        <v>2022/12/22</v>
      </c>
    </row>
    <row r="89" spans="1:34" x14ac:dyDescent="0.3">
      <c r="A89" t="str">
        <f t="array" ref="A89:J89">[1]!'1477.TW-ID,Name,MarketValue,Capital,NetIncomeGrowthRate,OperIncomeGrowthRate,FinancialStatementsTime,TFXRatio,MonthlyNetSalesYoY,RevenueMonth'</f>
        <v>1477</v>
      </c>
      <c r="B89" t="str">
        <v>聚陽</v>
      </c>
      <c r="C89" t="str">
        <v>576.8</v>
      </c>
      <c r="D89" t="str">
        <v>24.19</v>
      </c>
      <c r="E89" t="str">
        <v>37.76</v>
      </c>
      <c r="F89" t="str">
        <v>30.11</v>
      </c>
      <c r="G89" t="str">
        <v>2022/09</v>
      </c>
      <c r="H89" t="str">
        <v>1.27</v>
      </c>
      <c r="I89" t="str">
        <v>9.18</v>
      </c>
      <c r="J89" t="str">
        <v>2022/11</v>
      </c>
      <c r="K89" t="str">
        <f t="array" ref="K89:T89">[1]!'1477.TW-OperatingProfitRatio,Price,PriceChangeRatio,InOutRatioNumber,Value,YearReturn,MonthReturn,WeekReturn,FinanceBalanceDif,ChipsField2'</f>
        <v>13.62</v>
      </c>
      <c r="L89">
        <v>238.5</v>
      </c>
      <c r="M89">
        <v>-0.63</v>
      </c>
      <c r="N89" t="str">
        <v>53.51%</v>
      </c>
      <c r="O89" t="str">
        <v>3.10億</v>
      </c>
      <c r="P89" t="str">
        <v>+1.18</v>
      </c>
      <c r="Q89" t="str">
        <v>+7.92</v>
      </c>
      <c r="R89" t="str">
        <v>-1.85</v>
      </c>
      <c r="S89">
        <v>10</v>
      </c>
      <c r="T89">
        <v>284</v>
      </c>
      <c r="U89">
        <f t="array" ref="U89:AD89">[1]!'1477.TW-ChipsField3,ChipsField1,ChipsField25,CashAndStockDividend,CashDividendYieldRate,ProfitFourSeason,ProfitSingle,CName,ExchangeIndustry,CompanyPos'</f>
        <v>14</v>
      </c>
      <c r="V89">
        <v>200</v>
      </c>
      <c r="W89" t="str">
        <v>2022/04/14</v>
      </c>
      <c r="X89" t="str">
        <v>9.50</v>
      </c>
      <c r="Y89">
        <v>3.98</v>
      </c>
      <c r="Z89" t="str">
        <v>14.16</v>
      </c>
      <c r="AA89" t="str">
        <v>4.59</v>
      </c>
      <c r="AB89" t="str">
        <v>聚陽</v>
      </c>
      <c r="AC89" t="str">
        <v>上市紡織纖維</v>
      </c>
      <c r="AD89" t="str">
        <v>全球第五大、台灣第一大成衣代工廠</v>
      </c>
      <c r="AE89" t="str">
        <f t="array" ref="AE89:AH89">[1]!'1477.TW-CName,InvestorConferenceDate,DateofMeetingofShareHolders,TradingDate'</f>
        <v>聚陽</v>
      </c>
      <c r="AF89" t="str">
        <v>2022/11/30</v>
      </c>
      <c r="AG89" t="str">
        <v>2022/06/15</v>
      </c>
      <c r="AH89" t="str">
        <v>2022/12/22</v>
      </c>
    </row>
    <row r="90" spans="1:34" x14ac:dyDescent="0.3">
      <c r="A90" t="str">
        <f t="array" ref="A90:J90">[1]!'4426.TW-ID,Name,MarketValue,Capital,NetIncomeGrowthRate,OperIncomeGrowthRate,FinancialStatementsTime,TFXRatio,MonthlyNetSalesYoY,RevenueMonth'</f>
        <v>4426</v>
      </c>
      <c r="B90" t="str">
        <v>利勤</v>
      </c>
      <c r="C90" t="str">
        <v>46.2</v>
      </c>
      <c r="D90" t="str">
        <v>17.27</v>
      </c>
      <c r="E90" t="str">
        <v>63.85</v>
      </c>
      <c r="F90" t="str">
        <v>39.07</v>
      </c>
      <c r="G90" t="str">
        <v>2022/09</v>
      </c>
      <c r="H90" t="str">
        <v>20.05</v>
      </c>
      <c r="I90" t="str">
        <v>271.74</v>
      </c>
      <c r="J90" t="str">
        <v>2022/11</v>
      </c>
      <c r="K90" t="str">
        <f t="array" ref="K90:T90">[1]!'4426.TW-OperatingProfitRatio,Price,PriceChangeRatio,InOutRatioNumber,Value,YearReturn,MonthReturn,WeekReturn,FinanceBalanceDif,ChipsField2'</f>
        <v>-20.61</v>
      </c>
      <c r="L90">
        <v>26.75</v>
      </c>
      <c r="M90">
        <v>-0.56000000000000005</v>
      </c>
      <c r="N90" t="str">
        <v>24.17%</v>
      </c>
      <c r="O90" t="str">
        <v>1328萬</v>
      </c>
      <c r="P90" t="str">
        <v>+24.71</v>
      </c>
      <c r="Q90" t="str">
        <v>+12.39</v>
      </c>
      <c r="R90" t="str">
        <v>-0.93</v>
      </c>
      <c r="S90">
        <v>-18</v>
      </c>
      <c r="T90">
        <v>0</v>
      </c>
      <c r="U90">
        <f t="array" ref="U90:AD90">[1]!'4426.TW-ChipsField3,ChipsField1,ChipsField25,CashAndStockDividend,CashDividendYieldRate,ProfitFourSeason,ProfitSingle,CName,ExchangeIndustry,CompanyPos'</f>
        <v>-1</v>
      </c>
      <c r="V90">
        <v>93</v>
      </c>
      <c r="W90" t="str">
        <v>--</v>
      </c>
      <c r="X90" t="str">
        <v>0.00</v>
      </c>
      <c r="Y90">
        <v>0</v>
      </c>
      <c r="Z90" t="str">
        <v>-1.14</v>
      </c>
      <c r="AA90" t="str">
        <v>0.13</v>
      </c>
      <c r="AB90" t="str">
        <v>利勤</v>
      </c>
      <c r="AC90" t="str">
        <v>上市紡織纖維</v>
      </c>
      <c r="AD90" t="str">
        <v>3D立體織物之專業生產商</v>
      </c>
      <c r="AE90" t="str">
        <f t="array" ref="AE90:AH90">[1]!'4426.TW-CName,InvestorConferenceDate,DateofMeetingofShareHolders,TradingDate'</f>
        <v>利勤</v>
      </c>
      <c r="AF90" t="str">
        <v>2021/12/21</v>
      </c>
      <c r="AG90" t="str">
        <v>2022/06/15</v>
      </c>
      <c r="AH90" t="str">
        <v>2022/12/22</v>
      </c>
    </row>
    <row r="91" spans="1:34" x14ac:dyDescent="0.3">
      <c r="A91" t="str">
        <f t="array" ref="A91:J91">[1]!'4438.TW-ID,Name,MarketValue,Capital,NetIncomeGrowthRate,OperIncomeGrowthRate,FinancialStatementsTime,TFXRatio,MonthlyNetSalesYoY,RevenueMonth'</f>
        <v>4438</v>
      </c>
      <c r="B91" t="str">
        <v>廣越</v>
      </c>
      <c r="C91" t="str">
        <v>125.1</v>
      </c>
      <c r="D91" t="str">
        <v>10.34</v>
      </c>
      <c r="E91" t="str">
        <v>157.78</v>
      </c>
      <c r="F91" t="str">
        <v>136.61</v>
      </c>
      <c r="G91" t="str">
        <v>2022/09</v>
      </c>
      <c r="H91" t="str">
        <v>-9.94</v>
      </c>
      <c r="I91" t="str">
        <v>2.82</v>
      </c>
      <c r="J91" t="str">
        <v>2022/11</v>
      </c>
      <c r="K91" t="str">
        <f t="array" ref="K91:T91">[1]!'4438.TW-OperatingProfitRatio,Price,PriceChangeRatio,InOutRatioNumber,Value,YearReturn,MonthReturn,WeekReturn,FinanceBalanceDif,ChipsField2'</f>
        <v>9.65</v>
      </c>
      <c r="L91">
        <v>121</v>
      </c>
      <c r="M91">
        <v>2.54</v>
      </c>
      <c r="N91" t="str">
        <v>54.24%</v>
      </c>
      <c r="O91" t="str">
        <v>2141萬</v>
      </c>
      <c r="P91" t="str">
        <v>-7.71</v>
      </c>
      <c r="Q91" t="str">
        <v>-0.41</v>
      </c>
      <c r="R91" t="str">
        <v>0.00</v>
      </c>
      <c r="S91">
        <v>-8</v>
      </c>
      <c r="T91">
        <v>-10</v>
      </c>
      <c r="U91">
        <f t="array" ref="U91:AD91">[1]!'4438.TW-ChipsField3,ChipsField1,ChipsField25,CashAndStockDividend,CashDividendYieldRate,ProfitFourSeason,ProfitSingle,CName,ExchangeIndustry,CompanyPos'</f>
        <v>1</v>
      </c>
      <c r="V91">
        <v>-17</v>
      </c>
      <c r="W91" t="str">
        <v>2022/08/25</v>
      </c>
      <c r="X91" t="str">
        <v>4.20</v>
      </c>
      <c r="Y91">
        <v>3.47</v>
      </c>
      <c r="Z91" t="str">
        <v>13.56</v>
      </c>
      <c r="AA91" t="str">
        <v>8.94</v>
      </c>
      <c r="AB91" t="str">
        <v>廣越</v>
      </c>
      <c r="AC91" t="str">
        <v>上市紡織纖維</v>
      </c>
      <c r="AD91" t="str">
        <v>為國際知名運動品牌之羽絨服製造商</v>
      </c>
      <c r="AE91" t="str">
        <f t="array" ref="AE91:AH91">[1]!'4438.TW-CName,InvestorConferenceDate,DateofMeetingofShareHolders,TradingDate'</f>
        <v>廣越</v>
      </c>
      <c r="AF91" t="str">
        <v>2022/10/06</v>
      </c>
      <c r="AG91" t="str">
        <v>2022/06/15</v>
      </c>
      <c r="AH91" t="str">
        <v>2022/12/22</v>
      </c>
    </row>
    <row r="92" spans="1:34" x14ac:dyDescent="0.3">
      <c r="A92" t="str">
        <f t="array" ref="A92:J92">[1]!'4439.TW-ID,Name,MarketValue,Capital,NetIncomeGrowthRate,OperIncomeGrowthRate,FinancialStatementsTime,TFXRatio,MonthlyNetSalesYoY,RevenueMonth'</f>
        <v>4439</v>
      </c>
      <c r="B92" t="str">
        <v>冠星-KY</v>
      </c>
      <c r="C92" t="str">
        <v>38.6</v>
      </c>
      <c r="D92" t="str">
        <v>3.84</v>
      </c>
      <c r="E92" t="str">
        <v>27.74</v>
      </c>
      <c r="F92" t="str">
        <v>21.12</v>
      </c>
      <c r="G92" t="str">
        <v>2022/09</v>
      </c>
      <c r="H92" t="str">
        <v>-4.12</v>
      </c>
      <c r="I92" t="str">
        <v>-49.29</v>
      </c>
      <c r="J92" t="str">
        <v>2022/11</v>
      </c>
      <c r="K92" t="str">
        <f t="array" ref="K92:T92">[1]!'4439.TW-OperatingProfitRatio,Price,PriceChangeRatio,InOutRatioNumber,Value,YearReturn,MonthReturn,WeekReturn,FinanceBalanceDif,ChipsField2'</f>
        <v>6.88</v>
      </c>
      <c r="L92">
        <v>100.5</v>
      </c>
      <c r="M92">
        <v>0</v>
      </c>
      <c r="N92" t="str">
        <v>42.31%</v>
      </c>
      <c r="O92" t="str">
        <v>263萬</v>
      </c>
      <c r="P92" t="str">
        <v>-7.83</v>
      </c>
      <c r="Q92" t="str">
        <v>-0.50</v>
      </c>
      <c r="R92" t="str">
        <v>-0.99</v>
      </c>
      <c r="S92">
        <v>-1</v>
      </c>
      <c r="T92">
        <v>0</v>
      </c>
      <c r="U92">
        <f t="array" ref="U92:AD92">[1]!'4439.TW-ChipsField3,ChipsField1,ChipsField25,CashAndStockDividend,CashDividendYieldRate,ProfitFourSeason,ProfitSingle,CName,ExchangeIndustry,CompanyPos'</f>
        <v>0</v>
      </c>
      <c r="V92">
        <v>-1</v>
      </c>
      <c r="W92" t="str">
        <v>2022/07/12</v>
      </c>
      <c r="X92" t="str">
        <v>6.50</v>
      </c>
      <c r="Y92">
        <v>6.47</v>
      </c>
      <c r="Z92" t="str">
        <v>12.18</v>
      </c>
      <c r="AA92" t="str">
        <v>3.32</v>
      </c>
      <c r="AB92" t="str">
        <v>冠星-KY</v>
      </c>
      <c r="AC92" t="str">
        <v>上市紡織纖維</v>
      </c>
      <c r="AD92" t="str">
        <v>adidas運動服飾品牌最大的短纖布料供應商</v>
      </c>
      <c r="AE92" t="str">
        <f t="array" ref="AE92:AH92">[1]!'4439.TW-CName,InvestorConferenceDate,DateofMeetingofShareHolders,TradingDate'</f>
        <v>冠星-KY</v>
      </c>
      <c r="AF92" t="str">
        <v>2022/12/13</v>
      </c>
      <c r="AG92" t="str">
        <v>2022/06/15</v>
      </c>
      <c r="AH92" t="str">
        <v>2022/12/22</v>
      </c>
    </row>
    <row r="93" spans="1:34" x14ac:dyDescent="0.3">
      <c r="A93" t="str">
        <f t="array" ref="A93:J93">[1]!'4440.TW-ID,Name,MarketValue,Capital,NetIncomeGrowthRate,OperIncomeGrowthRate,FinancialStatementsTime,TFXRatio,MonthlyNetSalesYoY,RevenueMonth'</f>
        <v>4440</v>
      </c>
      <c r="B93" t="str">
        <v>宜新實業</v>
      </c>
      <c r="C93" t="str">
        <v>21.8</v>
      </c>
      <c r="D93" t="str">
        <v>6.76</v>
      </c>
      <c r="E93" t="str">
        <v>-34.59</v>
      </c>
      <c r="F93" t="str">
        <v>-27.51</v>
      </c>
      <c r="G93" t="str">
        <v>2022/09</v>
      </c>
      <c r="H93" t="str">
        <v>-4.06</v>
      </c>
      <c r="I93" t="str">
        <v>-35.14</v>
      </c>
      <c r="J93" t="str">
        <v>2022/11</v>
      </c>
      <c r="K93" t="str">
        <f t="array" ref="K93:T93">[1]!'4440.TW-OperatingProfitRatio,Price,PriceChangeRatio,InOutRatioNumber,Value,YearReturn,MonthReturn,WeekReturn,FinanceBalanceDif,ChipsField2'</f>
        <v>17.04</v>
      </c>
      <c r="L93">
        <v>32.299999999999997</v>
      </c>
      <c r="M93">
        <v>-0.15</v>
      </c>
      <c r="N93" t="str">
        <v>13.76%</v>
      </c>
      <c r="O93" t="str">
        <v>350萬</v>
      </c>
      <c r="P93" t="str">
        <v>-23.21</v>
      </c>
      <c r="Q93" t="str">
        <v>-2.86</v>
      </c>
      <c r="R93" t="str">
        <v>-3.29</v>
      </c>
      <c r="S93">
        <v>5</v>
      </c>
      <c r="T93">
        <v>0</v>
      </c>
      <c r="U93">
        <f t="array" ref="U93:AD93">[1]!'4440.TW-ChipsField3,ChipsField1,ChipsField25,CashAndStockDividend,CashDividendYieldRate,ProfitFourSeason,ProfitSingle,CName,ExchangeIndustry,CompanyPos'</f>
        <v>0</v>
      </c>
      <c r="V93">
        <v>-1</v>
      </c>
      <c r="W93" t="str">
        <v>2022/06/10</v>
      </c>
      <c r="X93" t="str">
        <v>4.00</v>
      </c>
      <c r="Y93">
        <v>12.38</v>
      </c>
      <c r="Z93" t="str">
        <v>3.46</v>
      </c>
      <c r="AA93" t="str">
        <v>0.68</v>
      </c>
      <c r="AB93" t="str">
        <v>宜新實業</v>
      </c>
      <c r="AC93" t="str">
        <v>上市紡織纖維</v>
      </c>
      <c r="AD93" t="str">
        <v>國內市占第一的彈性包覆紗廠商</v>
      </c>
      <c r="AE93" t="str">
        <f t="array" ref="AE93:AH93">[1]!'4440.TW-CName,InvestorConferenceDate,DateofMeetingofShareHolders,TradingDate'</f>
        <v>宜新實業</v>
      </c>
      <c r="AF93" t="str">
        <v>2022/11/29</v>
      </c>
      <c r="AG93" t="str">
        <v>2022/05/24</v>
      </c>
      <c r="AH93" t="str">
        <v>2022/12/22</v>
      </c>
    </row>
    <row r="94" spans="1:34" x14ac:dyDescent="0.3">
      <c r="A94" t="str">
        <f t="array" ref="A94:J94">[1]!'1503.TW-ID,Name,MarketValue,Capital,NetIncomeGrowthRate,OperIncomeGrowthRate,FinancialStatementsTime,TFXRatio,MonthlyNetSalesYoY,RevenueMonth'</f>
        <v>1503</v>
      </c>
      <c r="B94" t="str">
        <v>士電</v>
      </c>
      <c r="C94" t="str">
        <v>311.0</v>
      </c>
      <c r="D94" t="str">
        <v>52.10</v>
      </c>
      <c r="E94" t="str">
        <v>16.55</v>
      </c>
      <c r="F94" t="str">
        <v>19.75</v>
      </c>
      <c r="G94" t="str">
        <v>2022/09</v>
      </c>
      <c r="H94" t="str">
        <v>3.12</v>
      </c>
      <c r="I94" t="str">
        <v>23.16</v>
      </c>
      <c r="J94" t="str">
        <v>2022/11</v>
      </c>
      <c r="K94" t="str">
        <f t="array" ref="K94:T94">[1]!'1503.TW-OperatingProfitRatio,Price,PriceChangeRatio,InOutRatioNumber,Value,YearReturn,MonthReturn,WeekReturn,FinanceBalanceDif,ChipsField2'</f>
        <v>8.47</v>
      </c>
      <c r="L94">
        <v>59.7</v>
      </c>
      <c r="M94">
        <v>0.84</v>
      </c>
      <c r="N94" t="str">
        <v>53.85%</v>
      </c>
      <c r="O94" t="str">
        <v>233萬</v>
      </c>
      <c r="P94" t="str">
        <v>+13.56</v>
      </c>
      <c r="Q94" t="str">
        <v>+4.37</v>
      </c>
      <c r="R94" t="str">
        <v>-0.67</v>
      </c>
      <c r="S94">
        <v>-2</v>
      </c>
      <c r="T94">
        <v>0</v>
      </c>
      <c r="U94">
        <f t="array" ref="U94:AD94">[1]!'1503.TW-ChipsField3,ChipsField1,ChipsField25,CashAndStockDividend,CashDividendYieldRate,ProfitFourSeason,ProfitSingle,CName,ExchangeIndustry,CompanyPos'</f>
        <v>-15</v>
      </c>
      <c r="V94">
        <v>17</v>
      </c>
      <c r="W94" t="str">
        <v>2022/07/20</v>
      </c>
      <c r="X94" t="str">
        <v>1.80</v>
      </c>
      <c r="Y94">
        <v>3.02</v>
      </c>
      <c r="Z94" t="str">
        <v>3.96</v>
      </c>
      <c r="AA94" t="str">
        <v>1.09</v>
      </c>
      <c r="AB94" t="str">
        <v>士電</v>
      </c>
      <c r="AC94" t="str">
        <v>上市電機機械</v>
      </c>
      <c r="AD94" t="str">
        <v>屬仰德集團，本業以電機相關產品為主，為士林三寶之一</v>
      </c>
      <c r="AE94" t="str">
        <f t="array" ref="AE94:AH94">[1]!'1503.TW-CName,InvestorConferenceDate,DateofMeetingofShareHolders,TradingDate'</f>
        <v>士電</v>
      </c>
      <c r="AF94" t="str">
        <v>2021/12/20</v>
      </c>
      <c r="AG94" t="str">
        <v>2022/06/24</v>
      </c>
      <c r="AH94" t="str">
        <v>2022/12/22</v>
      </c>
    </row>
    <row r="95" spans="1:34" x14ac:dyDescent="0.3">
      <c r="A95" t="str">
        <f t="array" ref="A95:J95">[1]!'1504.TW-ID,Name,MarketValue,Capital,NetIncomeGrowthRate,OperIncomeGrowthRate,FinancialStatementsTime,TFXRatio,MonthlyNetSalesYoY,RevenueMonth'</f>
        <v>1504</v>
      </c>
      <c r="B95" t="str">
        <v>東元</v>
      </c>
      <c r="C95" t="str">
        <v>585.0</v>
      </c>
      <c r="D95" t="str">
        <v>213.88</v>
      </c>
      <c r="E95" t="str">
        <v>-36.56</v>
      </c>
      <c r="F95" t="str">
        <v>43.02</v>
      </c>
      <c r="G95" t="str">
        <v>2022/09</v>
      </c>
      <c r="H95" t="str">
        <v>6.77</v>
      </c>
      <c r="I95" t="str">
        <v>9.99</v>
      </c>
      <c r="J95" t="str">
        <v>2022/11</v>
      </c>
      <c r="K95" t="str">
        <f t="array" ref="K95:T95">[1]!'1504.TW-OperatingProfitRatio,Price,PriceChangeRatio,InOutRatioNumber,Value,YearReturn,MonthReturn,WeekReturn,FinanceBalanceDif,ChipsField2'</f>
        <v>8.67</v>
      </c>
      <c r="L95">
        <v>27.35</v>
      </c>
      <c r="M95">
        <v>0.55000000000000004</v>
      </c>
      <c r="N95" t="str">
        <v>48.01%</v>
      </c>
      <c r="O95" t="str">
        <v>3734萬</v>
      </c>
      <c r="P95" t="str">
        <v>-7.58</v>
      </c>
      <c r="Q95" t="str">
        <v>-1.62</v>
      </c>
      <c r="R95" t="str">
        <v>-2.84</v>
      </c>
      <c r="S95">
        <v>-6</v>
      </c>
      <c r="T95">
        <v>9</v>
      </c>
      <c r="U95">
        <f t="array" ref="U95:AD95">[1]!'1504.TW-ChipsField3,ChipsField1,ChipsField25,CashAndStockDividend,CashDividendYieldRate,ProfitFourSeason,ProfitSingle,CName,ExchangeIndustry,CompanyPos'</f>
        <v>-90</v>
      </c>
      <c r="V95">
        <v>-615</v>
      </c>
      <c r="W95" t="str">
        <v>2022/06/15</v>
      </c>
      <c r="X95" t="str">
        <v>1.35</v>
      </c>
      <c r="Y95">
        <v>4.9400000000000004</v>
      </c>
      <c r="Z95" t="str">
        <v>1.59</v>
      </c>
      <c r="AA95" t="str">
        <v>0.51</v>
      </c>
      <c r="AB95" t="str">
        <v>東元</v>
      </c>
      <c r="AC95" t="str">
        <v>上市電機機械</v>
      </c>
      <c r="AD95" t="str">
        <v>台灣老牌家電廠，並轉型多角化經營</v>
      </c>
      <c r="AE95" t="str">
        <f t="array" ref="AE95:AH95">[1]!'1504.TW-CName,InvestorConferenceDate,DateofMeetingofShareHolders,TradingDate'</f>
        <v>東元</v>
      </c>
      <c r="AF95" t="str">
        <v>2022/11/15</v>
      </c>
      <c r="AG95" t="str">
        <v>2022/05/20</v>
      </c>
      <c r="AH95" t="str">
        <v>2022/12/22</v>
      </c>
    </row>
    <row r="96" spans="1:34" x14ac:dyDescent="0.3">
      <c r="A96" t="str">
        <f t="array" ref="A96:J96">[1]!'1506.TW-ID,Name,MarketValue,Capital,NetIncomeGrowthRate,OperIncomeGrowthRate,FinancialStatementsTime,TFXRatio,MonthlyNetSalesYoY,RevenueMonth'</f>
        <v>1506</v>
      </c>
      <c r="B96" t="str">
        <v>正道</v>
      </c>
      <c r="C96" t="str">
        <v>28.8</v>
      </c>
      <c r="D96" t="str">
        <v>27.88</v>
      </c>
      <c r="E96" t="str">
        <v>1111.61</v>
      </c>
      <c r="F96" t="str">
        <v>-108.96</v>
      </c>
      <c r="G96" t="str">
        <v>2022/09</v>
      </c>
      <c r="H96" t="str">
        <v>-2.87</v>
      </c>
      <c r="I96" t="str">
        <v>6.58</v>
      </c>
      <c r="J96" t="str">
        <v>2022/11</v>
      </c>
      <c r="K96" t="str">
        <f t="array" ref="K96:T96">[1]!'1506.TW-OperatingProfitRatio,Price,PriceChangeRatio,InOutRatioNumber,Value,YearReturn,MonthReturn,WeekReturn,FinanceBalanceDif,ChipsField2'</f>
        <v>-1.19</v>
      </c>
      <c r="L96">
        <v>17.600000000000001</v>
      </c>
      <c r="M96">
        <v>0.56999999999999995</v>
      </c>
      <c r="N96" t="str">
        <v>34.13%</v>
      </c>
      <c r="O96" t="str">
        <v>379萬</v>
      </c>
      <c r="P96" t="str">
        <v>+17.33</v>
      </c>
      <c r="Q96" t="str">
        <v>+7.32</v>
      </c>
      <c r="R96" t="str">
        <v>-0.85</v>
      </c>
      <c r="S96">
        <v>0</v>
      </c>
      <c r="T96">
        <v>0</v>
      </c>
      <c r="U96">
        <f t="array" ref="U96:AD96">[1]!'1506.TW-ChipsField3,ChipsField1,ChipsField25,CashAndStockDividend,CashDividendYieldRate,ProfitFourSeason,ProfitSingle,CName,ExchangeIndustry,CompanyPos'</f>
        <v>0</v>
      </c>
      <c r="V96">
        <v>34</v>
      </c>
      <c r="W96" t="str">
        <v>--</v>
      </c>
      <c r="X96" t="str">
        <v>0.00</v>
      </c>
      <c r="Y96">
        <v>0</v>
      </c>
      <c r="Z96" t="str">
        <v>0.64</v>
      </c>
      <c r="AA96" t="str">
        <v>0.17</v>
      </c>
      <c r="AB96" t="str">
        <v>正道</v>
      </c>
      <c r="AC96" t="str">
        <v>上市電機機械</v>
      </c>
      <c r="AD96" t="str">
        <v>台灣知名活塞與汽車鍛件製造商</v>
      </c>
      <c r="AE96" t="str">
        <f t="array" ref="AE96:AH96">[1]!'1506.TW-CName,InvestorConferenceDate,DateofMeetingofShareHolders,TradingDate'</f>
        <v>正道</v>
      </c>
      <c r="AF96" t="str">
        <v>2022/12/20</v>
      </c>
      <c r="AG96" t="str">
        <v>2022/06/20</v>
      </c>
      <c r="AH96" t="str">
        <v>2022/12/22</v>
      </c>
    </row>
    <row r="97" spans="1:34" x14ac:dyDescent="0.3">
      <c r="A97" t="str">
        <f t="array" ref="A97:J97">[1]!'1513.TW-ID,Name,MarketValue,Capital,NetIncomeGrowthRate,OperIncomeGrowthRate,FinancialStatementsTime,TFXRatio,MonthlyNetSalesYoY,RevenueMonth'</f>
        <v>1513</v>
      </c>
      <c r="B97" t="str">
        <v>中興電</v>
      </c>
      <c r="C97" t="str">
        <v>313.8</v>
      </c>
      <c r="D97" t="str">
        <v>47.61</v>
      </c>
      <c r="E97" t="str">
        <v>24.46</v>
      </c>
      <c r="F97" t="str">
        <v>8.25</v>
      </c>
      <c r="G97" t="str">
        <v>2022/09</v>
      </c>
      <c r="H97" t="str">
        <v>-2.05</v>
      </c>
      <c r="I97" t="str">
        <v>22.99</v>
      </c>
      <c r="J97" t="str">
        <v>2022/11</v>
      </c>
      <c r="K97" t="str">
        <f t="array" ref="K97:T97">[1]!'1513.TW-OperatingProfitRatio,Price,PriceChangeRatio,InOutRatioNumber,Value,YearReturn,MonthReturn,WeekReturn,FinanceBalanceDif,ChipsField2'</f>
        <v>14.57</v>
      </c>
      <c r="L97">
        <v>65.900000000000006</v>
      </c>
      <c r="M97">
        <v>0.61</v>
      </c>
      <c r="N97" t="str">
        <v>48.43%</v>
      </c>
      <c r="O97" t="str">
        <v>8.34億</v>
      </c>
      <c r="P97" t="str">
        <v>+59.10</v>
      </c>
      <c r="Q97" t="str">
        <v>+18.31</v>
      </c>
      <c r="R97" t="str">
        <v>-0.90</v>
      </c>
      <c r="S97">
        <v>478</v>
      </c>
      <c r="T97">
        <v>1998</v>
      </c>
      <c r="U97">
        <f t="array" ref="U97:AD97">[1]!'1513.TW-ChipsField3,ChipsField1,ChipsField25,CashAndStockDividend,CashDividendYieldRate,ProfitFourSeason,ProfitSingle,CName,ExchangeIndustry,CompanyPos'</f>
        <v>-568</v>
      </c>
      <c r="V97">
        <v>-472</v>
      </c>
      <c r="W97" t="str">
        <v>2022/07/25</v>
      </c>
      <c r="X97" t="str">
        <v>2.80</v>
      </c>
      <c r="Y97">
        <v>4.25</v>
      </c>
      <c r="Z97" t="str">
        <v>4.87</v>
      </c>
      <c r="AA97" t="str">
        <v>1.17</v>
      </c>
      <c r="AB97" t="str">
        <v>中興電</v>
      </c>
      <c r="AC97" t="str">
        <v>上市電機機械</v>
      </c>
      <c r="AD97" t="str">
        <v>台灣知名重電及機電工程廠商</v>
      </c>
      <c r="AE97" t="str">
        <f t="array" ref="AE97:AH97">[1]!'1513.TW-CName,InvestorConferenceDate,DateofMeetingofShareHolders,TradingDate'</f>
        <v>中興電</v>
      </c>
      <c r="AF97" t="str">
        <v>2022/08/18</v>
      </c>
      <c r="AG97" t="str">
        <v>2022/06/28</v>
      </c>
      <c r="AH97" t="str">
        <v>2022/12/22</v>
      </c>
    </row>
    <row r="98" spans="1:34" x14ac:dyDescent="0.3">
      <c r="A98" t="str">
        <f t="array" ref="A98:J98">[1]!'1514.TW-ID,Name,MarketValue,Capital,NetIncomeGrowthRate,OperIncomeGrowthRate,FinancialStatementsTime,TFXRatio,MonthlyNetSalesYoY,RevenueMonth'</f>
        <v>1514</v>
      </c>
      <c r="B98" t="str">
        <v>亞力</v>
      </c>
      <c r="C98" t="str">
        <v>70.6</v>
      </c>
      <c r="D98" t="str">
        <v>23.97</v>
      </c>
      <c r="E98" t="str">
        <v>40.93</v>
      </c>
      <c r="F98" t="str">
        <v>16.92</v>
      </c>
      <c r="G98" t="str">
        <v>2022/09</v>
      </c>
      <c r="H98" t="str">
        <v>-3.93</v>
      </c>
      <c r="I98" t="str">
        <v>17.01</v>
      </c>
      <c r="J98" t="str">
        <v>2022/11</v>
      </c>
      <c r="K98" t="str">
        <f t="array" ref="K98:T98">[1]!'1514.TW-OperatingProfitRatio,Price,PriceChangeRatio,InOutRatioNumber,Value,YearReturn,MonthReturn,WeekReturn,FinanceBalanceDif,ChipsField2'</f>
        <v>6.91</v>
      </c>
      <c r="L98">
        <v>29.45</v>
      </c>
      <c r="M98">
        <v>0</v>
      </c>
      <c r="N98" t="str">
        <v>38.70%</v>
      </c>
      <c r="O98" t="str">
        <v>3529萬</v>
      </c>
      <c r="P98" t="str">
        <v>+23.35</v>
      </c>
      <c r="Q98" t="str">
        <v>+5.75</v>
      </c>
      <c r="R98" t="str">
        <v>-3.12</v>
      </c>
      <c r="S98">
        <v>-167</v>
      </c>
      <c r="T98">
        <v>80</v>
      </c>
      <c r="U98">
        <f t="array" ref="U98:AD98">[1]!'1514.TW-ChipsField3,ChipsField1,ChipsField25,CashAndStockDividend,CashDividendYieldRate,ProfitFourSeason,ProfitSingle,CName,ExchangeIndustry,CompanyPos'</f>
        <v>-3</v>
      </c>
      <c r="V98">
        <v>458</v>
      </c>
      <c r="W98" t="str">
        <v>2022/08/29</v>
      </c>
      <c r="X98" t="str">
        <v>1.25</v>
      </c>
      <c r="Y98">
        <v>4.24</v>
      </c>
      <c r="Z98" t="str">
        <v>2.10</v>
      </c>
      <c r="AA98" t="str">
        <v>0.53</v>
      </c>
      <c r="AB98" t="str">
        <v>亞力</v>
      </c>
      <c r="AC98" t="str">
        <v>上市電機機械</v>
      </c>
      <c r="AD98" t="str">
        <v>生產配電盤、電力變壓器為主的電機公司</v>
      </c>
      <c r="AE98" t="str">
        <f t="array" ref="AE98:AH98">[1]!'1514.TW-CName,InvestorConferenceDate,DateofMeetingofShareHolders,TradingDate'</f>
        <v>亞力</v>
      </c>
      <c r="AF98" t="str">
        <v>2022/11/24</v>
      </c>
      <c r="AG98" t="str">
        <v>2022/06/21</v>
      </c>
      <c r="AH98" t="str">
        <v>2022/12/22</v>
      </c>
    </row>
    <row r="99" spans="1:34" x14ac:dyDescent="0.3">
      <c r="A99" t="str">
        <f t="array" ref="A99:J99">[1]!'1515.TW-ID,Name,MarketValue,Capital,NetIncomeGrowthRate,OperIncomeGrowthRate,FinancialStatementsTime,TFXRatio,MonthlyNetSalesYoY,RevenueMonth'</f>
        <v>1515</v>
      </c>
      <c r="B99" t="str">
        <v>力山</v>
      </c>
      <c r="C99" t="str">
        <v>55.8</v>
      </c>
      <c r="D99" t="str">
        <v>18.15</v>
      </c>
      <c r="E99" t="str">
        <v>-122.55</v>
      </c>
      <c r="F99" t="str">
        <v>-129.59</v>
      </c>
      <c r="G99" t="str">
        <v>2022/09</v>
      </c>
      <c r="H99" t="str">
        <v>45.22</v>
      </c>
      <c r="I99" t="str">
        <v>-80.54</v>
      </c>
      <c r="J99" t="str">
        <v>2022/11</v>
      </c>
      <c r="K99" t="str">
        <f t="array" ref="K99:T99">[1]!'1515.TW-OperatingProfitRatio,Price,PriceChangeRatio,InOutRatioNumber,Value,YearReturn,MonthReturn,WeekReturn,FinanceBalanceDif,ChipsField2'</f>
        <v>-8.76</v>
      </c>
      <c r="L99">
        <v>30.75</v>
      </c>
      <c r="M99">
        <v>-2.0699999999999998</v>
      </c>
      <c r="N99" t="str">
        <v>19.91%</v>
      </c>
      <c r="O99" t="str">
        <v>2741萬</v>
      </c>
      <c r="P99" t="str">
        <v>-42.20</v>
      </c>
      <c r="Q99" t="str">
        <v>+1.15</v>
      </c>
      <c r="R99" t="str">
        <v>-7.52</v>
      </c>
      <c r="S99">
        <v>51</v>
      </c>
      <c r="T99">
        <v>0</v>
      </c>
      <c r="U99">
        <f t="array" ref="U99:AD99">[1]!'1515.TW-ChipsField3,ChipsField1,ChipsField25,CashAndStockDividend,CashDividendYieldRate,ProfitFourSeason,ProfitSingle,CName,ExchangeIndustry,CompanyPos'</f>
        <v>-9</v>
      </c>
      <c r="V99">
        <v>-160</v>
      </c>
      <c r="W99" t="str">
        <v>2022/06/09</v>
      </c>
      <c r="X99" t="str">
        <v>3.00</v>
      </c>
      <c r="Y99">
        <v>9.76</v>
      </c>
      <c r="Z99" t="str">
        <v>0.34</v>
      </c>
      <c r="AA99" t="str">
        <v>-0.24</v>
      </c>
      <c r="AB99" t="str">
        <v>力山</v>
      </c>
      <c r="AC99" t="str">
        <v>上市電機機械</v>
      </c>
      <c r="AD99" t="str">
        <v>台灣知名健身器材代工廠</v>
      </c>
      <c r="AE99" t="str">
        <f t="array" ref="AE99:AH99">[1]!'1515.TW-CName,InvestorConferenceDate,DateofMeetingofShareHolders,TradingDate'</f>
        <v>力山</v>
      </c>
      <c r="AF99" t="str">
        <v>2022/12/15</v>
      </c>
      <c r="AG99" t="str">
        <v>2022/05/31</v>
      </c>
      <c r="AH99" t="str">
        <v>2022/12/22</v>
      </c>
    </row>
    <row r="100" spans="1:34" x14ac:dyDescent="0.3">
      <c r="A100" t="str">
        <f t="array" ref="A100:J100">[1]!'1517.TW-ID,Name,MarketValue,Capital,NetIncomeGrowthRate,OperIncomeGrowthRate,FinancialStatementsTime,TFXRatio,MonthlyNetSalesYoY,RevenueMonth'</f>
        <v>1517</v>
      </c>
      <c r="B100" t="str">
        <v>利奇</v>
      </c>
      <c r="C100" t="str">
        <v>45.6</v>
      </c>
      <c r="D100" t="str">
        <v>22.57</v>
      </c>
      <c r="E100" t="str">
        <v>46.05</v>
      </c>
      <c r="F100" t="str">
        <v>50.68</v>
      </c>
      <c r="G100" t="str">
        <v>2022/09</v>
      </c>
      <c r="H100" t="str">
        <v>-10.56</v>
      </c>
      <c r="I100" t="str">
        <v>-38.66</v>
      </c>
      <c r="J100" t="str">
        <v>2022/11</v>
      </c>
      <c r="K100" t="str">
        <f t="array" ref="K100:T100">[1]!'1517.TW-OperatingProfitRatio,Price,PriceChangeRatio,InOutRatioNumber,Value,YearReturn,MonthReturn,WeekReturn,FinanceBalanceDif,ChipsField2'</f>
        <v>12.81</v>
      </c>
      <c r="L100">
        <v>20.2</v>
      </c>
      <c r="M100">
        <v>0.5</v>
      </c>
      <c r="N100" t="str">
        <v>52.22%</v>
      </c>
      <c r="O100" t="str">
        <v>915萬</v>
      </c>
      <c r="P100" t="str">
        <v>-23.30</v>
      </c>
      <c r="Q100" t="str">
        <v>-11.01</v>
      </c>
      <c r="R100" t="str">
        <v>-4.04</v>
      </c>
      <c r="S100">
        <v>-28</v>
      </c>
      <c r="T100">
        <v>0</v>
      </c>
      <c r="U100">
        <f t="array" ref="U100:AD100">[1]!'1517.TW-ChipsField3,ChipsField1,ChipsField25,CashAndStockDividend,CashDividendYieldRate,ProfitFourSeason,ProfitSingle,CName,ExchangeIndustry,CompanyPos'</f>
        <v>-11</v>
      </c>
      <c r="V100">
        <v>35</v>
      </c>
      <c r="W100" t="str">
        <v>2022/09/20</v>
      </c>
      <c r="X100" t="str">
        <v>0.80</v>
      </c>
      <c r="Y100">
        <v>3.96</v>
      </c>
      <c r="Z100" t="str">
        <v>2.91</v>
      </c>
      <c r="AA100" t="str">
        <v>1.06</v>
      </c>
      <c r="AB100" t="str">
        <v>利奇</v>
      </c>
      <c r="AC100" t="str">
        <v>上市電機機械</v>
      </c>
      <c r="AD100" t="str">
        <v>台灣老牌自行車零件廠</v>
      </c>
      <c r="AE100" t="str">
        <f t="array" ref="AE100:AH100">[1]!'1517.TW-CName,InvestorConferenceDate,DateofMeetingofShareHolders,TradingDate'</f>
        <v>利奇</v>
      </c>
      <c r="AF100" t="str">
        <v>2022/11/25</v>
      </c>
      <c r="AG100" t="str">
        <v>2022/06/23</v>
      </c>
      <c r="AH100" t="str">
        <v>2022/12/22</v>
      </c>
    </row>
    <row r="101" spans="1:34" x14ac:dyDescent="0.3">
      <c r="A101" t="str">
        <f t="array" ref="A101:J101">[1]!'1519.TW-ID,Name,MarketValue,Capital,NetIncomeGrowthRate,OperIncomeGrowthRate,FinancialStatementsTime,TFXRatio,MonthlyNetSalesYoY,RevenueMonth'</f>
        <v>1519</v>
      </c>
      <c r="B101" t="str">
        <v>華城</v>
      </c>
      <c r="C101" t="str">
        <v>125.0</v>
      </c>
      <c r="D101" t="str">
        <v>26.11</v>
      </c>
      <c r="E101" t="str">
        <v>189.81</v>
      </c>
      <c r="F101" t="str">
        <v>57.02</v>
      </c>
      <c r="G101" t="str">
        <v>2022/09</v>
      </c>
      <c r="H101" t="str">
        <v>51.27</v>
      </c>
      <c r="I101" t="str">
        <v>-2.99</v>
      </c>
      <c r="J101" t="str">
        <v>2022/11</v>
      </c>
      <c r="K101" t="str">
        <f t="array" ref="K101:T101">[1]!'1519.TW-OperatingProfitRatio,Price,PriceChangeRatio,InOutRatioNumber,Value,YearReturn,MonthReturn,WeekReturn,FinanceBalanceDif,ChipsField2'</f>
        <v>6.76</v>
      </c>
      <c r="L101">
        <v>47.9</v>
      </c>
      <c r="M101">
        <v>-0.31</v>
      </c>
      <c r="N101" t="str">
        <v>46.83%</v>
      </c>
      <c r="O101" t="str">
        <v>1.91億</v>
      </c>
      <c r="P101" t="str">
        <v>+34.07</v>
      </c>
      <c r="Q101" t="str">
        <v>+18.27</v>
      </c>
      <c r="R101" t="str">
        <v>-2.74</v>
      </c>
      <c r="S101">
        <v>39</v>
      </c>
      <c r="T101">
        <v>-100</v>
      </c>
      <c r="U101">
        <f t="array" ref="U101:AD101">[1]!'1519.TW-ChipsField3,ChipsField1,ChipsField25,CashAndStockDividend,CashDividendYieldRate,ProfitFourSeason,ProfitSingle,CName,ExchangeIndustry,CompanyPos'</f>
        <v>-89</v>
      </c>
      <c r="V101">
        <v>661</v>
      </c>
      <c r="W101" t="str">
        <v>2022/07/29</v>
      </c>
      <c r="X101" t="str">
        <v>1.00</v>
      </c>
      <c r="Y101">
        <v>2.09</v>
      </c>
      <c r="Z101" t="str">
        <v>2.03</v>
      </c>
      <c r="AA101" t="str">
        <v>0.52</v>
      </c>
      <c r="AB101" t="str">
        <v>華城</v>
      </c>
      <c r="AC101" t="str">
        <v>上市電機機械</v>
      </c>
      <c r="AD101" t="str">
        <v>生產電力變壓器為主之重電廠</v>
      </c>
      <c r="AE101" t="str">
        <f t="array" ref="AE101:AH101">[1]!'1519.TW-CName,InvestorConferenceDate,DateofMeetingofShareHolders,TradingDate'</f>
        <v>華城</v>
      </c>
      <c r="AF101" t="str">
        <v>2022/12/05</v>
      </c>
      <c r="AG101" t="str">
        <v>2022/06/15</v>
      </c>
      <c r="AH101" t="str">
        <v>2022/12/22</v>
      </c>
    </row>
    <row r="102" spans="1:34" x14ac:dyDescent="0.3">
      <c r="A102" t="str">
        <f t="array" ref="A102:J102">[1]!'1526.TW-ID,Name,MarketValue,Capital,NetIncomeGrowthRate,OperIncomeGrowthRate,FinancialStatementsTime,TFXRatio,MonthlyNetSalesYoY,RevenueMonth'</f>
        <v>1526</v>
      </c>
      <c r="B102" t="str">
        <v>日馳</v>
      </c>
      <c r="C102" t="str">
        <v>24.8</v>
      </c>
      <c r="D102" t="str">
        <v>6.00</v>
      </c>
      <c r="E102" t="str">
        <v>64.36</v>
      </c>
      <c r="F102" t="str">
        <v>59.56</v>
      </c>
      <c r="G102" t="str">
        <v>2022/09</v>
      </c>
      <c r="H102" t="str">
        <v>16.24</v>
      </c>
      <c r="I102" t="str">
        <v>-4.42</v>
      </c>
      <c r="J102" t="str">
        <v>2022/11</v>
      </c>
      <c r="K102" t="str">
        <f t="array" ref="K102:T102">[1]!'1526.TW-OperatingProfitRatio,Price,PriceChangeRatio,InOutRatioNumber,Value,YearReturn,MonthReturn,WeekReturn,FinanceBalanceDif,ChipsField2'</f>
        <v>22.84</v>
      </c>
      <c r="L102">
        <v>41.35</v>
      </c>
      <c r="M102">
        <v>1.1000000000000001</v>
      </c>
      <c r="N102" t="str">
        <v>51.85%</v>
      </c>
      <c r="O102" t="str">
        <v>559萬</v>
      </c>
      <c r="P102" t="str">
        <v>-5.73</v>
      </c>
      <c r="Q102" t="str">
        <v>-6.87</v>
      </c>
      <c r="R102" t="str">
        <v>-6.02</v>
      </c>
      <c r="S102">
        <v>17</v>
      </c>
      <c r="T102">
        <v>0</v>
      </c>
      <c r="U102">
        <f t="array" ref="U102:AD102">[1]!'1526.TW-ChipsField3,ChipsField1,ChipsField25,CashAndStockDividend,CashDividendYieldRate,ProfitFourSeason,ProfitSingle,CName,ExchangeIndustry,CompanyPos'</f>
        <v>-3</v>
      </c>
      <c r="V102">
        <v>-23</v>
      </c>
      <c r="W102" t="str">
        <v>2022/11/21</v>
      </c>
      <c r="X102" t="str">
        <v>1.80</v>
      </c>
      <c r="Y102">
        <v>6.29</v>
      </c>
      <c r="Z102" t="str">
        <v>6.45</v>
      </c>
      <c r="AA102" t="str">
        <v>1.80</v>
      </c>
      <c r="AB102" t="str">
        <v>日馳</v>
      </c>
      <c r="AC102" t="str">
        <v>上市電機機械</v>
      </c>
      <c r="AD102" t="str">
        <v>全球知名的自行車內、外變速器專業製造廠之一</v>
      </c>
      <c r="AE102" t="str">
        <f t="array" ref="AE102:AH102">[1]!'1526.TW-CName,InvestorConferenceDate,DateofMeetingofShareHolders,TradingDate'</f>
        <v>日馳</v>
      </c>
      <c r="AF102" t="str">
        <v>2022/08/05</v>
      </c>
      <c r="AG102" t="str">
        <v>2022/06/17</v>
      </c>
      <c r="AH102" t="str">
        <v>2022/12/22</v>
      </c>
    </row>
    <row r="103" spans="1:34" x14ac:dyDescent="0.3">
      <c r="A103" t="str">
        <f t="array" ref="A103:J103">[1]!'1527.TW-ID,Name,MarketValue,Capital,NetIncomeGrowthRate,OperIncomeGrowthRate,FinancialStatementsTime,TFXRatio,MonthlyNetSalesYoY,RevenueMonth'</f>
        <v>1527</v>
      </c>
      <c r="B103" t="str">
        <v>鑽全</v>
      </c>
      <c r="C103" t="str">
        <v>57.2</v>
      </c>
      <c r="D103" t="str">
        <v>13.86</v>
      </c>
      <c r="E103" t="str">
        <v>82.24</v>
      </c>
      <c r="F103" t="str">
        <v>24.31</v>
      </c>
      <c r="G103" t="str">
        <v>2022/09</v>
      </c>
      <c r="H103" t="str">
        <v>36.04</v>
      </c>
      <c r="I103" t="str">
        <v>-19.81</v>
      </c>
      <c r="J103" t="str">
        <v>2022/11</v>
      </c>
      <c r="K103" t="str">
        <f t="array" ref="K103:T103">[1]!'1527.TW-OperatingProfitRatio,Price,PriceChangeRatio,InOutRatioNumber,Value,YearReturn,MonthReturn,WeekReturn,FinanceBalanceDif,ChipsField2'</f>
        <v>18.54</v>
      </c>
      <c r="L103">
        <v>41.25</v>
      </c>
      <c r="M103">
        <v>0.98</v>
      </c>
      <c r="N103" t="str">
        <v>59.39%</v>
      </c>
      <c r="O103" t="str">
        <v>681萬</v>
      </c>
      <c r="P103" t="str">
        <v>+1.60</v>
      </c>
      <c r="Q103" t="str">
        <v>-0.48</v>
      </c>
      <c r="R103" t="str">
        <v>-0.84</v>
      </c>
      <c r="S103">
        <v>-3</v>
      </c>
      <c r="T103">
        <v>0</v>
      </c>
      <c r="U103">
        <f t="array" ref="U103:AD103">[1]!'1527.TW-ChipsField3,ChipsField1,ChipsField25,CashAndStockDividend,CashDividendYieldRate,ProfitFourSeason,ProfitSingle,CName,ExchangeIndustry,CompanyPos'</f>
        <v>0</v>
      </c>
      <c r="V103">
        <v>31</v>
      </c>
      <c r="W103" t="str">
        <v>2022/08/24</v>
      </c>
      <c r="X103" t="str">
        <v>2.40</v>
      </c>
      <c r="Y103">
        <v>5.82</v>
      </c>
      <c r="Z103" t="str">
        <v>5.55</v>
      </c>
      <c r="AA103" t="str">
        <v>1.82</v>
      </c>
      <c r="AB103" t="str">
        <v>鑽全</v>
      </c>
      <c r="AC103" t="str">
        <v>上市電機機械</v>
      </c>
      <c r="AD103" t="str">
        <v>台灣最大的氣動手工具機ODM廠</v>
      </c>
      <c r="AE103" t="str">
        <f t="array" ref="AE103:AH103">[1]!'1527.TW-CName,InvestorConferenceDate,DateofMeetingofShareHolders,TradingDate'</f>
        <v>鑽全</v>
      </c>
      <c r="AF103" t="str">
        <v>2022/12/22</v>
      </c>
      <c r="AG103" t="str">
        <v>2022/06/02</v>
      </c>
      <c r="AH103" t="str">
        <v>2022/12/22</v>
      </c>
    </row>
    <row r="104" spans="1:34" x14ac:dyDescent="0.3">
      <c r="A104" t="str">
        <f t="array" ref="A104:J104">[1]!'1528.TW-ID,Name,MarketValue,Capital,NetIncomeGrowthRate,OperIncomeGrowthRate,FinancialStatementsTime,TFXRatio,MonthlyNetSalesYoY,RevenueMonth'</f>
        <v>1528</v>
      </c>
      <c r="B104" t="str">
        <v>恩德</v>
      </c>
      <c r="C104" t="str">
        <v>19.6</v>
      </c>
      <c r="D104" t="str">
        <v>19.43</v>
      </c>
      <c r="E104" t="str">
        <v>-37.34</v>
      </c>
      <c r="F104" t="str">
        <v>14.98</v>
      </c>
      <c r="G104" t="str">
        <v>2022/09</v>
      </c>
      <c r="H104" t="str">
        <v>20.60</v>
      </c>
      <c r="I104" t="str">
        <v>37.97</v>
      </c>
      <c r="J104" t="str">
        <v>2022/11</v>
      </c>
      <c r="K104" t="str">
        <f t="array" ref="K104:T104">[1]!'1528.TW-OperatingProfitRatio,Price,PriceChangeRatio,InOutRatioNumber,Value,YearReturn,MonthReturn,WeekReturn,FinanceBalanceDif,ChipsField2'</f>
        <v>2.23</v>
      </c>
      <c r="L104">
        <v>10.1</v>
      </c>
      <c r="M104">
        <v>0.5</v>
      </c>
      <c r="N104" t="str">
        <v>26.09%</v>
      </c>
      <c r="O104" t="str">
        <v>162萬</v>
      </c>
      <c r="P104" t="str">
        <v>-14.34</v>
      </c>
      <c r="Q104" t="str">
        <v>+7.22</v>
      </c>
      <c r="R104" t="str">
        <v>-2.88</v>
      </c>
      <c r="S104">
        <v>-3</v>
      </c>
      <c r="T104">
        <v>0</v>
      </c>
      <c r="U104">
        <f t="array" ref="U104:AD104">[1]!'1528.TW-ChipsField3,ChipsField1,ChipsField25,CashAndStockDividend,CashDividendYieldRate,ProfitFourSeason,ProfitSingle,CName,ExchangeIndustry,CompanyPos'</f>
        <v>-8</v>
      </c>
      <c r="V104">
        <v>31</v>
      </c>
      <c r="W104" t="str">
        <v>2022/08/25</v>
      </c>
      <c r="X104" t="str">
        <v>0.10</v>
      </c>
      <c r="Y104">
        <v>0.99</v>
      </c>
      <c r="Z104" t="str">
        <v>0.69</v>
      </c>
      <c r="AA104" t="str">
        <v>0.29</v>
      </c>
      <c r="AB104" t="str">
        <v>恩德</v>
      </c>
      <c r="AC104" t="str">
        <v>上市電機機械</v>
      </c>
      <c r="AD104" t="str">
        <v>台灣生產PCB鑽孔機、成型機與木工機械廠商</v>
      </c>
      <c r="AE104" t="str">
        <f t="array" ref="AE104:AH104">[1]!'1528.TW-CName,InvestorConferenceDate,DateofMeetingofShareHolders,TradingDate'</f>
        <v>恩德</v>
      </c>
      <c r="AF104" t="str">
        <v>2022/11/29</v>
      </c>
      <c r="AG104" t="str">
        <v>2022/05/30</v>
      </c>
      <c r="AH104" t="str">
        <v>2022/12/22</v>
      </c>
    </row>
    <row r="105" spans="1:34" x14ac:dyDescent="0.3">
      <c r="A105" t="str">
        <f t="array" ref="A105:J105">[1]!'1529.TW-ID,Name,MarketValue,Capital,NetIncomeGrowthRate,OperIncomeGrowthRate,FinancialStatementsTime,TFXRatio,MonthlyNetSalesYoY,RevenueMonth'</f>
        <v>1529</v>
      </c>
      <c r="B105" t="str">
        <v>樂事綠能</v>
      </c>
      <c r="C105" t="str">
        <v>28.4</v>
      </c>
      <c r="D105" t="str">
        <v>14.55</v>
      </c>
      <c r="E105" t="str">
        <v>-59.26</v>
      </c>
      <c r="F105" t="str">
        <v>-31.34</v>
      </c>
      <c r="G105" t="str">
        <v>2022/09</v>
      </c>
      <c r="H105" t="str">
        <v>23.69</v>
      </c>
      <c r="I105" t="str">
        <v>42.30</v>
      </c>
      <c r="J105" t="str">
        <v>2022/11</v>
      </c>
      <c r="K105" t="str">
        <f t="array" ref="K105:T105">[1]!'1529.TW-OperatingProfitRatio,Price,PriceChangeRatio,InOutRatioNumber,Value,YearReturn,MonthReturn,WeekReturn,FinanceBalanceDif,ChipsField2'</f>
        <v>29.30</v>
      </c>
      <c r="L105">
        <v>19.55</v>
      </c>
      <c r="M105">
        <v>-1.26</v>
      </c>
      <c r="N105" t="str">
        <v>32.96%</v>
      </c>
      <c r="O105" t="str">
        <v>4489萬</v>
      </c>
      <c r="P105" t="str">
        <v>-0.73</v>
      </c>
      <c r="Q105" t="str">
        <v>+18.84</v>
      </c>
      <c r="R105" t="str">
        <v>+1.56</v>
      </c>
      <c r="S105">
        <v>179</v>
      </c>
      <c r="T105">
        <v>0</v>
      </c>
      <c r="U105">
        <f t="array" ref="U105:AD105">[1]!'1529.TW-ChipsField3,ChipsField1,ChipsField25,CashAndStockDividend,CashDividendYieldRate,ProfitFourSeason,ProfitSingle,CName,ExchangeIndustry,CompanyPos'</f>
        <v>0</v>
      </c>
      <c r="V105">
        <v>-91</v>
      </c>
      <c r="W105" t="str">
        <v>2022/09/07</v>
      </c>
      <c r="X105" t="str">
        <v>0.90</v>
      </c>
      <c r="Y105">
        <v>4.5999999999999996</v>
      </c>
      <c r="Z105" t="str">
        <v>0.44</v>
      </c>
      <c r="AA105" t="str">
        <v>0.11</v>
      </c>
      <c r="AB105" t="str">
        <v>樂事綠能</v>
      </c>
      <c r="AC105" t="str">
        <v>上市電機機械</v>
      </c>
      <c r="AD105" t="str">
        <v>重電事業及太陽能光電業務為主</v>
      </c>
      <c r="AE105" t="str">
        <f t="array" ref="AE105:AH105">[1]!'1529.TW-CName,InvestorConferenceDate,DateofMeetingofShareHolders,TradingDate'</f>
        <v>樂事綠能</v>
      </c>
      <c r="AF105" t="str">
        <v>2022/12/14</v>
      </c>
      <c r="AG105" t="str">
        <v>2022/06/21</v>
      </c>
      <c r="AH105" t="str">
        <v>2022/12/22</v>
      </c>
    </row>
    <row r="106" spans="1:34" x14ac:dyDescent="0.3">
      <c r="A106" t="str">
        <f t="array" ref="A106:J106">[1]!'1530.TW-ID,Name,MarketValue,Capital,NetIncomeGrowthRate,OperIncomeGrowthRate,FinancialStatementsTime,TFXRatio,MonthlyNetSalesYoY,RevenueMonth'</f>
        <v>1530</v>
      </c>
      <c r="B106" t="str">
        <v>亞崴</v>
      </c>
      <c r="C106" t="str">
        <v>29.4</v>
      </c>
      <c r="D106" t="str">
        <v>9.66</v>
      </c>
      <c r="E106" t="str">
        <v>261.77</v>
      </c>
      <c r="F106" t="str">
        <v>19.32</v>
      </c>
      <c r="G106" t="str">
        <v>2022/09</v>
      </c>
      <c r="H106" t="str">
        <v>-3.54</v>
      </c>
      <c r="I106" t="str">
        <v>-36.97</v>
      </c>
      <c r="J106" t="str">
        <v>2022/11</v>
      </c>
      <c r="K106" t="str">
        <f t="array" ref="K106:T106">[1]!'1530.TW-OperatingProfitRatio,Price,PriceChangeRatio,InOutRatioNumber,Value,YearReturn,MonthReturn,WeekReturn,FinanceBalanceDif,ChipsField2'</f>
        <v>9.49</v>
      </c>
      <c r="L106">
        <v>30.45</v>
      </c>
      <c r="M106">
        <v>0.33</v>
      </c>
      <c r="N106" t="str">
        <v>26.32%</v>
      </c>
      <c r="O106" t="str">
        <v>60.9萬</v>
      </c>
      <c r="P106" t="str">
        <v>-2.12</v>
      </c>
      <c r="Q106" t="str">
        <v>-1.77</v>
      </c>
      <c r="R106" t="str">
        <v>-1.46</v>
      </c>
      <c r="S106">
        <v>3</v>
      </c>
      <c r="T106">
        <v>0</v>
      </c>
      <c r="U106">
        <f t="array" ref="U106:AD106">[1]!'1530.TW-ChipsField3,ChipsField1,ChipsField25,CashAndStockDividend,CashDividendYieldRate,ProfitFourSeason,ProfitSingle,CName,ExchangeIndustry,CompanyPos'</f>
        <v>0</v>
      </c>
      <c r="V106">
        <v>0</v>
      </c>
      <c r="W106" t="str">
        <v>2022/08/04</v>
      </c>
      <c r="X106" t="str">
        <v>1.50</v>
      </c>
      <c r="Y106">
        <v>4.93</v>
      </c>
      <c r="Z106" t="str">
        <v>3.74</v>
      </c>
      <c r="AA106" t="str">
        <v>1.51</v>
      </c>
      <c r="AB106" t="str">
        <v>亞崴</v>
      </c>
      <c r="AC106" t="str">
        <v>上市電機機械</v>
      </c>
      <c r="AD106" t="str">
        <v>台灣知名CNC加工機及龍門機製造商</v>
      </c>
      <c r="AE106" t="str">
        <f t="array" ref="AE106:AH106">[1]!'1530.TW-CName,InvestorConferenceDate,DateofMeetingofShareHolders,TradingDate'</f>
        <v>亞崴</v>
      </c>
      <c r="AF106" t="str">
        <v>2022/11/25</v>
      </c>
      <c r="AG106" t="str">
        <v>2022/06/15</v>
      </c>
      <c r="AH106" t="str">
        <v>2022/12/22</v>
      </c>
    </row>
    <row r="107" spans="1:34" x14ac:dyDescent="0.3">
      <c r="A107" t="str">
        <f t="array" ref="A107:J107">[1]!'1531.TW-ID,Name,MarketValue,Capital,NetIncomeGrowthRate,OperIncomeGrowthRate,FinancialStatementsTime,TFXRatio,MonthlyNetSalesYoY,RevenueMonth'</f>
        <v>1531</v>
      </c>
      <c r="B107" t="str">
        <v>高林股</v>
      </c>
      <c r="C107" t="str">
        <v>25.7</v>
      </c>
      <c r="D107" t="str">
        <v>18.36</v>
      </c>
      <c r="E107" t="str">
        <v>44.40</v>
      </c>
      <c r="F107" t="str">
        <v>-43.33</v>
      </c>
      <c r="G107" t="str">
        <v>2022/09</v>
      </c>
      <c r="H107" t="str">
        <v>111.28</v>
      </c>
      <c r="I107" t="str">
        <v>-41.93</v>
      </c>
      <c r="J107" t="str">
        <v>2022/11</v>
      </c>
      <c r="K107" t="str">
        <f t="array" ref="K107:T107">[1]!'1531.TW-OperatingProfitRatio,Price,PriceChangeRatio,InOutRatioNumber,Value,YearReturn,MonthReturn,WeekReturn,FinanceBalanceDif,ChipsField2'</f>
        <v>4.74</v>
      </c>
      <c r="L107">
        <v>14</v>
      </c>
      <c r="M107">
        <v>0</v>
      </c>
      <c r="N107" t="str">
        <v>48.15%</v>
      </c>
      <c r="O107" t="str">
        <v>37.6萬</v>
      </c>
      <c r="P107" t="str">
        <v>-6.49</v>
      </c>
      <c r="Q107" t="str">
        <v>+2.56</v>
      </c>
      <c r="R107" t="str">
        <v>-0.36</v>
      </c>
      <c r="S107">
        <v>-20</v>
      </c>
      <c r="T107">
        <v>0</v>
      </c>
      <c r="U107">
        <f t="array" ref="U107:AD107">[1]!'1531.TW-ChipsField3,ChipsField1,ChipsField25,CashAndStockDividend,CashDividendYieldRate,ProfitFourSeason,ProfitSingle,CName,ExchangeIndustry,CompanyPos'</f>
        <v>0</v>
      </c>
      <c r="V107">
        <v>5</v>
      </c>
      <c r="W107" t="str">
        <v>2022/08/29</v>
      </c>
      <c r="X107" t="str">
        <v>0.70</v>
      </c>
      <c r="Y107">
        <v>5</v>
      </c>
      <c r="Z107" t="str">
        <v>1.29</v>
      </c>
      <c r="AA107" t="str">
        <v>0.36</v>
      </c>
      <c r="AB107" t="str">
        <v>高林股</v>
      </c>
      <c r="AC107" t="str">
        <v>上市電機機械</v>
      </c>
      <c r="AD107" t="str">
        <v>全球前三大工業用縫紉機製造商</v>
      </c>
      <c r="AE107" t="str">
        <f t="array" ref="AE107:AH107">[1]!'1531.TW-CName,InvestorConferenceDate,DateofMeetingofShareHolders,TradingDate'</f>
        <v>高林股</v>
      </c>
      <c r="AF107" t="str">
        <v>2022/11/25</v>
      </c>
      <c r="AG107" t="str">
        <v>2022/06/24</v>
      </c>
      <c r="AH107" t="str">
        <v>2022/12/22</v>
      </c>
    </row>
    <row r="108" spans="1:34" x14ac:dyDescent="0.3">
      <c r="A108" t="str">
        <f t="array" ref="A108:J108">[1]!'1532.TW-ID,Name,MarketValue,Capital,NetIncomeGrowthRate,OperIncomeGrowthRate,FinancialStatementsTime,TFXRatio,MonthlyNetSalesYoY,RevenueMonth'</f>
        <v>1532</v>
      </c>
      <c r="B108" t="str">
        <v>勤美</v>
      </c>
      <c r="C108" t="str">
        <v>107.6</v>
      </c>
      <c r="D108" t="str">
        <v>37.61</v>
      </c>
      <c r="E108" t="str">
        <v>-0.32</v>
      </c>
      <c r="F108" t="str">
        <v>-28.14</v>
      </c>
      <c r="G108" t="str">
        <v>2022/09</v>
      </c>
      <c r="H108" t="str">
        <v>3.98</v>
      </c>
      <c r="I108" t="str">
        <v>-46.24</v>
      </c>
      <c r="J108" t="str">
        <v>2022/11</v>
      </c>
      <c r="K108" t="str">
        <f t="array" ref="K108:T108">[1]!'1532.TW-OperatingProfitRatio,Price,PriceChangeRatio,InOutRatioNumber,Value,YearReturn,MonthReturn,WeekReturn,FinanceBalanceDif,ChipsField2'</f>
        <v>6.82</v>
      </c>
      <c r="L108">
        <v>28.6</v>
      </c>
      <c r="M108">
        <v>1.24</v>
      </c>
      <c r="N108" t="str">
        <v>38.13%</v>
      </c>
      <c r="O108" t="str">
        <v>397萬</v>
      </c>
      <c r="P108" t="str">
        <v>-5.59</v>
      </c>
      <c r="Q108" t="str">
        <v>+1.42</v>
      </c>
      <c r="R108" t="str">
        <v>-3.54</v>
      </c>
      <c r="S108">
        <v>-15</v>
      </c>
      <c r="T108">
        <v>-50</v>
      </c>
      <c r="U108">
        <f t="array" ref="U108:AD108">[1]!'1532.TW-ChipsField3,ChipsField1,ChipsField25,CashAndStockDividend,CashDividendYieldRate,ProfitFourSeason,ProfitSingle,CName,ExchangeIndustry,CompanyPos'</f>
        <v>-22</v>
      </c>
      <c r="V108">
        <v>25</v>
      </c>
      <c r="W108" t="str">
        <v>2022/07/14</v>
      </c>
      <c r="X108" t="str">
        <v>2.11</v>
      </c>
      <c r="Y108">
        <v>7.38</v>
      </c>
      <c r="Z108" t="str">
        <v>3.49</v>
      </c>
      <c r="AA108" t="str">
        <v>0.52</v>
      </c>
      <c r="AB108" t="str">
        <v>勤美</v>
      </c>
      <c r="AC108" t="str">
        <v>上市電機機械</v>
      </c>
      <c r="AD108" t="str">
        <v>台灣鑄鐵龍頭廠之一，並轉投資營建地產</v>
      </c>
      <c r="AE108" t="str">
        <f t="array" ref="AE108:AH108">[1]!'1532.TW-CName,InvestorConferenceDate,DateofMeetingofShareHolders,TradingDate'</f>
        <v>勤美</v>
      </c>
      <c r="AF108" t="str">
        <v>2022/09/12</v>
      </c>
      <c r="AG108" t="str">
        <v>2022/06/24</v>
      </c>
      <c r="AH108" t="str">
        <v>2022/12/22</v>
      </c>
    </row>
    <row r="109" spans="1:34" x14ac:dyDescent="0.3">
      <c r="A109" t="str">
        <f t="array" ref="A109:J109">[1]!'1535.TW-ID,Name,MarketValue,Capital,NetIncomeGrowthRate,OperIncomeGrowthRate,FinancialStatementsTime,TFXRatio,MonthlyNetSalesYoY,RevenueMonth'</f>
        <v>1535</v>
      </c>
      <c r="B109" t="str">
        <v>中宇</v>
      </c>
      <c r="C109" t="str">
        <v>54.4</v>
      </c>
      <c r="D109" t="str">
        <v>12.37</v>
      </c>
      <c r="E109" t="str">
        <v>43.92</v>
      </c>
      <c r="F109" t="str">
        <v>24.71</v>
      </c>
      <c r="G109" t="str">
        <v>2022/09</v>
      </c>
      <c r="H109" t="str">
        <v>3.81</v>
      </c>
      <c r="I109" t="str">
        <v>5.55</v>
      </c>
      <c r="J109" t="str">
        <v>2022/11</v>
      </c>
      <c r="K109" t="str">
        <f t="array" ref="K109:T109">[1]!'1535.TW-OperatingProfitRatio,Price,PriceChangeRatio,InOutRatioNumber,Value,YearReturn,MonthReturn,WeekReturn,FinanceBalanceDif,ChipsField2'</f>
        <v>3.65</v>
      </c>
      <c r="L109">
        <v>44</v>
      </c>
      <c r="M109">
        <v>3.41</v>
      </c>
      <c r="N109" t="str">
        <v>58.33%</v>
      </c>
      <c r="O109" t="str">
        <v>1748萬</v>
      </c>
      <c r="P109" t="str">
        <v>+18.14</v>
      </c>
      <c r="Q109" t="str">
        <v>+5.01</v>
      </c>
      <c r="R109" t="str">
        <v>+2.92</v>
      </c>
      <c r="S109">
        <v>0</v>
      </c>
      <c r="T109">
        <v>0</v>
      </c>
      <c r="U109">
        <f t="array" ref="U109:AD109">[1]!'1535.TW-ChipsField3,ChipsField1,ChipsField25,CashAndStockDividend,CashDividendYieldRate,ProfitFourSeason,ProfitSingle,CName,ExchangeIndustry,CompanyPos'</f>
        <v>-1</v>
      </c>
      <c r="V109">
        <v>-3</v>
      </c>
      <c r="W109" t="str">
        <v>2022/07/19</v>
      </c>
      <c r="X109" t="str">
        <v>2.60</v>
      </c>
      <c r="Y109">
        <v>5.91</v>
      </c>
      <c r="Z109" t="str">
        <v>4.35</v>
      </c>
      <c r="AA109" t="str">
        <v>1.04</v>
      </c>
      <c r="AB109" t="str">
        <v>中宇</v>
      </c>
      <c r="AC109" t="str">
        <v>上市電機機械</v>
      </c>
      <c r="AD109" t="str">
        <v>中鋼旗下環保工程廠</v>
      </c>
      <c r="AE109" t="str">
        <f t="array" ref="AE109:AH109">[1]!'1535.TW-CName,InvestorConferenceDate,DateofMeetingofShareHolders,TradingDate'</f>
        <v>中宇</v>
      </c>
      <c r="AF109" t="str">
        <v>2022/12/21</v>
      </c>
      <c r="AG109" t="str">
        <v>2022/06/23</v>
      </c>
      <c r="AH109" t="str">
        <v>2022/12/22</v>
      </c>
    </row>
    <row r="110" spans="1:34" x14ac:dyDescent="0.3">
      <c r="A110" t="str">
        <f t="array" ref="A110:J110">[1]!'1537.TW-ID,Name,MarketValue,Capital,NetIncomeGrowthRate,OperIncomeGrowthRate,FinancialStatementsTime,TFXRatio,MonthlyNetSalesYoY,RevenueMonth'</f>
        <v>1537</v>
      </c>
      <c r="B110" t="str">
        <v>廣隆</v>
      </c>
      <c r="C110" t="str">
        <v>112.4</v>
      </c>
      <c r="D110" t="str">
        <v>8.21</v>
      </c>
      <c r="E110" t="str">
        <v>61.16</v>
      </c>
      <c r="F110" t="str">
        <v>26.13</v>
      </c>
      <c r="G110" t="str">
        <v>2022/09</v>
      </c>
      <c r="H110" t="str">
        <v>-27.11</v>
      </c>
      <c r="I110" t="str">
        <v>-12.41</v>
      </c>
      <c r="J110" t="str">
        <v>2022/11</v>
      </c>
      <c r="K110" t="str">
        <f t="array" ref="K110:T110">[1]!'1537.TW-OperatingProfitRatio,Price,PriceChangeRatio,InOutRatioNumber,Value,YearReturn,MonthReturn,WeekReturn,FinanceBalanceDif,ChipsField2'</f>
        <v>13.54</v>
      </c>
      <c r="L110">
        <v>137</v>
      </c>
      <c r="M110">
        <v>0</v>
      </c>
      <c r="N110" t="str">
        <v>61.76%</v>
      </c>
      <c r="O110" t="str">
        <v>481萬</v>
      </c>
      <c r="P110" t="str">
        <v>+4.29</v>
      </c>
      <c r="Q110" t="str">
        <v>+0.37</v>
      </c>
      <c r="R110" t="str">
        <v>0.00</v>
      </c>
      <c r="S110">
        <v>-1</v>
      </c>
      <c r="T110">
        <v>0</v>
      </c>
      <c r="U110">
        <f t="array" ref="U110:AD110">[1]!'1537.TW-ChipsField3,ChipsField1,ChipsField25,CashAndStockDividend,CashDividendYieldRate,ProfitFourSeason,ProfitSingle,CName,ExchangeIndustry,CompanyPos'</f>
        <v>-3</v>
      </c>
      <c r="V110">
        <v>20</v>
      </c>
      <c r="W110" t="str">
        <v>2022/08/17</v>
      </c>
      <c r="X110" t="str">
        <v>7.00</v>
      </c>
      <c r="Y110">
        <v>5.1100000000000003</v>
      </c>
      <c r="Z110" t="str">
        <v>11.17</v>
      </c>
      <c r="AA110" t="str">
        <v>3.09</v>
      </c>
      <c r="AB110" t="str">
        <v>廣隆</v>
      </c>
      <c r="AC110" t="str">
        <v>上市電機機械</v>
      </c>
      <c r="AD110" t="str">
        <v>鉛酸蓄電池專業製造商</v>
      </c>
      <c r="AE110" t="str">
        <f t="array" ref="AE110:AH110">[1]!'1537.TW-CName,InvestorConferenceDate,DateofMeetingofShareHolders,TradingDate'</f>
        <v>廣隆</v>
      </c>
      <c r="AF110" t="str">
        <v>--</v>
      </c>
      <c r="AG110" t="str">
        <v>2022/06/17</v>
      </c>
      <c r="AH110" t="str">
        <v>2022/12/22</v>
      </c>
    </row>
    <row r="111" spans="1:34" x14ac:dyDescent="0.3">
      <c r="A111" t="str">
        <f t="array" ref="A111:J111">[1]!'1538.TW-ID,Name,MarketValue,Capital,NetIncomeGrowthRate,OperIncomeGrowthRate,FinancialStatementsTime,TFXRatio,MonthlyNetSalesYoY,RevenueMonth'</f>
        <v>1538</v>
      </c>
      <c r="B111" t="str">
        <v>正峰</v>
      </c>
      <c r="C111" t="str">
        <v>1.6</v>
      </c>
      <c r="D111" t="str">
        <v>3.39</v>
      </c>
      <c r="E111" t="str">
        <v>42.70</v>
      </c>
      <c r="F111" t="str">
        <v>51.61</v>
      </c>
      <c r="G111" t="str">
        <v>2022/09</v>
      </c>
      <c r="H111" t="str">
        <v>-24.16</v>
      </c>
      <c r="I111" t="str">
        <v>-6.86</v>
      </c>
      <c r="J111" t="str">
        <v>2022/11</v>
      </c>
      <c r="K111" t="str">
        <f t="array" ref="K111:T111">[1]!'1538.TW-OperatingProfitRatio,Price,PriceChangeRatio,InOutRatioNumber,Value,YearReturn,MonthReturn,WeekReturn,FinanceBalanceDif,ChipsField2'</f>
        <v>-13.64</v>
      </c>
      <c r="L111">
        <v>7.5</v>
      </c>
      <c r="M111">
        <v>4.17</v>
      </c>
      <c r="N111" t="str">
        <v>20.00%</v>
      </c>
      <c r="O111" t="str">
        <v>11.0萬</v>
      </c>
      <c r="P111" t="str">
        <v>-33.33</v>
      </c>
      <c r="Q111" t="str">
        <v>+22.95</v>
      </c>
      <c r="R111" t="str">
        <v>+24.17</v>
      </c>
      <c r="S111">
        <v>0</v>
      </c>
      <c r="T111">
        <v>0</v>
      </c>
      <c r="U111">
        <f t="array" ref="U111:AD111">[1]!'1538.TW-ChipsField3,ChipsField1,ChipsField25,CashAndStockDividend,CashDividendYieldRate,ProfitFourSeason,ProfitSingle,CName,ExchangeIndustry,CompanyPos'</f>
        <v>0</v>
      </c>
      <c r="V111">
        <v>0</v>
      </c>
      <c r="W111" t="str">
        <v>--</v>
      </c>
      <c r="X111" t="str">
        <v>0.00</v>
      </c>
      <c r="Y111">
        <v>0</v>
      </c>
      <c r="Z111" t="str">
        <v>-3.95</v>
      </c>
      <c r="AA111" t="str">
        <v>-0.16</v>
      </c>
      <c r="AB111" t="str">
        <v>正峰</v>
      </c>
      <c r="AC111" t="str">
        <v>上市電機機械</v>
      </c>
      <c r="AD111" t="str">
        <v>以生產電動工具機、汽車燈具為主的廠商</v>
      </c>
      <c r="AE111" t="str">
        <f t="array" ref="AE111:AH111">[1]!'1538.TW-CName,InvestorConferenceDate,DateofMeetingofShareHolders,TradingDate'</f>
        <v>正峰</v>
      </c>
      <c r="AF111" t="str">
        <v>2022/10/12</v>
      </c>
      <c r="AG111" t="str">
        <v>2022/06/29</v>
      </c>
      <c r="AH111" t="str">
        <v>2022/12/22</v>
      </c>
    </row>
    <row r="112" spans="1:34" x14ac:dyDescent="0.3">
      <c r="A112" t="str">
        <f t="array" ref="A112:J112">[1]!'1539.TW-ID,Name,MarketValue,Capital,NetIncomeGrowthRate,OperIncomeGrowthRate,FinancialStatementsTime,TFXRatio,MonthlyNetSalesYoY,RevenueMonth'</f>
        <v>1539</v>
      </c>
      <c r="B112" t="str">
        <v>巨庭</v>
      </c>
      <c r="C112" t="str">
        <v>19.5</v>
      </c>
      <c r="D112" t="str">
        <v>6.54</v>
      </c>
      <c r="E112" t="str">
        <v>469.56</v>
      </c>
      <c r="F112" t="str">
        <v>20.81</v>
      </c>
      <c r="G112" t="str">
        <v>2022/09</v>
      </c>
      <c r="H112" t="str">
        <v>-7.55</v>
      </c>
      <c r="I112" t="str">
        <v>-68.11</v>
      </c>
      <c r="J112" t="str">
        <v>2022/11</v>
      </c>
      <c r="K112" t="str">
        <f t="array" ref="K112:T112">[1]!'1539.TW-OperatingProfitRatio,Price,PriceChangeRatio,InOutRatioNumber,Value,YearReturn,MonthReturn,WeekReturn,FinanceBalanceDif,ChipsField2'</f>
        <v>8.26</v>
      </c>
      <c r="L112">
        <v>29.9</v>
      </c>
      <c r="M112">
        <v>2.4</v>
      </c>
      <c r="N112" t="str">
        <v>49.58%</v>
      </c>
      <c r="O112" t="str">
        <v>8941萬</v>
      </c>
      <c r="P112" t="str">
        <v>+38.80</v>
      </c>
      <c r="Q112" t="str">
        <v>-5.38</v>
      </c>
      <c r="R112" t="str">
        <v>-2.76</v>
      </c>
      <c r="S112">
        <v>-23</v>
      </c>
      <c r="T112">
        <v>0</v>
      </c>
      <c r="U112">
        <f t="array" ref="U112:AD112">[1]!'1539.TW-ChipsField3,ChipsField1,ChipsField25,CashAndStockDividend,CashDividendYieldRate,ProfitFourSeason,ProfitSingle,CName,ExchangeIndustry,CompanyPos'</f>
        <v>0</v>
      </c>
      <c r="V112">
        <v>84</v>
      </c>
      <c r="W112" t="str">
        <v>2022/08/29</v>
      </c>
      <c r="X112" t="str">
        <v>0.80</v>
      </c>
      <c r="Y112">
        <v>2.68</v>
      </c>
      <c r="Z112" t="str">
        <v>6.54</v>
      </c>
      <c r="AA112" t="str">
        <v>1.73</v>
      </c>
      <c r="AB112" t="str">
        <v>巨庭</v>
      </c>
      <c r="AC112" t="str">
        <v>上市電機機械</v>
      </c>
      <c r="AD112" t="str">
        <v>台灣木工具機製造廠</v>
      </c>
      <c r="AE112" t="str">
        <f t="array" ref="AE112:AH112">[1]!'1539.TW-CName,InvestorConferenceDate,DateofMeetingofShareHolders,TradingDate'</f>
        <v>巨庭</v>
      </c>
      <c r="AF112" t="str">
        <v>2022/12/07</v>
      </c>
      <c r="AG112" t="str">
        <v>2022/06/22</v>
      </c>
      <c r="AH112" t="str">
        <v>2022/12/22</v>
      </c>
    </row>
    <row r="113" spans="1:34" x14ac:dyDescent="0.3">
      <c r="A113" t="str">
        <f t="array" ref="A113:J113">[1]!'1540.TW-ID,Name,MarketValue,Capital,NetIncomeGrowthRate,OperIncomeGrowthRate,FinancialStatementsTime,TFXRatio,MonthlyNetSalesYoY,RevenueMonth'</f>
        <v>1540</v>
      </c>
      <c r="B113" t="str">
        <v>喬福</v>
      </c>
      <c r="C113" t="str">
        <v>13.0</v>
      </c>
      <c r="D113" t="str">
        <v>8.55</v>
      </c>
      <c r="E113" t="str">
        <v>3347.00</v>
      </c>
      <c r="F113" t="str">
        <v>781.58</v>
      </c>
      <c r="G113" t="str">
        <v>2022/09</v>
      </c>
      <c r="H113" t="str">
        <v>-44.67</v>
      </c>
      <c r="I113" t="str">
        <v>-28.23</v>
      </c>
      <c r="J113" t="str">
        <v>2022/11</v>
      </c>
      <c r="K113" t="str">
        <f t="array" ref="K113:T113">[1]!'1540.TW-OperatingProfitRatio,Price,PriceChangeRatio,InOutRatioNumber,Value,YearReturn,MonthReturn,WeekReturn,FinanceBalanceDif,ChipsField2'</f>
        <v>19.30</v>
      </c>
      <c r="L113">
        <v>15.25</v>
      </c>
      <c r="M113">
        <v>0.66</v>
      </c>
      <c r="N113" t="str">
        <v>34.91%</v>
      </c>
      <c r="O113" t="str">
        <v>165萬</v>
      </c>
      <c r="P113" t="str">
        <v>+2.48</v>
      </c>
      <c r="Q113" t="str">
        <v>-4.98</v>
      </c>
      <c r="R113" t="str">
        <v>-2.24</v>
      </c>
      <c r="S113">
        <v>-237</v>
      </c>
      <c r="T113">
        <v>0</v>
      </c>
      <c r="U113">
        <f t="array" ref="U113:AD113">[1]!'1540.TW-ChipsField3,ChipsField1,ChipsField25,CashAndStockDividend,CashDividendYieldRate,ProfitFourSeason,ProfitSingle,CName,ExchangeIndustry,CompanyPos'</f>
        <v>0</v>
      </c>
      <c r="V113">
        <v>11</v>
      </c>
      <c r="W113" t="str">
        <v>2022/08/02</v>
      </c>
      <c r="X113" t="str">
        <v>0.30</v>
      </c>
      <c r="Y113">
        <v>1.97</v>
      </c>
      <c r="Z113" t="str">
        <v>1.22</v>
      </c>
      <c r="AA113" t="str">
        <v>0.59</v>
      </c>
      <c r="AB113" t="str">
        <v>喬福</v>
      </c>
      <c r="AC113" t="str">
        <v>上市電機機械</v>
      </c>
      <c r="AD113" t="str">
        <v>客製化工具機生產廠商，核心產品為切削中心機</v>
      </c>
      <c r="AE113" t="str">
        <f t="array" ref="AE113:AH113">[1]!'1540.TW-CName,InvestorConferenceDate,DateofMeetingofShareHolders,TradingDate'</f>
        <v>喬福</v>
      </c>
      <c r="AF113" t="str">
        <v>2022/10/31</v>
      </c>
      <c r="AG113" t="str">
        <v>2022/06/29</v>
      </c>
      <c r="AH113" t="str">
        <v>2022/12/22</v>
      </c>
    </row>
    <row r="114" spans="1:34" x14ac:dyDescent="0.3">
      <c r="A114" t="str">
        <f t="array" ref="A114:J114">[1]!'1541.TW-ID,Name,MarketValue,Capital,NetIncomeGrowthRate,OperIncomeGrowthRate,FinancialStatementsTime,TFXRatio,MonthlyNetSalesYoY,RevenueMonth'</f>
        <v>1541</v>
      </c>
      <c r="B114" t="str">
        <v>錩泰</v>
      </c>
      <c r="C114" t="str">
        <v>26.6</v>
      </c>
      <c r="D114" t="str">
        <v>7.88</v>
      </c>
      <c r="E114" t="str">
        <v>82.03</v>
      </c>
      <c r="F114" t="str">
        <v>-63.24</v>
      </c>
      <c r="G114" t="str">
        <v>2022/09</v>
      </c>
      <c r="H114" t="str">
        <v>-5.28</v>
      </c>
      <c r="I114" t="str">
        <v>-61.40</v>
      </c>
      <c r="J114" t="str">
        <v>2022/11</v>
      </c>
      <c r="K114" t="str">
        <f t="array" ref="K114:T114">[1]!'1541.TW-OperatingProfitRatio,Price,PriceChangeRatio,InOutRatioNumber,Value,YearReturn,MonthReturn,WeekReturn,FinanceBalanceDif,ChipsField2'</f>
        <v>3.13</v>
      </c>
      <c r="L114">
        <v>33.75</v>
      </c>
      <c r="M114">
        <v>0.15</v>
      </c>
      <c r="N114" t="str">
        <v>6.67%</v>
      </c>
      <c r="O114" t="str">
        <v>57.1萬</v>
      </c>
      <c r="P114" t="str">
        <v>-18.37</v>
      </c>
      <c r="Q114" t="str">
        <v>+2.27</v>
      </c>
      <c r="R114" t="str">
        <v>-1.46</v>
      </c>
      <c r="S114">
        <v>0</v>
      </c>
      <c r="T114">
        <v>0</v>
      </c>
      <c r="U114">
        <f t="array" ref="U114:AD114">[1]!'1541.TW-ChipsField3,ChipsField1,ChipsField25,CashAndStockDividend,CashDividendYieldRate,ProfitFourSeason,ProfitSingle,CName,ExchangeIndustry,CompanyPos'</f>
        <v>0</v>
      </c>
      <c r="V114">
        <v>0</v>
      </c>
      <c r="W114" t="str">
        <v>2022/08/25</v>
      </c>
      <c r="X114" t="str">
        <v>2.50</v>
      </c>
      <c r="Y114">
        <v>7.41</v>
      </c>
      <c r="Z114" t="str">
        <v>5.95</v>
      </c>
      <c r="AA114" t="str">
        <v>1.24</v>
      </c>
      <c r="AB114" t="str">
        <v>錩泰</v>
      </c>
      <c r="AC114" t="str">
        <v>上市電機機械</v>
      </c>
      <c r="AD114" t="str">
        <v>主要代工生產圓鋸機、線鋸機等桌上型木工機廠商</v>
      </c>
      <c r="AE114" t="str">
        <f t="array" ref="AE114:AH114">[1]!'1541.TW-CName,InvestorConferenceDate,DateofMeetingofShareHolders,TradingDate'</f>
        <v>錩泰</v>
      </c>
      <c r="AF114" t="str">
        <v>2022/11/18</v>
      </c>
      <c r="AG114" t="str">
        <v>2022/06/27</v>
      </c>
      <c r="AH114" t="str">
        <v>2022/12/22</v>
      </c>
    </row>
    <row r="115" spans="1:34" x14ac:dyDescent="0.3">
      <c r="A115" t="str">
        <f t="array" ref="A115:J115">[1]!'1558.TW-ID,Name,MarketValue,Capital,NetIncomeGrowthRate,OperIncomeGrowthRate,FinancialStatementsTime,TFXRatio,MonthlyNetSalesYoY,RevenueMonth'</f>
        <v>1558</v>
      </c>
      <c r="B115" t="str">
        <v>伸興</v>
      </c>
      <c r="C115" t="str">
        <v>79.8</v>
      </c>
      <c r="D115" t="str">
        <v>6.65</v>
      </c>
      <c r="E115" t="str">
        <v>-2.44</v>
      </c>
      <c r="F115" t="str">
        <v>-68.10</v>
      </c>
      <c r="G115" t="str">
        <v>2022/09</v>
      </c>
      <c r="H115" t="str">
        <v>-1.45</v>
      </c>
      <c r="I115" t="str">
        <v>43.42</v>
      </c>
      <c r="J115" t="str">
        <v>2022/11</v>
      </c>
      <c r="K115" t="str">
        <f t="array" ref="K115:T115">[1]!'1558.TW-OperatingProfitRatio,Price,PriceChangeRatio,InOutRatioNumber,Value,YearReturn,MonthReturn,WeekReturn,FinanceBalanceDif,ChipsField2'</f>
        <v>4.22</v>
      </c>
      <c r="L115">
        <v>120</v>
      </c>
      <c r="M115">
        <v>-0.41</v>
      </c>
      <c r="N115" t="str">
        <v>33.33%</v>
      </c>
      <c r="O115" t="str">
        <v>505萬</v>
      </c>
      <c r="P115" t="str">
        <v>-10.93</v>
      </c>
      <c r="Q115" t="str">
        <v>+6.67</v>
      </c>
      <c r="R115" t="str">
        <v>-1.64</v>
      </c>
      <c r="S115">
        <v>1</v>
      </c>
      <c r="T115">
        <v>0</v>
      </c>
      <c r="U115">
        <f t="array" ref="U115:AD115">[1]!'1558.TW-ChipsField3,ChipsField1,ChipsField25,CashAndStockDividend,CashDividendYieldRate,ProfitFourSeason,ProfitSingle,CName,ExchangeIndustry,CompanyPos'</f>
        <v>-3</v>
      </c>
      <c r="V115">
        <v>-12</v>
      </c>
      <c r="W115" t="str">
        <v>2022/07/28</v>
      </c>
      <c r="X115" t="str">
        <v>8.50</v>
      </c>
      <c r="Y115">
        <v>7.08</v>
      </c>
      <c r="Z115" t="str">
        <v>7.66</v>
      </c>
      <c r="AA115" t="str">
        <v>2.06</v>
      </c>
      <c r="AB115" t="str">
        <v>伸興</v>
      </c>
      <c r="AC115" t="str">
        <v>上市電機機械</v>
      </c>
      <c r="AD115" t="str">
        <v>全球最大家用縫紉機ODM廠，主要客戶為Singer</v>
      </c>
      <c r="AE115" t="str">
        <f t="array" ref="AE115:AH115">[1]!'1558.TW-CName,InvestorConferenceDate,DateofMeetingofShareHolders,TradingDate'</f>
        <v>伸興</v>
      </c>
      <c r="AF115" t="str">
        <v>2022/11/25</v>
      </c>
      <c r="AG115" t="str">
        <v>2022/06/15</v>
      </c>
      <c r="AH115" t="str">
        <v>2022/12/22</v>
      </c>
    </row>
    <row r="116" spans="1:34" x14ac:dyDescent="0.3">
      <c r="A116" t="str">
        <f t="array" ref="A116:J116">[1]!'1560.TW-ID,Name,MarketValue,Capital,NetIncomeGrowthRate,OperIncomeGrowthRate,FinancialStatementsTime,TFXRatio,MonthlyNetSalesYoY,RevenueMonth'</f>
        <v>1560</v>
      </c>
      <c r="B116" t="str">
        <v>中砂</v>
      </c>
      <c r="C116" t="str">
        <v>159.5</v>
      </c>
      <c r="D116" t="str">
        <v>14.37</v>
      </c>
      <c r="E116" t="str">
        <v>122.45</v>
      </c>
      <c r="F116" t="str">
        <v>78.06</v>
      </c>
      <c r="G116" t="str">
        <v>2022/09</v>
      </c>
      <c r="H116" t="str">
        <v>-0.62</v>
      </c>
      <c r="I116" t="str">
        <v>1.72</v>
      </c>
      <c r="J116" t="str">
        <v>2022/11</v>
      </c>
      <c r="K116" t="str">
        <f t="array" ref="K116:T116">[1]!'1560.TW-OperatingProfitRatio,Price,PriceChangeRatio,InOutRatioNumber,Value,YearReturn,MonthReturn,WeekReturn,FinanceBalanceDif,ChipsField2'</f>
        <v>22.07</v>
      </c>
      <c r="L116">
        <v>111</v>
      </c>
      <c r="M116">
        <v>0</v>
      </c>
      <c r="N116" t="str">
        <v>34.65%</v>
      </c>
      <c r="O116" t="str">
        <v>1.78億</v>
      </c>
      <c r="P116" t="str">
        <v>+23.88</v>
      </c>
      <c r="Q116" t="str">
        <v>+0.91</v>
      </c>
      <c r="R116" t="str">
        <v>-6.72</v>
      </c>
      <c r="S116">
        <v>-10</v>
      </c>
      <c r="T116">
        <v>0</v>
      </c>
      <c r="U116">
        <f t="array" ref="U116:AD116">[1]!'1560.TW-ChipsField3,ChipsField1,ChipsField25,CashAndStockDividend,CashDividendYieldRate,ProfitFourSeason,ProfitSingle,CName,ExchangeIndustry,CompanyPos'</f>
        <v>-10</v>
      </c>
      <c r="V116">
        <v>-124</v>
      </c>
      <c r="W116" t="str">
        <v>2022/07/14</v>
      </c>
      <c r="X116" t="str">
        <v>2.80</v>
      </c>
      <c r="Y116">
        <v>2.52</v>
      </c>
      <c r="Z116" t="str">
        <v>8.97</v>
      </c>
      <c r="AA116" t="str">
        <v>2.44</v>
      </c>
      <c r="AB116" t="str">
        <v>中砂</v>
      </c>
      <c r="AC116" t="str">
        <v>上市電機機械</v>
      </c>
      <c r="AD116" t="str">
        <v>台灣從事砂輪及再生晶圓生產製造廠商</v>
      </c>
      <c r="AE116" t="str">
        <f t="array" ref="AE116:AH116">[1]!'1560.TW-CName,InvestorConferenceDate,DateofMeetingofShareHolders,TradingDate'</f>
        <v>中砂</v>
      </c>
      <c r="AF116" t="str">
        <v>2022/10/28</v>
      </c>
      <c r="AG116" t="str">
        <v>2022/06/22</v>
      </c>
      <c r="AH116" t="str">
        <v>2022/12/22</v>
      </c>
    </row>
    <row r="117" spans="1:34" x14ac:dyDescent="0.3">
      <c r="A117" t="str">
        <f t="array" ref="A117:J117">[1]!'1583.TW-ID,Name,MarketValue,Capital,NetIncomeGrowthRate,OperIncomeGrowthRate,FinancialStatementsTime,TFXRatio,MonthlyNetSalesYoY,RevenueMonth'</f>
        <v>1583</v>
      </c>
      <c r="B117" t="str">
        <v>程泰</v>
      </c>
      <c r="C117" t="str">
        <v>68.2</v>
      </c>
      <c r="D117" t="str">
        <v>11.04</v>
      </c>
      <c r="E117" t="str">
        <v>121.44</v>
      </c>
      <c r="F117" t="str">
        <v>28.90</v>
      </c>
      <c r="G117" t="str">
        <v>2022/09</v>
      </c>
      <c r="H117" t="str">
        <v>5.14</v>
      </c>
      <c r="I117" t="str">
        <v>-13.17</v>
      </c>
      <c r="J117" t="str">
        <v>2022/11</v>
      </c>
      <c r="K117" t="str">
        <f t="array" ref="K117:T117">[1]!'1583.TW-OperatingProfitRatio,Price,PriceChangeRatio,InOutRatioNumber,Value,YearReturn,MonthReturn,WeekReturn,FinanceBalanceDif,ChipsField2'</f>
        <v>11.85</v>
      </c>
      <c r="L117">
        <v>61.8</v>
      </c>
      <c r="M117">
        <v>0.65</v>
      </c>
      <c r="N117" t="str">
        <v>100.00%</v>
      </c>
      <c r="O117" t="str">
        <v>6.18萬</v>
      </c>
      <c r="P117" t="str">
        <v>+2.54</v>
      </c>
      <c r="Q117" t="str">
        <v>+0.98</v>
      </c>
      <c r="R117" t="str">
        <v>0.00</v>
      </c>
      <c r="S117">
        <v>0</v>
      </c>
      <c r="T117">
        <v>0</v>
      </c>
      <c r="U117">
        <f t="array" ref="U117:AD117">[1]!'1583.TW-ChipsField3,ChipsField1,ChipsField25,CashAndStockDividend,CashDividendYieldRate,ProfitFourSeason,ProfitSingle,CName,ExchangeIndustry,CompanyPos'</f>
        <v>0</v>
      </c>
      <c r="V117">
        <v>0</v>
      </c>
      <c r="W117" t="str">
        <v>2022/08/11</v>
      </c>
      <c r="X117" t="str">
        <v>2.50</v>
      </c>
      <c r="Y117">
        <v>4.05</v>
      </c>
      <c r="Z117" t="str">
        <v>6.09</v>
      </c>
      <c r="AA117" t="str">
        <v>2.20</v>
      </c>
      <c r="AB117" t="str">
        <v>程泰</v>
      </c>
      <c r="AC117" t="str">
        <v>上市電機機械</v>
      </c>
      <c r="AD117" t="str">
        <v>台灣規模最大的CNC車床製造商，並轉投資亞崴</v>
      </c>
      <c r="AE117" t="str">
        <f t="array" ref="AE117:AH117">[1]!'1583.TW-CName,InvestorConferenceDate,DateofMeetingofShareHolders,TradingDate'</f>
        <v>程泰</v>
      </c>
      <c r="AF117" t="str">
        <v>2022/11/25</v>
      </c>
      <c r="AG117" t="str">
        <v>2022/06/17</v>
      </c>
      <c r="AH117" t="str">
        <v>2022/12/22</v>
      </c>
    </row>
    <row r="118" spans="1:34" x14ac:dyDescent="0.3">
      <c r="A118" t="str">
        <f t="array" ref="A118:J118">[1]!'1589.TW-ID,Name,MarketValue,Capital,NetIncomeGrowthRate,OperIncomeGrowthRate,FinancialStatementsTime,TFXRatio,MonthlyNetSalesYoY,RevenueMonth'</f>
        <v>1589</v>
      </c>
      <c r="B118" t="str">
        <v>永冠-KY</v>
      </c>
      <c r="C118" t="str">
        <v>62.2</v>
      </c>
      <c r="D118" t="str">
        <v>11.06</v>
      </c>
      <c r="E118" t="str">
        <v>-243.08</v>
      </c>
      <c r="F118" t="str">
        <v>-124.04</v>
      </c>
      <c r="G118" t="str">
        <v>2022/09</v>
      </c>
      <c r="H118" t="str">
        <v>4.33</v>
      </c>
      <c r="I118" t="str">
        <v>16.59</v>
      </c>
      <c r="J118" t="str">
        <v>2022/11</v>
      </c>
      <c r="K118" t="str">
        <f t="array" ref="K118:T118">[1]!'1589.TW-OperatingProfitRatio,Price,PriceChangeRatio,InOutRatioNumber,Value,YearReturn,MonthReturn,WeekReturn,FinanceBalanceDif,ChipsField2'</f>
        <v>-1.15</v>
      </c>
      <c r="L118">
        <v>56.2</v>
      </c>
      <c r="M118">
        <v>2</v>
      </c>
      <c r="N118" t="str">
        <v>63.70%</v>
      </c>
      <c r="O118" t="str">
        <v>804萬</v>
      </c>
      <c r="P118" t="str">
        <v>-7.91</v>
      </c>
      <c r="Q118" t="str">
        <v>+4.85</v>
      </c>
      <c r="R118" t="str">
        <v>-2.26</v>
      </c>
      <c r="S118">
        <v>-9</v>
      </c>
      <c r="T118">
        <v>0</v>
      </c>
      <c r="U118">
        <f t="array" ref="U118:AD118">[1]!'1589.TW-ChipsField3,ChipsField1,ChipsField25,CashAndStockDividend,CashDividendYieldRate,ProfitFourSeason,ProfitSingle,CName,ExchangeIndustry,CompanyPos'</f>
        <v>-7</v>
      </c>
      <c r="V118">
        <v>52</v>
      </c>
      <c r="W118" t="str">
        <v>2022/08/04</v>
      </c>
      <c r="X118" t="str">
        <v>0.60</v>
      </c>
      <c r="Y118">
        <v>1.07</v>
      </c>
      <c r="Z118" t="str">
        <v>-4.50</v>
      </c>
      <c r="AA118" t="str">
        <v>-1.21</v>
      </c>
      <c r="AB118" t="str">
        <v>永冠-KY</v>
      </c>
      <c r="AC118" t="str">
        <v>上市電機機械</v>
      </c>
      <c r="AD118" t="str">
        <v>全球知名的金屬二次加工廠商</v>
      </c>
      <c r="AE118" t="str">
        <f t="array" ref="AE118:AH118">[1]!'1589.TW-CName,InvestorConferenceDate,DateofMeetingofShareHolders,TradingDate'</f>
        <v>永冠-KY</v>
      </c>
      <c r="AF118" t="str">
        <v>2022/03/23</v>
      </c>
      <c r="AG118" t="str">
        <v>2022/06/17</v>
      </c>
      <c r="AH118" t="str">
        <v>2022/12/22</v>
      </c>
    </row>
    <row r="119" spans="1:34" x14ac:dyDescent="0.3">
      <c r="A119" t="str">
        <f t="array" ref="A119:J119">[1]!'1590.TW-ID,Name,MarketValue,Capital,NetIncomeGrowthRate,OperIncomeGrowthRate,FinancialStatementsTime,TFXRatio,MonthlyNetSalesYoY,RevenueMonth'</f>
        <v>1590</v>
      </c>
      <c r="B119" t="str">
        <v>亞德客-KY</v>
      </c>
      <c r="C119" t="str">
        <v>1822.0</v>
      </c>
      <c r="D119" t="str">
        <v>20.00</v>
      </c>
      <c r="E119" t="str">
        <v>-3.41</v>
      </c>
      <c r="F119" t="str">
        <v>-11.05</v>
      </c>
      <c r="G119" t="str">
        <v>2022/09</v>
      </c>
      <c r="H119" t="str">
        <v>11.99</v>
      </c>
      <c r="I119" t="str">
        <v>14.84</v>
      </c>
      <c r="J119" t="str">
        <v>2022/11</v>
      </c>
      <c r="K119" t="str">
        <f t="array" ref="K119:T119">[1]!'1590.TW-OperatingProfitRatio,Price,PriceChangeRatio,InOutRatioNumber,Value,YearReturn,MonthReturn,WeekReturn,FinanceBalanceDif,ChipsField2'</f>
        <v>28.81</v>
      </c>
      <c r="L119">
        <v>911</v>
      </c>
      <c r="M119">
        <v>-0.55000000000000004</v>
      </c>
      <c r="N119" t="str">
        <v>39.08%</v>
      </c>
      <c r="O119" t="str">
        <v>2.22億</v>
      </c>
      <c r="P119" t="str">
        <v>-0.35</v>
      </c>
      <c r="Q119" t="str">
        <v>+7.56</v>
      </c>
      <c r="R119" t="str">
        <v>-3.90</v>
      </c>
      <c r="S119">
        <v>-10</v>
      </c>
      <c r="T119">
        <v>101</v>
      </c>
      <c r="U119">
        <f t="array" ref="U119:AD119">[1]!'1590.TW-ChipsField3,ChipsField1,ChipsField25,CashAndStockDividend,CashDividendYieldRate,ProfitFourSeason,ProfitSingle,CName,ExchangeIndustry,CompanyPos'</f>
        <v>0</v>
      </c>
      <c r="V119">
        <v>-48</v>
      </c>
      <c r="W119" t="str">
        <v>2022/09/07</v>
      </c>
      <c r="X119" t="str">
        <v>13.38</v>
      </c>
      <c r="Y119">
        <v>1.47</v>
      </c>
      <c r="Z119" t="str">
        <v>31.73</v>
      </c>
      <c r="AA119" t="str">
        <v>6.96</v>
      </c>
      <c r="AB119" t="str">
        <v>亞德客-KY</v>
      </c>
      <c r="AC119" t="str">
        <v>上市電機機械</v>
      </c>
      <c r="AD119" t="str">
        <v>大陸前三大氣動元件供應商</v>
      </c>
      <c r="AE119" t="str">
        <f t="array" ref="AE119:AH119">[1]!'1590.TW-CName,InvestorConferenceDate,DateofMeetingofShareHolders,TradingDate'</f>
        <v>亞德客-KY</v>
      </c>
      <c r="AF119" t="str">
        <v>2022/04/07</v>
      </c>
      <c r="AG119" t="str">
        <v>2022/06/16</v>
      </c>
      <c r="AH119" t="str">
        <v>2022/12/22</v>
      </c>
    </row>
    <row r="120" spans="1:34" x14ac:dyDescent="0.3">
      <c r="A120" t="str">
        <f t="array" ref="A120:J120">[1]!'1597.TW-ID,Name,MarketValue,Capital,NetIncomeGrowthRate,OperIncomeGrowthRate,FinancialStatementsTime,TFXRatio,MonthlyNetSalesYoY,RevenueMonth'</f>
        <v>1597</v>
      </c>
      <c r="B120" t="str">
        <v>直得</v>
      </c>
      <c r="C120" t="str">
        <v>63.6</v>
      </c>
      <c r="D120" t="str">
        <v>8.93</v>
      </c>
      <c r="E120" t="str">
        <v>2.33</v>
      </c>
      <c r="F120" t="str">
        <v>-21.15</v>
      </c>
      <c r="G120" t="str">
        <v>2022/09</v>
      </c>
      <c r="H120" t="str">
        <v>-3.71</v>
      </c>
      <c r="I120" t="str">
        <v>-16.41</v>
      </c>
      <c r="J120" t="str">
        <v>2022/11</v>
      </c>
      <c r="K120" t="str">
        <f t="array" ref="K120:T120">[1]!'1597.TW-OperatingProfitRatio,Price,PriceChangeRatio,InOutRatioNumber,Value,YearReturn,MonthReturn,WeekReturn,FinanceBalanceDif,ChipsField2'</f>
        <v>22.03</v>
      </c>
      <c r="L120">
        <v>71.3</v>
      </c>
      <c r="M120">
        <v>0</v>
      </c>
      <c r="N120" t="str">
        <v>36.36%</v>
      </c>
      <c r="O120" t="str">
        <v>243萬</v>
      </c>
      <c r="P120" t="str">
        <v>-6.24</v>
      </c>
      <c r="Q120" t="str">
        <v>-6.06</v>
      </c>
      <c r="R120" t="str">
        <v>-3.12</v>
      </c>
      <c r="S120">
        <v>-4</v>
      </c>
      <c r="T120">
        <v>0</v>
      </c>
      <c r="U120">
        <f t="array" ref="U120:AD120">[1]!'1597.TW-ChipsField3,ChipsField1,ChipsField25,CashAndStockDividend,CashDividendYieldRate,ProfitFourSeason,ProfitSingle,CName,ExchangeIndustry,CompanyPos'</f>
        <v>0</v>
      </c>
      <c r="V120">
        <v>1</v>
      </c>
      <c r="W120" t="str">
        <v>2022/06/14</v>
      </c>
      <c r="X120" t="str">
        <v>2.50</v>
      </c>
      <c r="Y120">
        <v>3.51</v>
      </c>
      <c r="Z120" t="str">
        <v>3.80</v>
      </c>
      <c r="AA120" t="str">
        <v>1.01</v>
      </c>
      <c r="AB120" t="str">
        <v>直得</v>
      </c>
      <c r="AC120" t="str">
        <v>上市電機機械</v>
      </c>
      <c r="AD120" t="str">
        <v>全球前3大微型線性滑軌元件廠商</v>
      </c>
      <c r="AE120" t="str">
        <f t="array" ref="AE120:AH120">[1]!'1597.TW-CName,InvestorConferenceDate,DateofMeetingofShareHolders,TradingDate'</f>
        <v>直得</v>
      </c>
      <c r="AF120" t="str">
        <v>2022/11/29</v>
      </c>
      <c r="AG120" t="str">
        <v>2022/05/27</v>
      </c>
      <c r="AH120" t="str">
        <v>2022/12/22</v>
      </c>
    </row>
    <row r="121" spans="1:34" x14ac:dyDescent="0.3">
      <c r="A121" t="str">
        <f t="array" ref="A121:J121">[1]!'2049.TW-ID,Name,MarketValue,Capital,NetIncomeGrowthRate,OperIncomeGrowthRate,FinancialStatementsTime,TFXRatio,MonthlyNetSalesYoY,RevenueMonth'</f>
        <v>2049</v>
      </c>
      <c r="B121" t="str">
        <v>上銀</v>
      </c>
      <c r="C121" t="str">
        <v>642.1</v>
      </c>
      <c r="D121" t="str">
        <v>35.38</v>
      </c>
      <c r="E121" t="str">
        <v>40.64</v>
      </c>
      <c r="F121" t="str">
        <v>28.46</v>
      </c>
      <c r="G121" t="str">
        <v>2022/09</v>
      </c>
      <c r="H121" t="str">
        <v>-14.58</v>
      </c>
      <c r="I121" t="str">
        <v>-20.31</v>
      </c>
      <c r="J121" t="str">
        <v>2022/11</v>
      </c>
      <c r="K121" t="str">
        <f t="array" ref="K121:T121">[1]!'2049.TW-OperatingProfitRatio,Price,PriceChangeRatio,InOutRatioNumber,Value,YearReturn,MonthReturn,WeekReturn,FinanceBalanceDif,ChipsField2'</f>
        <v>21.38</v>
      </c>
      <c r="L121">
        <v>181.5</v>
      </c>
      <c r="M121">
        <v>0.28000000000000003</v>
      </c>
      <c r="N121" t="str">
        <v>51.25%</v>
      </c>
      <c r="O121" t="str">
        <v>9630萬</v>
      </c>
      <c r="P121" t="str">
        <v>-36.27</v>
      </c>
      <c r="Q121" t="str">
        <v>+0.55</v>
      </c>
      <c r="R121" t="str">
        <v>-3.97</v>
      </c>
      <c r="S121">
        <v>18</v>
      </c>
      <c r="T121">
        <v>0</v>
      </c>
      <c r="U121">
        <f t="array" ref="U121:AD121">[1]!'2049.TW-ChipsField3,ChipsField1,ChipsField25,CashAndStockDividend,CashDividendYieldRate,ProfitFourSeason,ProfitSingle,CName,ExchangeIndustry,CompanyPos'</f>
        <v>23</v>
      </c>
      <c r="V121">
        <v>-147</v>
      </c>
      <c r="W121" t="str">
        <v>2022/07/12</v>
      </c>
      <c r="X121" t="str">
        <v>4.50</v>
      </c>
      <c r="Y121">
        <v>2.48</v>
      </c>
      <c r="Z121" t="str">
        <v>13.49</v>
      </c>
      <c r="AA121" t="str">
        <v>4.13</v>
      </c>
      <c r="AB121" t="str">
        <v>上銀</v>
      </c>
      <c r="AC121" t="str">
        <v>上市電機機械</v>
      </c>
      <c r="AD121" t="str">
        <v>全球前三大滾珠螺桿廠商</v>
      </c>
      <c r="AE121" t="str">
        <f t="array" ref="AE121:AH121">[1]!'2049.TW-CName,InvestorConferenceDate,DateofMeetingofShareHolders,TradingDate'</f>
        <v>上銀</v>
      </c>
      <c r="AF121" t="str">
        <v>2022/11/18</v>
      </c>
      <c r="AG121" t="str">
        <v>2022/06/27</v>
      </c>
      <c r="AH121" t="str">
        <v>2022/12/22</v>
      </c>
    </row>
    <row r="122" spans="1:34" x14ac:dyDescent="0.3">
      <c r="A122" t="str">
        <f t="array" ref="A122:J122">[1]!'2371.TW-ID,Name,MarketValue,Capital,NetIncomeGrowthRate,OperIncomeGrowthRate,FinancialStatementsTime,TFXRatio,MonthlyNetSalesYoY,RevenueMonth'</f>
        <v>2371</v>
      </c>
      <c r="B122" t="str">
        <v>大同</v>
      </c>
      <c r="C122" t="str">
        <v>788.4</v>
      </c>
      <c r="D122" t="str">
        <v>233.95</v>
      </c>
      <c r="E122" t="str">
        <v>1968.02</v>
      </c>
      <c r="F122" t="str">
        <v>-57.56</v>
      </c>
      <c r="G122" t="str">
        <v>2022/09</v>
      </c>
      <c r="H122" t="str">
        <v>-7.23</v>
      </c>
      <c r="I122" t="str">
        <v>55.77</v>
      </c>
      <c r="J122" t="str">
        <v>2022/11</v>
      </c>
      <c r="K122" t="str">
        <f t="array" ref="K122:T122">[1]!'2371.TW-OperatingProfitRatio,Price,PriceChangeRatio,InOutRatioNumber,Value,YearReturn,MonthReturn,WeekReturn,FinanceBalanceDif,ChipsField2'</f>
        <v>1.76</v>
      </c>
      <c r="L122">
        <v>33.700000000000003</v>
      </c>
      <c r="M122">
        <v>-0.3</v>
      </c>
      <c r="N122" t="str">
        <v>37.42%</v>
      </c>
      <c r="O122" t="str">
        <v>1.18億</v>
      </c>
      <c r="P122" t="str">
        <v>+6.14</v>
      </c>
      <c r="Q122" t="str">
        <v>+5.81</v>
      </c>
      <c r="R122" t="str">
        <v>-3.30</v>
      </c>
      <c r="S122">
        <v>201</v>
      </c>
      <c r="T122">
        <v>0</v>
      </c>
      <c r="U122">
        <f t="array" ref="U122:AD122">[1]!'2371.TW-ChipsField3,ChipsField1,ChipsField25,CashAndStockDividend,CashDividendYieldRate,ProfitFourSeason,ProfitSingle,CName,ExchangeIndustry,CompanyPos'</f>
        <v>-116</v>
      </c>
      <c r="V122">
        <v>-885</v>
      </c>
      <c r="W122" t="str">
        <v>--</v>
      </c>
      <c r="X122" t="str">
        <v>0.00</v>
      </c>
      <c r="Y122">
        <v>0</v>
      </c>
      <c r="Z122" t="str">
        <v>4.91</v>
      </c>
      <c r="AA122" t="str">
        <v>3.47</v>
      </c>
      <c r="AB122" t="str">
        <v>大同</v>
      </c>
      <c r="AC122" t="str">
        <v>上市電機機械</v>
      </c>
      <c r="AD122" t="str">
        <v>台灣重電及家電大廠，並擁有土地資產</v>
      </c>
      <c r="AE122" t="str">
        <f t="array" ref="AE122:AH122">[1]!'2371.TW-CName,InvestorConferenceDate,DateofMeetingofShareHolders,TradingDate'</f>
        <v>大同</v>
      </c>
      <c r="AF122" t="str">
        <v>2022/08/29</v>
      </c>
      <c r="AG122" t="str">
        <v>2022/06/14</v>
      </c>
      <c r="AH122" t="str">
        <v>2022/12/22</v>
      </c>
    </row>
    <row r="123" spans="1:34" x14ac:dyDescent="0.3">
      <c r="A123" t="str">
        <f t="array" ref="A123:J123">[1]!'3167.TW-ID,Name,MarketValue,Capital,NetIncomeGrowthRate,OperIncomeGrowthRate,FinancialStatementsTime,TFXRatio,MonthlyNetSalesYoY,RevenueMonth'</f>
        <v>3167</v>
      </c>
      <c r="B123" t="str">
        <v>大量</v>
      </c>
      <c r="C123" t="str">
        <v>32.6</v>
      </c>
      <c r="D123" t="str">
        <v>8.01</v>
      </c>
      <c r="E123" t="str">
        <v>-10.19</v>
      </c>
      <c r="F123" t="str">
        <v>-77.51</v>
      </c>
      <c r="G123" t="str">
        <v>2022/09</v>
      </c>
      <c r="H123" t="str">
        <v>-4.40</v>
      </c>
      <c r="I123" t="str">
        <v>-59.11</v>
      </c>
      <c r="J123" t="str">
        <v>2022/11</v>
      </c>
      <c r="K123" t="str">
        <f t="array" ref="K123:T123">[1]!'3167.TW-OperatingProfitRatio,Price,PriceChangeRatio,InOutRatioNumber,Value,YearReturn,MonthReturn,WeekReturn,FinanceBalanceDif,ChipsField2'</f>
        <v>5.31</v>
      </c>
      <c r="L123">
        <v>40.65</v>
      </c>
      <c r="M123">
        <v>-0.61</v>
      </c>
      <c r="N123" t="str">
        <v>22.22%</v>
      </c>
      <c r="O123" t="str">
        <v>256萬</v>
      </c>
      <c r="P123" t="str">
        <v>-52.81</v>
      </c>
      <c r="Q123" t="str">
        <v>-4.35</v>
      </c>
      <c r="R123" t="str">
        <v>-5.13</v>
      </c>
      <c r="S123">
        <v>4</v>
      </c>
      <c r="T123">
        <v>0</v>
      </c>
      <c r="U123">
        <f t="array" ref="U123:AD123">[1]!'3167.TW-ChipsField3,ChipsField1,ChipsField25,CashAndStockDividend,CashDividendYieldRate,ProfitFourSeason,ProfitSingle,CName,ExchangeIndustry,CompanyPos'</f>
        <v>-1</v>
      </c>
      <c r="V123">
        <v>-4</v>
      </c>
      <c r="W123" t="str">
        <v>2022/08/02</v>
      </c>
      <c r="X123" t="str">
        <v>4.00</v>
      </c>
      <c r="Y123">
        <v>9.84</v>
      </c>
      <c r="Z123" t="str">
        <v>5.04</v>
      </c>
      <c r="AA123" t="str">
        <v>0.21</v>
      </c>
      <c r="AB123" t="str">
        <v>大量</v>
      </c>
      <c r="AC123" t="str">
        <v>上市電機機械</v>
      </c>
      <c r="AD123" t="str">
        <v>全球PCB成型機龍頭廠</v>
      </c>
      <c r="AE123" t="str">
        <f t="array" ref="AE123:AH123">[1]!'3167.TW-CName,InvestorConferenceDate,DateofMeetingofShareHolders,TradingDate'</f>
        <v>大量</v>
      </c>
      <c r="AF123" t="str">
        <v>2022/09/30</v>
      </c>
      <c r="AG123" t="str">
        <v>2022/05/23</v>
      </c>
      <c r="AH123" t="str">
        <v>2022/12/22</v>
      </c>
    </row>
    <row r="124" spans="1:34" x14ac:dyDescent="0.3">
      <c r="A124" t="str">
        <f t="array" ref="A124:J124">[1]!'4526.TW-ID,Name,MarketValue,Capital,NetIncomeGrowthRate,OperIncomeGrowthRate,FinancialStatementsTime,TFXRatio,MonthlyNetSalesYoY,RevenueMonth'</f>
        <v>4526</v>
      </c>
      <c r="B124" t="str">
        <v>東台</v>
      </c>
      <c r="C124" t="str">
        <v>36.7</v>
      </c>
      <c r="D124" t="str">
        <v>25.48</v>
      </c>
      <c r="E124" t="str">
        <v>17.87</v>
      </c>
      <c r="F124" t="str">
        <v>-54.87</v>
      </c>
      <c r="G124" t="str">
        <v>2022/09</v>
      </c>
      <c r="H124" t="str">
        <v>-7.09</v>
      </c>
      <c r="I124" t="str">
        <v>-28.22</v>
      </c>
      <c r="J124" t="str">
        <v>2022/11</v>
      </c>
      <c r="K124" t="str">
        <f t="array" ref="K124:T124">[1]!'4526.TW-OperatingProfitRatio,Price,PriceChangeRatio,InOutRatioNumber,Value,YearReturn,MonthReturn,WeekReturn,FinanceBalanceDif,ChipsField2'</f>
        <v>1.52</v>
      </c>
      <c r="L124">
        <v>14.4</v>
      </c>
      <c r="M124">
        <v>0</v>
      </c>
      <c r="N124" t="str">
        <v>20.69%</v>
      </c>
      <c r="O124" t="str">
        <v>41.7萬</v>
      </c>
      <c r="P124" t="str">
        <v>-16.03</v>
      </c>
      <c r="Q124" t="str">
        <v>+3.23</v>
      </c>
      <c r="R124" t="str">
        <v>-2.04</v>
      </c>
      <c r="S124">
        <v>-30</v>
      </c>
      <c r="T124">
        <v>0</v>
      </c>
      <c r="U124">
        <f t="array" ref="U124:AD124">[1]!'4526.TW-ChipsField3,ChipsField1,ChipsField25,CashAndStockDividend,CashDividendYieldRate,ProfitFourSeason,ProfitSingle,CName,ExchangeIndustry,CompanyPos'</f>
        <v>-3</v>
      </c>
      <c r="V124">
        <v>17</v>
      </c>
      <c r="W124" t="str">
        <v>2022/08/01</v>
      </c>
      <c r="X124" t="str">
        <v>0.20</v>
      </c>
      <c r="Y124">
        <v>1.39</v>
      </c>
      <c r="Z124" t="str">
        <v>0.53</v>
      </c>
      <c r="AA124" t="str">
        <v>0.39</v>
      </c>
      <c r="AB124" t="str">
        <v>東台</v>
      </c>
      <c r="AC124" t="str">
        <v>上市電機機械</v>
      </c>
      <c r="AD124" t="str">
        <v>台灣第一個具有雷射鑽孔機技術的工具機廠商</v>
      </c>
      <c r="AE124" t="str">
        <f t="array" ref="AE124:AH124">[1]!'4526.TW-CName,InvestorConferenceDate,DateofMeetingofShareHolders,TradingDate'</f>
        <v>東台</v>
      </c>
      <c r="AF124" t="str">
        <v>2022/12/06</v>
      </c>
      <c r="AG124" t="str">
        <v>2022/06/09</v>
      </c>
      <c r="AH124" t="str">
        <v>2022/12/22</v>
      </c>
    </row>
    <row r="125" spans="1:34" x14ac:dyDescent="0.3">
      <c r="A125" t="str">
        <f t="array" ref="A125:J125">[1]!'4532.TW-ID,Name,MarketValue,Capital,NetIncomeGrowthRate,OperIncomeGrowthRate,FinancialStatementsTime,TFXRatio,MonthlyNetSalesYoY,RevenueMonth'</f>
        <v>4532</v>
      </c>
      <c r="B125" t="str">
        <v>瑞智</v>
      </c>
      <c r="C125" t="str">
        <v>82.6</v>
      </c>
      <c r="D125" t="str">
        <v>50.49</v>
      </c>
      <c r="E125" t="str">
        <v>8.90</v>
      </c>
      <c r="F125" t="str">
        <v>-16.89</v>
      </c>
      <c r="G125" t="str">
        <v>2022/09</v>
      </c>
      <c r="H125" t="str">
        <v>32.13</v>
      </c>
      <c r="I125" t="str">
        <v>-36.66</v>
      </c>
      <c r="J125" t="str">
        <v>2022/11</v>
      </c>
      <c r="K125" t="str">
        <f t="array" ref="K125:T125">[1]!'4532.TW-OperatingProfitRatio,Price,PriceChangeRatio,InOutRatioNumber,Value,YearReturn,MonthReturn,WeekReturn,FinanceBalanceDif,ChipsField2'</f>
        <v>3.17</v>
      </c>
      <c r="L125">
        <v>16.350000000000001</v>
      </c>
      <c r="M125">
        <v>0.93</v>
      </c>
      <c r="N125" t="str">
        <v>61.90%</v>
      </c>
      <c r="O125" t="str">
        <v>344萬</v>
      </c>
      <c r="P125" t="str">
        <v>-9.43</v>
      </c>
      <c r="Q125" t="str">
        <v>+1.87</v>
      </c>
      <c r="R125" t="str">
        <v>-2.10</v>
      </c>
      <c r="S125">
        <v>3</v>
      </c>
      <c r="T125">
        <v>0</v>
      </c>
      <c r="U125">
        <f t="array" ref="U125:AD125">[1]!'4532.TW-ChipsField3,ChipsField1,ChipsField25,CashAndStockDividend,CashDividendYieldRate,ProfitFourSeason,ProfitSingle,CName,ExchangeIndustry,CompanyPos'</f>
        <v>-22</v>
      </c>
      <c r="V125">
        <v>-35</v>
      </c>
      <c r="W125" t="str">
        <v>2022/07/04</v>
      </c>
      <c r="X125" t="str">
        <v>0.70</v>
      </c>
      <c r="Y125">
        <v>4.28</v>
      </c>
      <c r="Z125" t="str">
        <v>1.17</v>
      </c>
      <c r="AA125" t="str">
        <v>0.32</v>
      </c>
      <c r="AB125" t="str">
        <v>瑞智</v>
      </c>
      <c r="AC125" t="str">
        <v>上市電機機械</v>
      </c>
      <c r="AD125" t="str">
        <v>全球前四大壓縮機廠</v>
      </c>
      <c r="AE125" t="str">
        <f t="array" ref="AE125:AH125">[1]!'4532.TW-CName,InvestorConferenceDate,DateofMeetingofShareHolders,TradingDate'</f>
        <v>瑞智</v>
      </c>
      <c r="AF125" t="str">
        <v>2022/09/28</v>
      </c>
      <c r="AG125" t="str">
        <v>2022/06/15</v>
      </c>
      <c r="AH125" t="str">
        <v>2022/12/22</v>
      </c>
    </row>
    <row r="126" spans="1:34" x14ac:dyDescent="0.3">
      <c r="A126" t="str">
        <f t="array" ref="A126:J126">[1]!'4540.TW-ID,Name,MarketValue,Capital,NetIncomeGrowthRate,OperIncomeGrowthRate,FinancialStatementsTime,TFXRatio,MonthlyNetSalesYoY,RevenueMonth'</f>
        <v>4540</v>
      </c>
      <c r="B126" t="str">
        <v>全球傳動</v>
      </c>
      <c r="C126" t="str">
        <v>34.4</v>
      </c>
      <c r="D126" t="str">
        <v>9.42</v>
      </c>
      <c r="E126" t="str">
        <v>34.47</v>
      </c>
      <c r="F126" t="str">
        <v>4.89</v>
      </c>
      <c r="G126" t="str">
        <v>2022/09</v>
      </c>
      <c r="H126" t="str">
        <v>13.86</v>
      </c>
      <c r="I126" t="str">
        <v>8.30</v>
      </c>
      <c r="J126" t="str">
        <v>2022/11</v>
      </c>
      <c r="K126" t="str">
        <f t="array" ref="K126:T126">[1]!'4540.TW-OperatingProfitRatio,Price,PriceChangeRatio,InOutRatioNumber,Value,YearReturn,MonthReturn,WeekReturn,FinanceBalanceDif,ChipsField2'</f>
        <v>11.69</v>
      </c>
      <c r="L126">
        <v>36.549999999999997</v>
      </c>
      <c r="M126">
        <v>-0.27</v>
      </c>
      <c r="N126" t="str">
        <v>21.67%</v>
      </c>
      <c r="O126" t="str">
        <v>219萬</v>
      </c>
      <c r="P126" t="str">
        <v>-21.75</v>
      </c>
      <c r="Q126" t="str">
        <v>+0.97</v>
      </c>
      <c r="R126" t="str">
        <v>-3.31</v>
      </c>
      <c r="S126">
        <v>0</v>
      </c>
      <c r="T126">
        <v>0</v>
      </c>
      <c r="U126">
        <f t="array" ref="U126:AD126">[1]!'4540.TW-ChipsField3,ChipsField1,ChipsField25,CashAndStockDividend,CashDividendYieldRate,ProfitFourSeason,ProfitSingle,CName,ExchangeIndustry,CompanyPos'</f>
        <v>0</v>
      </c>
      <c r="V126">
        <v>-3</v>
      </c>
      <c r="W126" t="str">
        <v>2022/09/05</v>
      </c>
      <c r="X126" t="str">
        <v>1.30</v>
      </c>
      <c r="Y126">
        <v>3.56</v>
      </c>
      <c r="Z126" t="str">
        <v>3.23</v>
      </c>
      <c r="AA126" t="str">
        <v>1.14</v>
      </c>
      <c r="AB126" t="str">
        <v>全球傳動</v>
      </c>
      <c r="AC126" t="str">
        <v>上市電機機械</v>
      </c>
      <c r="AD126" t="str">
        <v>台灣知名的精密滾珠螺桿廠</v>
      </c>
      <c r="AE126" t="str">
        <f t="array" ref="AE126:AH126">[1]!'4540.TW-CName,InvestorConferenceDate,DateofMeetingofShareHolders,TradingDate'</f>
        <v>全球傳動</v>
      </c>
      <c r="AF126" t="str">
        <v>2022/12/23</v>
      </c>
      <c r="AG126" t="str">
        <v>2022/06/27</v>
      </c>
      <c r="AH126" t="str">
        <v>2022/12/22</v>
      </c>
    </row>
    <row r="127" spans="1:34" x14ac:dyDescent="0.3">
      <c r="A127" t="str">
        <f t="array" ref="A127:J127">[1]!'4552.TW-ID,Name,MarketValue,Capital,NetIncomeGrowthRate,OperIncomeGrowthRate,FinancialStatementsTime,TFXRatio,MonthlyNetSalesYoY,RevenueMonth'</f>
        <v>4552</v>
      </c>
      <c r="B127" t="str">
        <v>力達-KY</v>
      </c>
      <c r="C127" t="str">
        <v>34.7</v>
      </c>
      <c r="D127" t="str">
        <v>11.60</v>
      </c>
      <c r="E127" t="str">
        <v>25.39</v>
      </c>
      <c r="F127" t="str">
        <v>30.99</v>
      </c>
      <c r="G127" t="str">
        <v>2022/09</v>
      </c>
      <c r="H127" t="str">
        <v>2.13</v>
      </c>
      <c r="I127" t="str">
        <v>-10.17</v>
      </c>
      <c r="J127" t="str">
        <v>2022/11</v>
      </c>
      <c r="K127" t="str">
        <f t="array" ref="K127:T127">[1]!'4552.TW-OperatingProfitRatio,Price,PriceChangeRatio,InOutRatioNumber,Value,YearReturn,MonthReturn,WeekReturn,FinanceBalanceDif,ChipsField2'</f>
        <v>12.22</v>
      </c>
      <c r="L127">
        <v>29.9</v>
      </c>
      <c r="M127">
        <v>0.17</v>
      </c>
      <c r="N127" t="str">
        <v>37.50%</v>
      </c>
      <c r="O127" t="str">
        <v>168萬</v>
      </c>
      <c r="P127" t="str">
        <v>-2.92</v>
      </c>
      <c r="Q127" t="str">
        <v>+4.55</v>
      </c>
      <c r="R127" t="str">
        <v>+0.84</v>
      </c>
      <c r="S127">
        <v>0</v>
      </c>
      <c r="T127">
        <v>0</v>
      </c>
      <c r="U127">
        <f t="array" ref="U127:AD127">[1]!'4552.TW-ChipsField3,ChipsField1,ChipsField25,CashAndStockDividend,CashDividendYieldRate,ProfitFourSeason,ProfitSingle,CName,ExchangeIndustry,CompanyPos'</f>
        <v>-1</v>
      </c>
      <c r="V127">
        <v>2</v>
      </c>
      <c r="W127" t="str">
        <v>2022/11/15</v>
      </c>
      <c r="X127" t="str">
        <v>1.00</v>
      </c>
      <c r="Y127">
        <v>3.34</v>
      </c>
      <c r="Z127" t="str">
        <v>3.66</v>
      </c>
      <c r="AA127" t="str">
        <v>1.24</v>
      </c>
      <c r="AB127" t="str">
        <v>力達-KY</v>
      </c>
      <c r="AC127" t="str">
        <v>上市電機機械</v>
      </c>
      <c r="AD127" t="str">
        <v>大陸通用型空氣壓縮機品牌領導廠商</v>
      </c>
      <c r="AE127" t="str">
        <f t="array" ref="AE127:AH127">[1]!'4552.TW-CName,InvestorConferenceDate,DateofMeetingofShareHolders,TradingDate'</f>
        <v>力達-KY</v>
      </c>
      <c r="AF127" t="str">
        <v>2022/04/12</v>
      </c>
      <c r="AG127" t="str">
        <v>2022/11/11</v>
      </c>
      <c r="AH127" t="str">
        <v>2022/12/22</v>
      </c>
    </row>
    <row r="128" spans="1:34" x14ac:dyDescent="0.3">
      <c r="A128" t="str">
        <f t="array" ref="A128:J128">[1]!'4555.TW-ID,Name,MarketValue,Capital,NetIncomeGrowthRate,OperIncomeGrowthRate,FinancialStatementsTime,TFXRatio,MonthlyNetSalesYoY,RevenueMonth'</f>
        <v>4555</v>
      </c>
      <c r="B128" t="str">
        <v>氣立</v>
      </c>
      <c r="C128" t="str">
        <v>33.5</v>
      </c>
      <c r="D128" t="str">
        <v>6.81</v>
      </c>
      <c r="E128" t="str">
        <v>-23.31</v>
      </c>
      <c r="F128" t="str">
        <v>-34.82</v>
      </c>
      <c r="G128" t="str">
        <v>2022/09</v>
      </c>
      <c r="H128" t="str">
        <v>13.23</v>
      </c>
      <c r="I128" t="str">
        <v>-15.02</v>
      </c>
      <c r="J128" t="str">
        <v>2022/11</v>
      </c>
      <c r="K128" t="str">
        <f t="array" ref="K128:T128">[1]!'4555.TW-OperatingProfitRatio,Price,PriceChangeRatio,InOutRatioNumber,Value,YearReturn,MonthReturn,WeekReturn,FinanceBalanceDif,ChipsField2'</f>
        <v>11.65</v>
      </c>
      <c r="L128">
        <v>49.2</v>
      </c>
      <c r="M128">
        <v>-0.2</v>
      </c>
      <c r="N128" t="str">
        <v>0.00%</v>
      </c>
      <c r="O128" t="str">
        <v>4.92萬</v>
      </c>
      <c r="P128" t="str">
        <v>-1.40</v>
      </c>
      <c r="Q128" t="str">
        <v>-2.19</v>
      </c>
      <c r="R128" t="str">
        <v>-1.99</v>
      </c>
      <c r="S128">
        <v>-5</v>
      </c>
      <c r="T128">
        <v>0</v>
      </c>
      <c r="U128">
        <f t="array" ref="U128:AD128">[1]!'4555.TW-ChipsField3,ChipsField1,ChipsField25,CashAndStockDividend,CashDividendYieldRate,ProfitFourSeason,ProfitSingle,CName,ExchangeIndustry,CompanyPos'</f>
        <v>0</v>
      </c>
      <c r="V128">
        <v>-1</v>
      </c>
      <c r="W128" t="str">
        <v>2022/08/31</v>
      </c>
      <c r="X128" t="str">
        <v>1.78</v>
      </c>
      <c r="Y128">
        <v>3.62</v>
      </c>
      <c r="Z128" t="str">
        <v>2.77</v>
      </c>
      <c r="AA128" t="str">
        <v>0.68</v>
      </c>
      <c r="AB128" t="str">
        <v>氣立</v>
      </c>
      <c r="AC128" t="str">
        <v>上市電機機械</v>
      </c>
      <c r="AD128" t="str">
        <v>台灣氣壓自動化零組件廠商</v>
      </c>
      <c r="AE128" t="str">
        <f t="array" ref="AE128:AH128">[1]!'4555.TW-CName,InvestorConferenceDate,DateofMeetingofShareHolders,TradingDate'</f>
        <v>氣立</v>
      </c>
      <c r="AF128" t="str">
        <v>2022/09/23</v>
      </c>
      <c r="AG128" t="str">
        <v>2022/06/14</v>
      </c>
      <c r="AH128" t="str">
        <v>2022/12/22</v>
      </c>
    </row>
    <row r="129" spans="1:34" x14ac:dyDescent="0.3">
      <c r="A129" t="str">
        <f t="array" ref="A129:J129">[1]!'4560.TW-ID,Name,MarketValue,Capital,NetIncomeGrowthRate,OperIncomeGrowthRate,FinancialStatementsTime,TFXRatio,MonthlyNetSalesYoY,RevenueMonth'</f>
        <v>4560</v>
      </c>
      <c r="B129" t="str">
        <v>強信-KY</v>
      </c>
      <c r="C129" t="str">
        <v>26.1</v>
      </c>
      <c r="D129" t="str">
        <v>6.81</v>
      </c>
      <c r="E129" t="str">
        <v>51.65</v>
      </c>
      <c r="F129" t="str">
        <v>46.21</v>
      </c>
      <c r="G129" t="str">
        <v>2022/09</v>
      </c>
      <c r="H129" t="str">
        <v>-19.29</v>
      </c>
      <c r="I129" t="str">
        <v>-31.17</v>
      </c>
      <c r="J129" t="str">
        <v>2022/11</v>
      </c>
      <c r="K129" t="str">
        <f t="array" ref="K129:T129">[1]!'4560.TW-OperatingProfitRatio,Price,PriceChangeRatio,InOutRatioNumber,Value,YearReturn,MonthReturn,WeekReturn,FinanceBalanceDif,ChipsField2'</f>
        <v>17.64</v>
      </c>
      <c r="L129">
        <v>38.35</v>
      </c>
      <c r="M129">
        <v>-0.13</v>
      </c>
      <c r="N129" t="str">
        <v>36.67%</v>
      </c>
      <c r="O129" t="str">
        <v>119萬</v>
      </c>
      <c r="P129" t="str">
        <v>-4.37</v>
      </c>
      <c r="Q129" t="str">
        <v>-0.39</v>
      </c>
      <c r="R129" t="str">
        <v>-0.90</v>
      </c>
      <c r="S129">
        <v>3</v>
      </c>
      <c r="T129">
        <v>0</v>
      </c>
      <c r="U129">
        <f t="array" ref="U129:AD129">[1]!'4560.TW-ChipsField3,ChipsField1,ChipsField25,CashAndStockDividend,CashDividendYieldRate,ProfitFourSeason,ProfitSingle,CName,ExchangeIndustry,CompanyPos'</f>
        <v>0</v>
      </c>
      <c r="V129">
        <v>-1</v>
      </c>
      <c r="W129" t="str">
        <v>2022/05/26</v>
      </c>
      <c r="X129" t="str">
        <v>1.80</v>
      </c>
      <c r="Y129">
        <v>4.6900000000000004</v>
      </c>
      <c r="Z129" t="str">
        <v>3.97</v>
      </c>
      <c r="AA129" t="str">
        <v>1.02</v>
      </c>
      <c r="AB129" t="str">
        <v>強信-KY</v>
      </c>
      <c r="AC129" t="str">
        <v>上市電機機械</v>
      </c>
      <c r="AD129" t="str">
        <v>全球工業縫紉機零配件大廠</v>
      </c>
      <c r="AE129" t="str">
        <f t="array" ref="AE129:AH129">[1]!'4560.TW-CName,InvestorConferenceDate,DateofMeetingofShareHolders,TradingDate'</f>
        <v>強信-KY</v>
      </c>
      <c r="AF129" t="str">
        <v>2022/12/16</v>
      </c>
      <c r="AG129" t="str">
        <v>2022/04/21</v>
      </c>
      <c r="AH129" t="str">
        <v>2022/12/22</v>
      </c>
    </row>
    <row r="130" spans="1:34" x14ac:dyDescent="0.3">
      <c r="A130" t="str">
        <f t="array" ref="A130:J130">[1]!'4562.TW-ID,Name,MarketValue,Capital,NetIncomeGrowthRate,OperIncomeGrowthRate,FinancialStatementsTime,TFXRatio,MonthlyNetSalesYoY,RevenueMonth'</f>
        <v>4562</v>
      </c>
      <c r="B130" t="str">
        <v>穎漢</v>
      </c>
      <c r="C130" t="str">
        <v>13.4</v>
      </c>
      <c r="D130" t="str">
        <v>8.75</v>
      </c>
      <c r="E130" t="str">
        <v>70.03</v>
      </c>
      <c r="F130" t="str">
        <v>4.69</v>
      </c>
      <c r="G130" t="str">
        <v>2022/09</v>
      </c>
      <c r="H130" t="str">
        <v>-29.22</v>
      </c>
      <c r="I130" t="str">
        <v>-16.64</v>
      </c>
      <c r="J130" t="str">
        <v>2022/11</v>
      </c>
      <c r="K130" t="str">
        <f t="array" ref="K130:T130">[1]!'4562.TW-OperatingProfitRatio,Price,PriceChangeRatio,InOutRatioNumber,Value,YearReturn,MonthReturn,WeekReturn,FinanceBalanceDif,ChipsField2'</f>
        <v>-12.84</v>
      </c>
      <c r="L130">
        <v>15.25</v>
      </c>
      <c r="M130">
        <v>0.99</v>
      </c>
      <c r="N130" t="str">
        <v>52.08%</v>
      </c>
      <c r="O130" t="str">
        <v>72.5萬</v>
      </c>
      <c r="P130" t="str">
        <v>-9.50</v>
      </c>
      <c r="Q130" t="str">
        <v>-4.69</v>
      </c>
      <c r="R130" t="str">
        <v>-1.93</v>
      </c>
      <c r="S130">
        <v>-12</v>
      </c>
      <c r="T130">
        <v>0</v>
      </c>
      <c r="U130">
        <f t="array" ref="U130:AD130">[1]!'4562.TW-ChipsField3,ChipsField1,ChipsField25,CashAndStockDividend,CashDividendYieldRate,ProfitFourSeason,ProfitSingle,CName,ExchangeIndustry,CompanyPos'</f>
        <v>0</v>
      </c>
      <c r="V130">
        <v>2</v>
      </c>
      <c r="W130" t="str">
        <v>--</v>
      </c>
      <c r="X130" t="str">
        <v>0.00</v>
      </c>
      <c r="Y130">
        <v>0</v>
      </c>
      <c r="Z130" t="str">
        <v>-0.83</v>
      </c>
      <c r="AA130" t="str">
        <v>0.07</v>
      </c>
      <c r="AB130" t="str">
        <v>穎漢</v>
      </c>
      <c r="AC130" t="str">
        <v>上市電機機械</v>
      </c>
      <c r="AD130" t="str">
        <v>全球第一大金屬彎管機製造商</v>
      </c>
      <c r="AE130" t="str">
        <f t="array" ref="AE130:AH130">[1]!'4562.TW-CName,InvestorConferenceDate,DateofMeetingofShareHolders,TradingDate'</f>
        <v>穎漢</v>
      </c>
      <c r="AF130" t="str">
        <v>2022/12/01</v>
      </c>
      <c r="AG130" t="str">
        <v>2022/06/14</v>
      </c>
      <c r="AH130" t="str">
        <v>2022/12/22</v>
      </c>
    </row>
    <row r="131" spans="1:34" x14ac:dyDescent="0.3">
      <c r="A131" t="str">
        <f t="array" ref="A131:J131">[1]!'4564.TW-ID,Name,MarketValue,Capital,NetIncomeGrowthRate,OperIncomeGrowthRate,FinancialStatementsTime,TFXRatio,MonthlyNetSalesYoY,RevenueMonth'</f>
        <v>4564</v>
      </c>
      <c r="B131" t="str">
        <v>元翎</v>
      </c>
      <c r="C131" t="str">
        <v>43.7</v>
      </c>
      <c r="D131" t="str">
        <v>18.28</v>
      </c>
      <c r="E131" t="str">
        <v>-68.85</v>
      </c>
      <c r="F131" t="str">
        <v>-80.21</v>
      </c>
      <c r="G131" t="str">
        <v>2022/09</v>
      </c>
      <c r="H131" t="str">
        <v>-30.32</v>
      </c>
      <c r="I131" t="str">
        <v>-49.09</v>
      </c>
      <c r="J131" t="str">
        <v>2022/11</v>
      </c>
      <c r="K131" t="str">
        <f t="array" ref="K131:T131">[1]!'4564.TW-OperatingProfitRatio,Price,PriceChangeRatio,InOutRatioNumber,Value,YearReturn,MonthReturn,WeekReturn,FinanceBalanceDif,ChipsField2'</f>
        <v>5.02</v>
      </c>
      <c r="L131">
        <v>23.9</v>
      </c>
      <c r="M131">
        <v>0.63</v>
      </c>
      <c r="N131" t="str">
        <v>32.21%</v>
      </c>
      <c r="O131" t="str">
        <v>354萬</v>
      </c>
      <c r="P131" t="str">
        <v>-36.74</v>
      </c>
      <c r="Q131" t="str">
        <v>+0.42</v>
      </c>
      <c r="R131" t="str">
        <v>-0.62</v>
      </c>
      <c r="S131">
        <v>45</v>
      </c>
      <c r="T131">
        <v>0</v>
      </c>
      <c r="U131">
        <f t="array" ref="U131:AD131">[1]!'4564.TW-ChipsField3,ChipsField1,ChipsField25,CashAndStockDividend,CashDividendYieldRate,ProfitFourSeason,ProfitSingle,CName,ExchangeIndustry,CompanyPos'</f>
        <v>-13</v>
      </c>
      <c r="V131">
        <v>18</v>
      </c>
      <c r="W131" t="str">
        <v>2022/07/25</v>
      </c>
      <c r="X131" t="str">
        <v>1.30</v>
      </c>
      <c r="Y131">
        <v>5.44</v>
      </c>
      <c r="Z131" t="str">
        <v>0.77</v>
      </c>
      <c r="AA131" t="str">
        <v>-0.02</v>
      </c>
      <c r="AB131" t="str">
        <v>元翎</v>
      </c>
      <c r="AC131" t="str">
        <v>上市電機機械</v>
      </c>
      <c r="AD131" t="str">
        <v>全球前二大迷你高壓氣體鋼瓶製造廠</v>
      </c>
      <c r="AE131" t="str">
        <f t="array" ref="AE131:AH131">[1]!'4564.TW-CName,InvestorConferenceDate,DateofMeetingofShareHolders,TradingDate'</f>
        <v>元翎</v>
      </c>
      <c r="AF131" t="str">
        <v>2022/11/18</v>
      </c>
      <c r="AG131" t="str">
        <v>2022/05/26</v>
      </c>
      <c r="AH131" t="str">
        <v>2022/12/22</v>
      </c>
    </row>
    <row r="132" spans="1:34" x14ac:dyDescent="0.3">
      <c r="A132" t="str">
        <f t="array" ref="A132:J132">[1]!'4566.TW-ID,Name,MarketValue,Capital,NetIncomeGrowthRate,OperIncomeGrowthRate,FinancialStatementsTime,TFXRatio,MonthlyNetSalesYoY,RevenueMonth'</f>
        <v>4566</v>
      </c>
      <c r="B132" t="str">
        <v>時碩工業</v>
      </c>
      <c r="C132" t="str">
        <v>39.1</v>
      </c>
      <c r="D132" t="str">
        <v>7.70</v>
      </c>
      <c r="E132" t="str">
        <v>160.55</v>
      </c>
      <c r="F132" t="str">
        <v>61.00</v>
      </c>
      <c r="G132" t="str">
        <v>2022/09</v>
      </c>
      <c r="H132" t="str">
        <v>11.56</v>
      </c>
      <c r="I132" t="str">
        <v>28.83</v>
      </c>
      <c r="J132" t="str">
        <v>2022/11</v>
      </c>
      <c r="K132" t="str">
        <f t="array" ref="K132:T132">[1]!'4566.TW-OperatingProfitRatio,Price,PriceChangeRatio,InOutRatioNumber,Value,YearReturn,MonthReturn,WeekReturn,FinanceBalanceDif,ChipsField2'</f>
        <v>8.57</v>
      </c>
      <c r="L132">
        <v>51.1</v>
      </c>
      <c r="M132">
        <v>-0.57999999999999996</v>
      </c>
      <c r="N132" t="str">
        <v>32.90%</v>
      </c>
      <c r="O132" t="str">
        <v>2386萬</v>
      </c>
      <c r="P132" t="str">
        <v>+13.58</v>
      </c>
      <c r="Q132" t="str">
        <v>-3.40</v>
      </c>
      <c r="R132" t="str">
        <v>-10.66</v>
      </c>
      <c r="S132">
        <v>23</v>
      </c>
      <c r="T132">
        <v>0</v>
      </c>
      <c r="U132">
        <f t="array" ref="U132:AD132">[1]!'4566.TW-ChipsField3,ChipsField1,ChipsField25,CashAndStockDividend,CashDividendYieldRate,ProfitFourSeason,ProfitSingle,CName,ExchangeIndustry,CompanyPos'</f>
        <v>-1</v>
      </c>
      <c r="V132">
        <v>-125</v>
      </c>
      <c r="W132" t="str">
        <v>2022/07/28</v>
      </c>
      <c r="X132" t="str">
        <v>1.18</v>
      </c>
      <c r="Y132">
        <v>2.31</v>
      </c>
      <c r="Z132" t="str">
        <v>5.70</v>
      </c>
      <c r="AA132" t="str">
        <v>2.30</v>
      </c>
      <c r="AB132" t="str">
        <v>時碩工業</v>
      </c>
      <c r="AC132" t="str">
        <v>上市電機機械</v>
      </c>
      <c r="AD132" t="str">
        <v>台灣精密金屬零件加工廠商</v>
      </c>
      <c r="AE132" t="str">
        <f t="array" ref="AE132:AH132">[1]!'4566.TW-CName,InvestorConferenceDate,DateofMeetingofShareHolders,TradingDate'</f>
        <v>時碩工業</v>
      </c>
      <c r="AF132" t="str">
        <v>2022/11/23</v>
      </c>
      <c r="AG132" t="str">
        <v>2022/06/23</v>
      </c>
      <c r="AH132" t="str">
        <v>2022/12/22</v>
      </c>
    </row>
    <row r="133" spans="1:34" x14ac:dyDescent="0.3">
      <c r="A133" t="str">
        <f t="array" ref="A133:J133">[1]!'4571.TW-ID,Name,MarketValue,Capital,NetIncomeGrowthRate,OperIncomeGrowthRate,FinancialStatementsTime,TFXRatio,MonthlyNetSalesYoY,RevenueMonth'</f>
        <v>4571</v>
      </c>
      <c r="B133" t="str">
        <v>鈞興-KY</v>
      </c>
      <c r="C133" t="str">
        <v>39.4</v>
      </c>
      <c r="D133" t="str">
        <v>5.33</v>
      </c>
      <c r="E133" t="str">
        <v>-9.94</v>
      </c>
      <c r="F133" t="str">
        <v>-47.82</v>
      </c>
      <c r="G133" t="str">
        <v>2022/09</v>
      </c>
      <c r="H133" t="str">
        <v>36.52</v>
      </c>
      <c r="I133" t="str">
        <v>15.47</v>
      </c>
      <c r="J133" t="str">
        <v>2022/11</v>
      </c>
      <c r="K133" t="str">
        <f t="array" ref="K133:T133">[1]!'4571.TW-OperatingProfitRatio,Price,PriceChangeRatio,InOutRatioNumber,Value,YearReturn,MonthReturn,WeekReturn,FinanceBalanceDif,ChipsField2'</f>
        <v>10.61</v>
      </c>
      <c r="L133">
        <v>73.900000000000006</v>
      </c>
      <c r="M133">
        <v>-0.54</v>
      </c>
      <c r="N133" t="str">
        <v>11.11%</v>
      </c>
      <c r="O133" t="str">
        <v>66.5萬</v>
      </c>
      <c r="P133" t="str">
        <v>-22.34</v>
      </c>
      <c r="Q133" t="str">
        <v>+3.65</v>
      </c>
      <c r="R133" t="str">
        <v>-1.99</v>
      </c>
      <c r="S133">
        <v>0</v>
      </c>
      <c r="T133">
        <v>0</v>
      </c>
      <c r="U133">
        <f t="array" ref="U133:AD133">[1]!'4571.TW-ChipsField3,ChipsField1,ChipsField25,CashAndStockDividend,CashDividendYieldRate,ProfitFourSeason,ProfitSingle,CName,ExchangeIndustry,CompanyPos'</f>
        <v>-1</v>
      </c>
      <c r="V133">
        <v>0</v>
      </c>
      <c r="W133" t="str">
        <v>2022/06/09</v>
      </c>
      <c r="X133" t="str">
        <v>4.50</v>
      </c>
      <c r="Y133">
        <v>6.09</v>
      </c>
      <c r="Z133" t="str">
        <v>6.98</v>
      </c>
      <c r="AA133" t="str">
        <v>1.87</v>
      </c>
      <c r="AB133" t="str">
        <v>鈞興-KY</v>
      </c>
      <c r="AC133" t="str">
        <v>上市電機機械</v>
      </c>
      <c r="AD133" t="str">
        <v>專業生產客製化齒輪廠商</v>
      </c>
      <c r="AE133" t="str">
        <f t="array" ref="AE133:AH133">[1]!'4571.TW-CName,InvestorConferenceDate,DateofMeetingofShareHolders,TradingDate'</f>
        <v>鈞興-KY</v>
      </c>
      <c r="AF133" t="str">
        <v>2022/11/09</v>
      </c>
      <c r="AG133" t="str">
        <v>2022/05/20</v>
      </c>
      <c r="AH133" t="str">
        <v>2022/12/22</v>
      </c>
    </row>
    <row r="134" spans="1:34" x14ac:dyDescent="0.3">
      <c r="A134" t="str">
        <f t="array" ref="A134:J134">[1]!'4572.TW-ID,Name,MarketValue,Capital,NetIncomeGrowthRate,OperIncomeGrowthRate,FinancialStatementsTime,TFXRatio,MonthlyNetSalesYoY,RevenueMonth'</f>
        <v>4572</v>
      </c>
      <c r="B134" t="str">
        <v>駐龍</v>
      </c>
      <c r="C134" t="str">
        <v>42.2</v>
      </c>
      <c r="D134" t="str">
        <v>3.58</v>
      </c>
      <c r="E134" t="str">
        <v>317.79</v>
      </c>
      <c r="F134" t="str">
        <v>212.94</v>
      </c>
      <c r="G134" t="str">
        <v>2022/09</v>
      </c>
      <c r="H134" t="str">
        <v>-9.99</v>
      </c>
      <c r="I134" t="str">
        <v>56.70</v>
      </c>
      <c r="J134" t="str">
        <v>2022/11</v>
      </c>
      <c r="K134" t="str">
        <f t="array" ref="K134:T134">[1]!'4572.TW-OperatingProfitRatio,Price,PriceChangeRatio,InOutRatioNumber,Value,YearReturn,MonthReturn,WeekReturn,FinanceBalanceDif,ChipsField2'</f>
        <v>30.93</v>
      </c>
      <c r="L134">
        <v>118</v>
      </c>
      <c r="M134">
        <v>2.61</v>
      </c>
      <c r="N134" t="str">
        <v>59.87%</v>
      </c>
      <c r="O134" t="str">
        <v>3758萬</v>
      </c>
      <c r="P134" t="str">
        <v>+24.90</v>
      </c>
      <c r="Q134" t="str">
        <v>+4.42</v>
      </c>
      <c r="R134" t="str">
        <v>-1.67</v>
      </c>
      <c r="S134">
        <v>-65</v>
      </c>
      <c r="T134">
        <v>10</v>
      </c>
      <c r="U134">
        <f t="array" ref="U134:AD134">[1]!'4572.TW-ChipsField3,ChipsField1,ChipsField25,CashAndStockDividend,CashDividendYieldRate,ProfitFourSeason,ProfitSingle,CName,ExchangeIndustry,CompanyPos'</f>
        <v>-1</v>
      </c>
      <c r="V134">
        <v>73</v>
      </c>
      <c r="W134" t="str">
        <v>2022/07/14</v>
      </c>
      <c r="X134" t="str">
        <v>5.00</v>
      </c>
      <c r="Y134">
        <v>4.24</v>
      </c>
      <c r="Z134" t="str">
        <v>4.93</v>
      </c>
      <c r="AA134" t="str">
        <v>1.90</v>
      </c>
      <c r="AB134" t="str">
        <v>駐龍</v>
      </c>
      <c r="AC134" t="str">
        <v>上市電機機械</v>
      </c>
      <c r="AD134" t="str">
        <v>鋁合金全製程的飛機結構與引擎組件製造廠</v>
      </c>
      <c r="AE134" t="str">
        <f t="array" ref="AE134:AH134">[1]!'4572.TW-CName,InvestorConferenceDate,DateofMeetingofShareHolders,TradingDate'</f>
        <v>駐龍</v>
      </c>
      <c r="AF134" t="str">
        <v>2021/11/17</v>
      </c>
      <c r="AG134" t="str">
        <v>2022/06/15</v>
      </c>
      <c r="AH134" t="str">
        <v>2022/12/22</v>
      </c>
    </row>
    <row r="135" spans="1:34" x14ac:dyDescent="0.3">
      <c r="A135" t="str">
        <f t="array" ref="A135:J135">[1]!'4576.TW-ID,Name,MarketValue,Capital,NetIncomeGrowthRate,OperIncomeGrowthRate,FinancialStatementsTime,TFXRatio,MonthlyNetSalesYoY,RevenueMonth'</f>
        <v>4576</v>
      </c>
      <c r="B135" t="str">
        <v>大銀微系統</v>
      </c>
      <c r="C135" t="str">
        <v>83.7</v>
      </c>
      <c r="D135" t="str">
        <v>11.98</v>
      </c>
      <c r="E135" t="str">
        <v>35.83</v>
      </c>
      <c r="F135" t="str">
        <v>11.20</v>
      </c>
      <c r="G135" t="str">
        <v>2022/09</v>
      </c>
      <c r="H135" t="str">
        <v>2.74</v>
      </c>
      <c r="I135" t="str">
        <v>-23.61</v>
      </c>
      <c r="J135" t="str">
        <v>2022/11</v>
      </c>
      <c r="K135" t="str">
        <f t="array" ref="K135:T135">[1]!'4576.TW-OperatingProfitRatio,Price,PriceChangeRatio,InOutRatioNumber,Value,YearReturn,MonthReturn,WeekReturn,FinanceBalanceDif,ChipsField2'</f>
        <v>12.64</v>
      </c>
      <c r="L135">
        <v>69.900000000000006</v>
      </c>
      <c r="M135">
        <v>0.72</v>
      </c>
      <c r="N135" t="str">
        <v>25.00%</v>
      </c>
      <c r="O135" t="str">
        <v>83.9萬</v>
      </c>
      <c r="P135" t="str">
        <v>-34.85</v>
      </c>
      <c r="Q135" t="str">
        <v>+1.16</v>
      </c>
      <c r="R135" t="str">
        <v>-4.90</v>
      </c>
      <c r="S135">
        <v>1</v>
      </c>
      <c r="T135">
        <v>0</v>
      </c>
      <c r="U135">
        <f t="array" ref="U135:AD135">[1]!'4576.TW-ChipsField3,ChipsField1,ChipsField25,CashAndStockDividend,CashDividendYieldRate,ProfitFourSeason,ProfitSingle,CName,ExchangeIndustry,CompanyPos'</f>
        <v>0</v>
      </c>
      <c r="V135">
        <v>-8</v>
      </c>
      <c r="W135" t="str">
        <v>2022/07/20</v>
      </c>
      <c r="X135" t="str">
        <v>1.00</v>
      </c>
      <c r="Y135">
        <v>1.43</v>
      </c>
      <c r="Z135" t="str">
        <v>2.96</v>
      </c>
      <c r="AA135" t="str">
        <v>0.55</v>
      </c>
      <c r="AB135" t="str">
        <v>大銀微系統</v>
      </c>
      <c r="AC135" t="str">
        <v>上市電機機械</v>
      </c>
      <c r="AD135" t="str">
        <v>為全球最大之半導體奈米級精密定位系統製造商</v>
      </c>
      <c r="AE135" t="str">
        <f t="array" ref="AE135:AH135">[1]!'4576.TW-CName,InvestorConferenceDate,DateofMeetingofShareHolders,TradingDate'</f>
        <v>大銀微系統</v>
      </c>
      <c r="AF135" t="str">
        <v>2022/11/18</v>
      </c>
      <c r="AG135" t="str">
        <v>2022/05/31</v>
      </c>
      <c r="AH135" t="str">
        <v>2022/12/22</v>
      </c>
    </row>
    <row r="136" spans="1:34" x14ac:dyDescent="0.3">
      <c r="A136" t="str">
        <f t="array" ref="A136:J136">[1]!'4583.TW-ID,Name,MarketValue,Capital,NetIncomeGrowthRate,OperIncomeGrowthRate,FinancialStatementsTime,TFXRatio,MonthlyNetSalesYoY,RevenueMonth'</f>
        <v>4583</v>
      </c>
      <c r="B136" t="str">
        <v>台灣精銳</v>
      </c>
      <c r="C136" t="str">
        <v>149.1</v>
      </c>
      <c r="D136" t="str">
        <v>8.02</v>
      </c>
      <c r="E136" t="str">
        <v>42.13</v>
      </c>
      <c r="F136" t="str">
        <v>5.83</v>
      </c>
      <c r="G136" t="str">
        <v>2022/09</v>
      </c>
      <c r="H136" t="str">
        <v>33.29</v>
      </c>
      <c r="I136" t="str">
        <v>0.57</v>
      </c>
      <c r="J136" t="str">
        <v>2022/11</v>
      </c>
      <c r="K136" t="str">
        <f t="array" ref="K136:T136">[1]!'4583.TW-OperatingProfitRatio,Price,PriceChangeRatio,InOutRatioNumber,Value,YearReturn,MonthReturn,WeekReturn,FinanceBalanceDif,ChipsField2'</f>
        <v>33.24</v>
      </c>
      <c r="L136">
        <v>186</v>
      </c>
      <c r="M136">
        <v>0.54</v>
      </c>
      <c r="N136" t="str">
        <v>23.08%</v>
      </c>
      <c r="O136" t="str">
        <v>242萬</v>
      </c>
      <c r="P136" t="str">
        <v>--</v>
      </c>
      <c r="Q136" t="str">
        <v>+0.54</v>
      </c>
      <c r="R136" t="str">
        <v>-2.36</v>
      </c>
      <c r="S136">
        <v>0</v>
      </c>
      <c r="T136">
        <v>0</v>
      </c>
      <c r="U136">
        <f t="array" ref="U136:AD136">[1]!'4583.TW-ChipsField3,ChipsField1,ChipsField25,CashAndStockDividend,CashDividendYieldRate,ProfitFourSeason,ProfitSingle,CName,ExchangeIndustry,CompanyPos'</f>
        <v>0</v>
      </c>
      <c r="V136">
        <v>-1</v>
      </c>
      <c r="W136" t="str">
        <v>2022/04/15</v>
      </c>
      <c r="X136" t="str">
        <v>8.00</v>
      </c>
      <c r="Y136">
        <v>4.3</v>
      </c>
      <c r="Z136" t="str">
        <v>14.80</v>
      </c>
      <c r="AA136" t="str">
        <v>3.75</v>
      </c>
      <c r="AB136" t="str">
        <v>台灣精銳</v>
      </c>
      <c r="AC136" t="str">
        <v>上市電機機械</v>
      </c>
      <c r="AD136" t="str">
        <v>高精密度之伺服用行星式齒輪減速機提供商</v>
      </c>
      <c r="AE136" t="str">
        <f t="array" ref="AE136:AH136">[1]!'4583.TW-CName,InvestorConferenceDate,DateofMeetingofShareHolders,TradingDate'</f>
        <v>台灣精銳</v>
      </c>
      <c r="AF136" t="str">
        <v>--</v>
      </c>
      <c r="AG136" t="str">
        <v>2022/06/17</v>
      </c>
      <c r="AH136" t="str">
        <v>2022/12/22</v>
      </c>
    </row>
    <row r="137" spans="1:34" x14ac:dyDescent="0.3">
      <c r="A137" t="str">
        <f t="array" ref="A137:J137">[1]!'5288.TW-ID,Name,MarketValue,Capital,NetIncomeGrowthRate,OperIncomeGrowthRate,FinancialStatementsTime,TFXRatio,MonthlyNetSalesYoY,RevenueMonth'</f>
        <v>5288</v>
      </c>
      <c r="B137" t="str">
        <v>豐祥-KY</v>
      </c>
      <c r="C137" t="str">
        <v>104.3</v>
      </c>
      <c r="D137" t="str">
        <v>6.59</v>
      </c>
      <c r="E137" t="str">
        <v>29.50</v>
      </c>
      <c r="F137" t="str">
        <v>45.37</v>
      </c>
      <c r="G137" t="str">
        <v>2022/09</v>
      </c>
      <c r="H137" t="str">
        <v>-7.38</v>
      </c>
      <c r="I137" t="str">
        <v>30.72</v>
      </c>
      <c r="J137" t="str">
        <v>2022/11</v>
      </c>
      <c r="K137" t="str">
        <f t="array" ref="K137:T137">[1]!'5288.TW-OperatingProfitRatio,Price,PriceChangeRatio,InOutRatioNumber,Value,YearReturn,MonthReturn,WeekReturn,FinanceBalanceDif,ChipsField2'</f>
        <v>13.44</v>
      </c>
      <c r="L137">
        <v>158.5</v>
      </c>
      <c r="M137">
        <v>1.28</v>
      </c>
      <c r="N137" t="str">
        <v>28.78%</v>
      </c>
      <c r="O137" t="str">
        <v>2182萬</v>
      </c>
      <c r="P137" t="str">
        <v>+11.17</v>
      </c>
      <c r="Q137" t="str">
        <v>-4.80</v>
      </c>
      <c r="R137" t="str">
        <v>-5.37</v>
      </c>
      <c r="S137">
        <v>5</v>
      </c>
      <c r="T137">
        <v>-74</v>
      </c>
      <c r="U137">
        <f t="array" ref="U137:AD137">[1]!'5288.TW-ChipsField3,ChipsField1,ChipsField25,CashAndStockDividend,CashDividendYieldRate,ProfitFourSeason,ProfitSingle,CName,ExchangeIndustry,CompanyPos'</f>
        <v>1</v>
      </c>
      <c r="V137">
        <v>11</v>
      </c>
      <c r="W137" t="str">
        <v>2022/09/01</v>
      </c>
      <c r="X137" t="str">
        <v>4.50</v>
      </c>
      <c r="Y137">
        <v>2.84</v>
      </c>
      <c r="Z137" t="str">
        <v>11.79</v>
      </c>
      <c r="AA137" t="str">
        <v>4.01</v>
      </c>
      <c r="AB137" t="str">
        <v>豐祥-KY</v>
      </c>
      <c r="AC137" t="str">
        <v>上市電機機械</v>
      </c>
      <c r="AD137" t="str">
        <v>越南主要汽機車零件供應商，跨足醫療器材零件</v>
      </c>
      <c r="AE137" t="str">
        <f t="array" ref="AE137:AH137">[1]!'5288.TW-CName,InvestorConferenceDate,DateofMeetingofShareHolders,TradingDate'</f>
        <v>豐祥-KY</v>
      </c>
      <c r="AF137" t="str">
        <v>2022/09/29</v>
      </c>
      <c r="AG137" t="str">
        <v>2022/05/31</v>
      </c>
      <c r="AH137" t="str">
        <v>2022/12/22</v>
      </c>
    </row>
    <row r="138" spans="1:34" x14ac:dyDescent="0.3">
      <c r="A138" t="str">
        <f t="array" ref="A138:J138">[1]!'8222.TW-ID,Name,MarketValue,Capital,NetIncomeGrowthRate,OperIncomeGrowthRate,FinancialStatementsTime,TFXRatio,MonthlyNetSalesYoY,RevenueMonth'</f>
        <v>8222</v>
      </c>
      <c r="B138" t="str">
        <v>寶一</v>
      </c>
      <c r="C138" t="str">
        <v>18.2</v>
      </c>
      <c r="D138" t="str">
        <v>6.86</v>
      </c>
      <c r="E138" t="str">
        <v>133.18</v>
      </c>
      <c r="F138" t="str">
        <v>61.71</v>
      </c>
      <c r="G138" t="str">
        <v>2022/09</v>
      </c>
      <c r="H138" t="str">
        <v>3.84</v>
      </c>
      <c r="I138" t="str">
        <v>39.45</v>
      </c>
      <c r="J138" t="str">
        <v>2022/11</v>
      </c>
      <c r="K138" t="str">
        <f t="array" ref="K138:T138">[1]!'8222.TW-OperatingProfitRatio,Price,PriceChangeRatio,InOutRatioNumber,Value,YearReturn,MonthReturn,WeekReturn,FinanceBalanceDif,ChipsField2'</f>
        <v>-9.92</v>
      </c>
      <c r="L138">
        <v>26.5</v>
      </c>
      <c r="M138">
        <v>0</v>
      </c>
      <c r="N138" t="str">
        <v>49.49%</v>
      </c>
      <c r="O138" t="str">
        <v>1.39億</v>
      </c>
      <c r="P138" t="str">
        <v>+77.85</v>
      </c>
      <c r="Q138" t="str">
        <v>+30.22</v>
      </c>
      <c r="R138" t="str">
        <v>-10.47</v>
      </c>
      <c r="S138">
        <v>-84</v>
      </c>
      <c r="T138">
        <v>0</v>
      </c>
      <c r="U138">
        <f t="array" ref="U138:AD138">[1]!'8222.TW-ChipsField3,ChipsField1,ChipsField25,CashAndStockDividend,CashDividendYieldRate,ProfitFourSeason,ProfitSingle,CName,ExchangeIndustry,CompanyPos'</f>
        <v>30</v>
      </c>
      <c r="V138">
        <v>-230</v>
      </c>
      <c r="W138" t="str">
        <v>--</v>
      </c>
      <c r="X138" t="str">
        <v>0.00</v>
      </c>
      <c r="Y138">
        <v>0</v>
      </c>
      <c r="Z138" t="str">
        <v>0.08</v>
      </c>
      <c r="AA138" t="str">
        <v>0.47</v>
      </c>
      <c r="AB138" t="str">
        <v>寶一</v>
      </c>
      <c r="AC138" t="str">
        <v>上市電機機械</v>
      </c>
      <c r="AD138" t="str">
        <v>專注於航空發動機內的高溫段零組件製造商</v>
      </c>
      <c r="AE138" t="str">
        <f t="array" ref="AE138:AH138">[1]!'8222.TW-CName,InvestorConferenceDate,DateofMeetingofShareHolders,TradingDate'</f>
        <v>寶一</v>
      </c>
      <c r="AF138" t="str">
        <v>2021/11/26</v>
      </c>
      <c r="AG138" t="str">
        <v>2022/06/27</v>
      </c>
      <c r="AH138" t="str">
        <v>2022/12/22</v>
      </c>
    </row>
    <row r="139" spans="1:34" x14ac:dyDescent="0.3">
      <c r="A139" t="str">
        <f t="array" ref="A139:J139">[1]!'8374.TW-ID,Name,MarketValue,Capital,NetIncomeGrowthRate,OperIncomeGrowthRate,FinancialStatementsTime,TFXRatio,MonthlyNetSalesYoY,RevenueMonth'</f>
        <v>8374</v>
      </c>
      <c r="B139" t="str">
        <v>羅昇</v>
      </c>
      <c r="C139" t="str">
        <v>25.7</v>
      </c>
      <c r="D139" t="str">
        <v>11.23</v>
      </c>
      <c r="E139" t="str">
        <v>-15.62</v>
      </c>
      <c r="F139" t="str">
        <v>-33.28</v>
      </c>
      <c r="G139" t="str">
        <v>2022/09</v>
      </c>
      <c r="H139" t="str">
        <v>-1.02</v>
      </c>
      <c r="I139" t="str">
        <v>16.68</v>
      </c>
      <c r="J139" t="str">
        <v>2022/11</v>
      </c>
      <c r="K139" t="str">
        <f t="array" ref="K139:T139">[1]!'8374.TW-OperatingProfitRatio,Price,PriceChangeRatio,InOutRatioNumber,Value,YearReturn,MonthReturn,WeekReturn,FinanceBalanceDif,ChipsField2'</f>
        <v>3.63</v>
      </c>
      <c r="L139">
        <v>28.8</v>
      </c>
      <c r="M139">
        <v>1.77</v>
      </c>
      <c r="N139" t="str">
        <v>42.86%</v>
      </c>
      <c r="O139" t="str">
        <v>80.2萬</v>
      </c>
      <c r="P139" t="str">
        <v>-1.11</v>
      </c>
      <c r="Q139" t="str">
        <v>+2.67</v>
      </c>
      <c r="R139" t="str">
        <v>+2.31</v>
      </c>
      <c r="S139">
        <v>0</v>
      </c>
      <c r="T139">
        <v>0</v>
      </c>
      <c r="U139">
        <f t="array" ref="U139:AD139">[1]!'8374.TW-ChipsField3,ChipsField1,ChipsField25,CashAndStockDividend,CashDividendYieldRate,ProfitFourSeason,ProfitSingle,CName,ExchangeIndustry,CompanyPos'</f>
        <v>-2</v>
      </c>
      <c r="V139">
        <v>4</v>
      </c>
      <c r="W139" t="str">
        <v>2022/07/18</v>
      </c>
      <c r="X139" t="str">
        <v>0.90</v>
      </c>
      <c r="Y139">
        <v>3.13</v>
      </c>
      <c r="Z139" t="str">
        <v>1.00</v>
      </c>
      <c r="AA139" t="str">
        <v>0.02</v>
      </c>
      <c r="AB139" t="str">
        <v>羅昇</v>
      </c>
      <c r="AC139" t="str">
        <v>上市電機機械</v>
      </c>
      <c r="AD139" t="str">
        <v>自動化機電零組件暨系統供應商</v>
      </c>
      <c r="AE139" t="str">
        <f t="array" ref="AE139:AH139">[1]!'8374.TW-CName,InvestorConferenceDate,DateofMeetingofShareHolders,TradingDate'</f>
        <v>羅昇</v>
      </c>
      <c r="AF139" t="str">
        <v>2022/05/20</v>
      </c>
      <c r="AG139" t="str">
        <v>2022/06/14</v>
      </c>
      <c r="AH139" t="str">
        <v>2022/12/22</v>
      </c>
    </row>
    <row r="140" spans="1:34" x14ac:dyDescent="0.3">
      <c r="A140" t="str">
        <f t="array" ref="A140:J140">[1]!'8996.TW-ID,Name,MarketValue,Capital,NetIncomeGrowthRate,OperIncomeGrowthRate,FinancialStatementsTime,TFXRatio,MonthlyNetSalesYoY,RevenueMonth'</f>
        <v>8996</v>
      </c>
      <c r="B140" t="str">
        <v>高力</v>
      </c>
      <c r="C140" t="str">
        <v>152.8</v>
      </c>
      <c r="D140" t="str">
        <v>8.94</v>
      </c>
      <c r="E140" t="str">
        <v>69.02</v>
      </c>
      <c r="F140" t="str">
        <v>24.13</v>
      </c>
      <c r="G140" t="str">
        <v>2022/09</v>
      </c>
      <c r="H140" t="str">
        <v>12.48</v>
      </c>
      <c r="I140" t="str">
        <v>61.17</v>
      </c>
      <c r="J140" t="str">
        <v>2022/11</v>
      </c>
      <c r="K140" t="str">
        <f t="array" ref="K140:T140">[1]!'8996.TW-OperatingProfitRatio,Price,PriceChangeRatio,InOutRatioNumber,Value,YearReturn,MonthReturn,WeekReturn,FinanceBalanceDif,ChipsField2'</f>
        <v>11.49</v>
      </c>
      <c r="L140">
        <v>171</v>
      </c>
      <c r="M140">
        <v>2.09</v>
      </c>
      <c r="N140" t="str">
        <v>45.40%</v>
      </c>
      <c r="O140" t="str">
        <v>26.9億</v>
      </c>
      <c r="P140" t="str">
        <v>+184.22</v>
      </c>
      <c r="Q140" t="str">
        <v>+13.62</v>
      </c>
      <c r="R140" t="str">
        <v>-4.20</v>
      </c>
      <c r="S140">
        <v>268</v>
      </c>
      <c r="T140">
        <v>0</v>
      </c>
      <c r="U140">
        <f t="array" ref="U140:AD140">[1]!'8996.TW-ChipsField3,ChipsField1,ChipsField25,CashAndStockDividend,CashDividendYieldRate,ProfitFourSeason,ProfitSingle,CName,ExchangeIndustry,CompanyPos'</f>
        <v>-41</v>
      </c>
      <c r="V140">
        <v>-1405</v>
      </c>
      <c r="W140" t="str">
        <v>2022/07/05</v>
      </c>
      <c r="X140" t="str">
        <v>1.50</v>
      </c>
      <c r="Y140">
        <v>0.88</v>
      </c>
      <c r="Z140" t="str">
        <v>2.59</v>
      </c>
      <c r="AA140" t="str">
        <v>1.03</v>
      </c>
      <c r="AB140" t="str">
        <v>高力</v>
      </c>
      <c r="AC140" t="str">
        <v>上市電機機械</v>
      </c>
      <c r="AD140" t="str">
        <v>台灣唯一製造硬銲型不銹鋼板式熱交換器廠</v>
      </c>
      <c r="AE140" t="str">
        <f t="array" ref="AE140:AH140">[1]!'8996.TW-CName,InvestorConferenceDate,DateofMeetingofShareHolders,TradingDate'</f>
        <v>高力</v>
      </c>
      <c r="AF140" t="str">
        <v>2022/11/25</v>
      </c>
      <c r="AG140" t="str">
        <v>2022/06/16</v>
      </c>
      <c r="AH140" t="str">
        <v>2022/12/22</v>
      </c>
    </row>
    <row r="141" spans="1:34" x14ac:dyDescent="0.3">
      <c r="A141" t="str">
        <f t="array" ref="A141:J141">[1]!'1603.TW-ID,Name,MarketValue,Capital,NetIncomeGrowthRate,OperIncomeGrowthRate,FinancialStatementsTime,TFXRatio,MonthlyNetSalesYoY,RevenueMonth'</f>
        <v>1603</v>
      </c>
      <c r="B141" t="str">
        <v>華電</v>
      </c>
      <c r="C141" t="str">
        <v>50.8</v>
      </c>
      <c r="D141" t="str">
        <v>19.17</v>
      </c>
      <c r="E141" t="str">
        <v>18.80</v>
      </c>
      <c r="F141" t="str">
        <v>17.22</v>
      </c>
      <c r="G141" t="str">
        <v>2022/09</v>
      </c>
      <c r="H141" t="str">
        <v>84.85</v>
      </c>
      <c r="I141" t="str">
        <v>84.33</v>
      </c>
      <c r="J141" t="str">
        <v>2022/11</v>
      </c>
      <c r="K141" t="str">
        <f t="array" ref="K141:T141">[1]!'1603.TW-OperatingProfitRatio,Price,PriceChangeRatio,InOutRatioNumber,Value,YearReturn,MonthReturn,WeekReturn,FinanceBalanceDif,ChipsField2'</f>
        <v>10.36</v>
      </c>
      <c r="L141">
        <v>26.5</v>
      </c>
      <c r="M141">
        <v>1.34</v>
      </c>
      <c r="N141" t="str">
        <v>76.17%</v>
      </c>
      <c r="O141" t="str">
        <v>731萬</v>
      </c>
      <c r="P141" t="str">
        <v>+0.77</v>
      </c>
      <c r="Q141" t="str">
        <v>+0.38</v>
      </c>
      <c r="R141" t="str">
        <v>-0.75</v>
      </c>
      <c r="S141">
        <v>107</v>
      </c>
      <c r="T141">
        <v>0</v>
      </c>
      <c r="U141">
        <f t="array" ref="U141:AD141">[1]!'1603.TW-ChipsField3,ChipsField1,ChipsField25,CashAndStockDividend,CashDividendYieldRate,ProfitFourSeason,ProfitSingle,CName,ExchangeIndustry,CompanyPos'</f>
        <v>0</v>
      </c>
      <c r="V141">
        <v>74</v>
      </c>
      <c r="W141" t="str">
        <v>2022/08/29</v>
      </c>
      <c r="X141" t="str">
        <v>0.50</v>
      </c>
      <c r="Y141">
        <v>1.89</v>
      </c>
      <c r="Z141" t="str">
        <v>2.04</v>
      </c>
      <c r="AA141" t="str">
        <v>1.07</v>
      </c>
      <c r="AB141" t="str">
        <v>華電</v>
      </c>
      <c r="AC141" t="str">
        <v>上市電器電纜</v>
      </c>
      <c r="AD141" t="str">
        <v>台灣老牌電線電纜業者，並跨入鋁門窗生產</v>
      </c>
      <c r="AE141" t="str">
        <f t="array" ref="AE141:AH141">[1]!'1603.TW-CName,InvestorConferenceDate,DateofMeetingofShareHolders,TradingDate'</f>
        <v>華電</v>
      </c>
      <c r="AF141" t="str">
        <v>2022/12/02</v>
      </c>
      <c r="AG141" t="str">
        <v>2022/06/24</v>
      </c>
      <c r="AH141" t="str">
        <v>2022/12/22</v>
      </c>
    </row>
    <row r="142" spans="1:34" x14ac:dyDescent="0.3">
      <c r="A142" t="str">
        <f t="array" ref="A142:J142">[1]!'1604.TW-ID,Name,MarketValue,Capital,NetIncomeGrowthRate,OperIncomeGrowthRate,FinancialStatementsTime,TFXRatio,MonthlyNetSalesYoY,RevenueMonth'</f>
        <v>1604</v>
      </c>
      <c r="B142" t="str">
        <v>聲寶</v>
      </c>
      <c r="C142" t="str">
        <v>98.4</v>
      </c>
      <c r="D142" t="str">
        <v>38.42</v>
      </c>
      <c r="E142" t="str">
        <v>-61.16</v>
      </c>
      <c r="F142" t="str">
        <v>2.06</v>
      </c>
      <c r="G142" t="str">
        <v>2022/09</v>
      </c>
      <c r="H142" t="str">
        <v>10.57</v>
      </c>
      <c r="I142" t="str">
        <v>-11.97</v>
      </c>
      <c r="J142" t="str">
        <v>2022/11</v>
      </c>
      <c r="K142" t="str">
        <f t="array" ref="K142:T142">[1]!'1604.TW-OperatingProfitRatio,Price,PriceChangeRatio,InOutRatioNumber,Value,YearReturn,MonthReturn,WeekReturn,FinanceBalanceDif,ChipsField2'</f>
        <v>7.34</v>
      </c>
      <c r="L142">
        <v>25.6</v>
      </c>
      <c r="M142">
        <v>0.79</v>
      </c>
      <c r="N142" t="str">
        <v>63.08%</v>
      </c>
      <c r="O142" t="str">
        <v>332萬</v>
      </c>
      <c r="P142" t="str">
        <v>-4.06</v>
      </c>
      <c r="Q142" t="str">
        <v>+1.19</v>
      </c>
      <c r="R142" t="str">
        <v>-1.54</v>
      </c>
      <c r="S142">
        <v>-6</v>
      </c>
      <c r="T142">
        <v>0</v>
      </c>
      <c r="U142">
        <f t="array" ref="U142:AD142">[1]!'1604.TW-ChipsField3,ChipsField1,ChipsField25,CashAndStockDividend,CashDividendYieldRate,ProfitFourSeason,ProfitSingle,CName,ExchangeIndustry,CompanyPos'</f>
        <v>-16</v>
      </c>
      <c r="V142">
        <v>8</v>
      </c>
      <c r="W142" t="str">
        <v>2022/07/05</v>
      </c>
      <c r="X142" t="str">
        <v>2.70</v>
      </c>
      <c r="Y142">
        <v>10.55</v>
      </c>
      <c r="Z142" t="str">
        <v>1.82</v>
      </c>
      <c r="AA142" t="str">
        <v>0.60</v>
      </c>
      <c r="AB142" t="str">
        <v>聲寶</v>
      </c>
      <c r="AC142" t="str">
        <v>上市電器電纜</v>
      </c>
      <c r="AD142" t="str">
        <v>台灣知名家電品牌</v>
      </c>
      <c r="AE142" t="str">
        <f t="array" ref="AE142:AH142">[1]!'1604.TW-CName,InvestorConferenceDate,DateofMeetingofShareHolders,TradingDate'</f>
        <v>聲寶</v>
      </c>
      <c r="AF142" t="str">
        <v>2022/09/13</v>
      </c>
      <c r="AG142" t="str">
        <v>2022/06/17</v>
      </c>
      <c r="AH142" t="str">
        <v>2022/12/22</v>
      </c>
    </row>
    <row r="143" spans="1:34" x14ac:dyDescent="0.3">
      <c r="A143" t="str">
        <f t="array" ref="A143:J143">[1]!'1605.TW-ID,Name,MarketValue,Capital,NetIncomeGrowthRate,OperIncomeGrowthRate,FinancialStatementsTime,TFXRatio,MonthlyNetSalesYoY,RevenueMonth'</f>
        <v>1605</v>
      </c>
      <c r="B143" t="str">
        <v>華新</v>
      </c>
      <c r="C143" t="str">
        <v>1774.2</v>
      </c>
      <c r="D143" t="str">
        <v>373.13</v>
      </c>
      <c r="E143" t="str">
        <v>83.69</v>
      </c>
      <c r="F143" t="str">
        <v>18.97</v>
      </c>
      <c r="G143" t="str">
        <v>2022/09</v>
      </c>
      <c r="H143" t="str">
        <v>2.79</v>
      </c>
      <c r="I143" t="str">
        <v>-1.15</v>
      </c>
      <c r="J143" t="str">
        <v>2022/11</v>
      </c>
      <c r="K143" t="str">
        <f t="array" ref="K143:T143">[1]!'1605.TW-OperatingProfitRatio,Price,PriceChangeRatio,InOutRatioNumber,Value,YearReturn,MonthReturn,WeekReturn,FinanceBalanceDif,ChipsField2'</f>
        <v>5.98</v>
      </c>
      <c r="L143">
        <v>47.55</v>
      </c>
      <c r="M143">
        <v>-0.42</v>
      </c>
      <c r="N143" t="str">
        <v>37.79%</v>
      </c>
      <c r="O143" t="str">
        <v>41.4億</v>
      </c>
      <c r="P143" t="str">
        <v>+89.29</v>
      </c>
      <c r="Q143" t="str">
        <v>+10.07</v>
      </c>
      <c r="R143" t="str">
        <v>-0.63</v>
      </c>
      <c r="S143">
        <v>-535</v>
      </c>
      <c r="T143">
        <v>4367</v>
      </c>
      <c r="U143">
        <f t="array" ref="U143:AD143">[1]!'1605.TW-ChipsField3,ChipsField1,ChipsField25,CashAndStockDividend,CashDividendYieldRate,ProfitFourSeason,ProfitSingle,CName,ExchangeIndustry,CompanyPos'</f>
        <v>-94</v>
      </c>
      <c r="V143">
        <v>9138</v>
      </c>
      <c r="W143" t="str">
        <v>2022/06/21</v>
      </c>
      <c r="X143" t="str">
        <v>1.60</v>
      </c>
      <c r="Y143">
        <v>3.36</v>
      </c>
      <c r="Z143" t="str">
        <v>6.74</v>
      </c>
      <c r="AA143" t="str">
        <v>2.63</v>
      </c>
      <c r="AB143" t="str">
        <v>華新</v>
      </c>
      <c r="AC143" t="str">
        <v>上市電器電纜</v>
      </c>
      <c r="AD143" t="str">
        <v>大中華區電線電纜及不鏽鋼領導廠商</v>
      </c>
      <c r="AE143" t="str">
        <f t="array" ref="AE143:AH143">[1]!'1605.TW-CName,InvestorConferenceDate,DateofMeetingofShareHolders,TradingDate'</f>
        <v>華新</v>
      </c>
      <c r="AF143" t="str">
        <v>2022/11/04</v>
      </c>
      <c r="AG143" t="str">
        <v>2022/05/13</v>
      </c>
      <c r="AH143" t="str">
        <v>2022/12/22</v>
      </c>
    </row>
    <row r="144" spans="1:34" x14ac:dyDescent="0.3">
      <c r="A144" t="str">
        <f t="array" ref="A144:J144">[1]!'1608.TW-ID,Name,MarketValue,Capital,NetIncomeGrowthRate,OperIncomeGrowthRate,FinancialStatementsTime,TFXRatio,MonthlyNetSalesYoY,RevenueMonth'</f>
        <v>1608</v>
      </c>
      <c r="B144" t="str">
        <v>華榮</v>
      </c>
      <c r="C144" t="str">
        <v>89.2</v>
      </c>
      <c r="D144" t="str">
        <v>63.28</v>
      </c>
      <c r="E144" t="str">
        <v>-107.47</v>
      </c>
      <c r="F144" t="str">
        <v>-62.24</v>
      </c>
      <c r="G144" t="str">
        <v>2022/09</v>
      </c>
      <c r="H144" t="str">
        <v>13.69</v>
      </c>
      <c r="I144" t="str">
        <v>-7.70</v>
      </c>
      <c r="J144" t="str">
        <v>2022/11</v>
      </c>
      <c r="K144" t="str">
        <f t="array" ref="K144:T144">[1]!'1608.TW-OperatingProfitRatio,Price,PriceChangeRatio,InOutRatioNumber,Value,YearReturn,MonthReturn,WeekReturn,FinanceBalanceDif,ChipsField2'</f>
        <v>2.72</v>
      </c>
      <c r="L144">
        <v>14.1</v>
      </c>
      <c r="M144">
        <v>1.81</v>
      </c>
      <c r="N144" t="str">
        <v>55.49%</v>
      </c>
      <c r="O144" t="str">
        <v>680萬</v>
      </c>
      <c r="P144" t="str">
        <v>-29.18</v>
      </c>
      <c r="Q144" t="str">
        <v>-0.35</v>
      </c>
      <c r="R144" t="str">
        <v>-4.08</v>
      </c>
      <c r="S144">
        <v>-44</v>
      </c>
      <c r="T144">
        <v>0</v>
      </c>
      <c r="U144">
        <f t="array" ref="U144:AD144">[1]!'1608.TW-ChipsField3,ChipsField1,ChipsField25,CashAndStockDividend,CashDividendYieldRate,ProfitFourSeason,ProfitSingle,CName,ExchangeIndustry,CompanyPos'</f>
        <v>-48</v>
      </c>
      <c r="V144">
        <v>179</v>
      </c>
      <c r="W144" t="str">
        <v>2022/07/07</v>
      </c>
      <c r="X144" t="str">
        <v>1.50</v>
      </c>
      <c r="Y144">
        <v>10.64</v>
      </c>
      <c r="Z144" t="str">
        <v>0.23</v>
      </c>
      <c r="AA144" t="str">
        <v>0.03</v>
      </c>
      <c r="AB144" t="str">
        <v>華榮</v>
      </c>
      <c r="AC144" t="str">
        <v>上市電器電纜</v>
      </c>
      <c r="AD144" t="str">
        <v>台灣超高壓電力電纜線路統包工程知名業者</v>
      </c>
      <c r="AE144" t="str">
        <f t="array" ref="AE144:AH144">[1]!'1608.TW-CName,InvestorConferenceDate,DateofMeetingofShareHolders,TradingDate'</f>
        <v>華榮</v>
      </c>
      <c r="AF144" t="str">
        <v>2022/11/10</v>
      </c>
      <c r="AG144" t="str">
        <v>2022/06/16</v>
      </c>
      <c r="AH144" t="str">
        <v>2022/12/22</v>
      </c>
    </row>
    <row r="145" spans="1:34" x14ac:dyDescent="0.3">
      <c r="A145" t="str">
        <f t="array" ref="A145:J145">[1]!'1609.TW-ID,Name,MarketValue,Capital,NetIncomeGrowthRate,OperIncomeGrowthRate,FinancialStatementsTime,TFXRatio,MonthlyNetSalesYoY,RevenueMonth'</f>
        <v>1609</v>
      </c>
      <c r="B145" t="str">
        <v>大亞</v>
      </c>
      <c r="C145" t="str">
        <v>139.7</v>
      </c>
      <c r="D145" t="str">
        <v>68.46</v>
      </c>
      <c r="E145" t="str">
        <v>-38.77</v>
      </c>
      <c r="F145" t="str">
        <v>-46.66</v>
      </c>
      <c r="G145" t="str">
        <v>2022/09</v>
      </c>
      <c r="H145" t="str">
        <v>5.94</v>
      </c>
      <c r="I145" t="str">
        <v>-11.99</v>
      </c>
      <c r="J145" t="str">
        <v>2022/11</v>
      </c>
      <c r="K145" t="str">
        <f t="array" ref="K145:T145">[1]!'1609.TW-OperatingProfitRatio,Price,PriceChangeRatio,InOutRatioNumber,Value,YearReturn,MonthReturn,WeekReturn,FinanceBalanceDif,ChipsField2'</f>
        <v>2.96</v>
      </c>
      <c r="L145">
        <v>20.399999999999999</v>
      </c>
      <c r="M145">
        <v>0.74</v>
      </c>
      <c r="N145" t="str">
        <v>50.83%</v>
      </c>
      <c r="O145" t="str">
        <v>5806萬</v>
      </c>
      <c r="P145" t="str">
        <v>-12.36</v>
      </c>
      <c r="Q145" t="str">
        <v>+9.97</v>
      </c>
      <c r="R145" t="str">
        <v>-1.69</v>
      </c>
      <c r="S145">
        <v>-6</v>
      </c>
      <c r="T145">
        <v>0</v>
      </c>
      <c r="U145">
        <f t="array" ref="U145:AD145">[1]!'1609.TW-ChipsField3,ChipsField1,ChipsField25,CashAndStockDividend,CashDividendYieldRate,ProfitFourSeason,ProfitSingle,CName,ExchangeIndustry,CompanyPos'</f>
        <v>-22</v>
      </c>
      <c r="V145">
        <v>672</v>
      </c>
      <c r="W145" t="str">
        <v>2022/08/29</v>
      </c>
      <c r="X145" t="str">
        <v>0.95</v>
      </c>
      <c r="Y145">
        <v>4.66</v>
      </c>
      <c r="Z145" t="str">
        <v>1.64</v>
      </c>
      <c r="AA145" t="str">
        <v>0.42</v>
      </c>
      <c r="AB145" t="str">
        <v>大亞</v>
      </c>
      <c r="AC145" t="str">
        <v>上市電器電纜</v>
      </c>
      <c r="AD145" t="str">
        <v>國內漆包線、電力電纜指標廠商及第一大銅銲線供應商</v>
      </c>
      <c r="AE145" t="str">
        <f t="array" ref="AE145:AH145">[1]!'1609.TW-CName,InvestorConferenceDate,DateofMeetingofShareHolders,TradingDate'</f>
        <v>大亞</v>
      </c>
      <c r="AF145" t="str">
        <v>2022/09/06</v>
      </c>
      <c r="AG145" t="str">
        <v>2022/06/10</v>
      </c>
      <c r="AH145" t="str">
        <v>2022/12/22</v>
      </c>
    </row>
    <row r="146" spans="1:34" x14ac:dyDescent="0.3">
      <c r="A146" t="str">
        <f t="array" ref="A146:J146">[1]!'1611.TW-ID,Name,MarketValue,Capital,NetIncomeGrowthRate,OperIncomeGrowthRate,FinancialStatementsTime,TFXRatio,MonthlyNetSalesYoY,RevenueMonth'</f>
        <v>1611</v>
      </c>
      <c r="B146" t="str">
        <v>中電</v>
      </c>
      <c r="C146" t="str">
        <v>43.7</v>
      </c>
      <c r="D146" t="str">
        <v>32.27</v>
      </c>
      <c r="E146" t="str">
        <v>83.55</v>
      </c>
      <c r="F146" t="str">
        <v>91.98</v>
      </c>
      <c r="G146" t="str">
        <v>2022/09</v>
      </c>
      <c r="H146" t="str">
        <v>2.89</v>
      </c>
      <c r="I146" t="str">
        <v>-23.45</v>
      </c>
      <c r="J146" t="str">
        <v>2022/11</v>
      </c>
      <c r="K146" t="str">
        <f t="array" ref="K146:T146">[1]!'1611.TW-OperatingProfitRatio,Price,PriceChangeRatio,InOutRatioNumber,Value,YearReturn,MonthReturn,WeekReturn,FinanceBalanceDif,ChipsField2'</f>
        <v>4.95</v>
      </c>
      <c r="L146">
        <v>13.55</v>
      </c>
      <c r="M146">
        <v>1.88</v>
      </c>
      <c r="N146" t="str">
        <v>60.80%</v>
      </c>
      <c r="O146" t="str">
        <v>856萬</v>
      </c>
      <c r="P146" t="str">
        <v>-33.72</v>
      </c>
      <c r="Q146" t="str">
        <v>-3.90</v>
      </c>
      <c r="R146" t="str">
        <v>-3.21</v>
      </c>
      <c r="S146">
        <v>-107</v>
      </c>
      <c r="T146">
        <v>0</v>
      </c>
      <c r="U146">
        <f t="array" ref="U146:AD146">[1]!'1611.TW-ChipsField3,ChipsField1,ChipsField25,CashAndStockDividend,CashDividendYieldRate,ProfitFourSeason,ProfitSingle,CName,ExchangeIndustry,CompanyPos'</f>
        <v>-19</v>
      </c>
      <c r="V146">
        <v>29</v>
      </c>
      <c r="W146" t="str">
        <v>2022/07/21</v>
      </c>
      <c r="X146" t="str">
        <v>0.80</v>
      </c>
      <c r="Y146">
        <v>5.9</v>
      </c>
      <c r="Z146" t="str">
        <v>0.95</v>
      </c>
      <c r="AA146" t="str">
        <v>0.05</v>
      </c>
      <c r="AB146" t="str">
        <v>中電</v>
      </c>
      <c r="AC146" t="str">
        <v>上市電器電纜</v>
      </c>
      <c r="AD146" t="str">
        <v>以東亞照明品牌銷售燈具及LED照明產品</v>
      </c>
      <c r="AE146" t="str">
        <f t="array" ref="AE146:AH146">[1]!'1611.TW-CName,InvestorConferenceDate,DateofMeetingofShareHolders,TradingDate'</f>
        <v>中電</v>
      </c>
      <c r="AF146" t="str">
        <v>2022/11/24</v>
      </c>
      <c r="AG146" t="str">
        <v>2022/05/31</v>
      </c>
      <c r="AH146" t="str">
        <v>2022/12/22</v>
      </c>
    </row>
    <row r="147" spans="1:34" x14ac:dyDescent="0.3">
      <c r="A147" t="str">
        <f t="array" ref="A147:J147">[1]!'1612.TW-ID,Name,MarketValue,Capital,NetIncomeGrowthRate,OperIncomeGrowthRate,FinancialStatementsTime,TFXRatio,MonthlyNetSalesYoY,RevenueMonth'</f>
        <v>1612</v>
      </c>
      <c r="B147" t="str">
        <v>宏泰</v>
      </c>
      <c r="C147" t="str">
        <v>52.8</v>
      </c>
      <c r="D147" t="str">
        <v>31.61</v>
      </c>
      <c r="E147" t="str">
        <v>-53.27</v>
      </c>
      <c r="F147" t="str">
        <v>-11.16</v>
      </c>
      <c r="G147" t="str">
        <v>2022/09</v>
      </c>
      <c r="H147" t="str">
        <v>14.77</v>
      </c>
      <c r="I147" t="str">
        <v>-2.32</v>
      </c>
      <c r="J147" t="str">
        <v>2022/11</v>
      </c>
      <c r="K147" t="str">
        <f t="array" ref="K147:T147">[1]!'1612.TW-OperatingProfitRatio,Price,PriceChangeRatio,InOutRatioNumber,Value,YearReturn,MonthReturn,WeekReturn,FinanceBalanceDif,ChipsField2'</f>
        <v>8.54</v>
      </c>
      <c r="L147">
        <v>16.7</v>
      </c>
      <c r="M147">
        <v>1.52</v>
      </c>
      <c r="N147" t="str">
        <v>65.48%</v>
      </c>
      <c r="O147" t="str">
        <v>764萬</v>
      </c>
      <c r="P147" t="str">
        <v>-28.84</v>
      </c>
      <c r="Q147" t="str">
        <v>+5.70</v>
      </c>
      <c r="R147" t="str">
        <v>-1.18</v>
      </c>
      <c r="S147">
        <v>-41</v>
      </c>
      <c r="T147">
        <v>0</v>
      </c>
      <c r="U147">
        <f t="array" ref="U147:AD147">[1]!'1612.TW-ChipsField3,ChipsField1,ChipsField25,CashAndStockDividend,CashDividendYieldRate,ProfitFourSeason,ProfitSingle,CName,ExchangeIndustry,CompanyPos'</f>
        <v>-22</v>
      </c>
      <c r="V147">
        <v>200</v>
      </c>
      <c r="W147" t="str">
        <v>2022/07/08</v>
      </c>
      <c r="X147" t="str">
        <v>2.80</v>
      </c>
      <c r="Y147">
        <v>16.77</v>
      </c>
      <c r="Z147" t="str">
        <v>7.74</v>
      </c>
      <c r="AA147" t="str">
        <v>0.26</v>
      </c>
      <c r="AB147" t="str">
        <v>宏泰</v>
      </c>
      <c r="AC147" t="str">
        <v>上市電器電纜</v>
      </c>
      <c r="AD147" t="str">
        <v>橫跨銅箔基板及電力電纜業者</v>
      </c>
      <c r="AE147" t="str">
        <f t="array" ref="AE147:AH147">[1]!'1612.TW-CName,InvestorConferenceDate,DateofMeetingofShareHolders,TradingDate'</f>
        <v>宏泰</v>
      </c>
      <c r="AF147" t="str">
        <v>2022/12/02</v>
      </c>
      <c r="AG147" t="str">
        <v>2022/06/21</v>
      </c>
      <c r="AH147" t="str">
        <v>2022/12/22</v>
      </c>
    </row>
    <row r="148" spans="1:34" x14ac:dyDescent="0.3">
      <c r="A148" t="str">
        <f t="array" ref="A148:J148">[1]!'1614.TW-ID,Name,MarketValue,Capital,NetIncomeGrowthRate,OperIncomeGrowthRate,FinancialStatementsTime,TFXRatio,MonthlyNetSalesYoY,RevenueMonth'</f>
        <v>1614</v>
      </c>
      <c r="B148" t="str">
        <v>三洋電</v>
      </c>
      <c r="C148" t="str">
        <v>95.8</v>
      </c>
      <c r="D148" t="str">
        <v>26.91</v>
      </c>
      <c r="E148" t="str">
        <v>-16.44</v>
      </c>
      <c r="F148" t="str">
        <v>-14.67</v>
      </c>
      <c r="G148" t="str">
        <v>2022/09</v>
      </c>
      <c r="H148" t="str">
        <v>-7.71</v>
      </c>
      <c r="I148" t="str">
        <v>-16.45</v>
      </c>
      <c r="J148" t="str">
        <v>2022/11</v>
      </c>
      <c r="K148" t="str">
        <f t="array" ref="K148:T148">[1]!'1614.TW-OperatingProfitRatio,Price,PriceChangeRatio,InOutRatioNumber,Value,YearReturn,MonthReturn,WeekReturn,FinanceBalanceDif,ChipsField2'</f>
        <v>5.85</v>
      </c>
      <c r="L148">
        <v>35.6</v>
      </c>
      <c r="M148">
        <v>0.71</v>
      </c>
      <c r="N148" t="str">
        <v>66.67%</v>
      </c>
      <c r="O148" t="str">
        <v>10.7萬</v>
      </c>
      <c r="P148" t="str">
        <v>+3.16</v>
      </c>
      <c r="Q148" t="str">
        <v>-0.84</v>
      </c>
      <c r="R148" t="str">
        <v>-0.97</v>
      </c>
      <c r="S148">
        <v>0</v>
      </c>
      <c r="T148">
        <v>0</v>
      </c>
      <c r="U148">
        <f t="array" ref="U148:AD148">[1]!'1614.TW-ChipsField3,ChipsField1,ChipsField25,CashAndStockDividend,CashDividendYieldRate,ProfitFourSeason,ProfitSingle,CName,ExchangeIndustry,CompanyPos'</f>
        <v>-3</v>
      </c>
      <c r="V148">
        <v>1</v>
      </c>
      <c r="W148" t="str">
        <v>2022/07/07</v>
      </c>
      <c r="X148" t="str">
        <v>1.23</v>
      </c>
      <c r="Y148">
        <v>3.46</v>
      </c>
      <c r="Z148" t="str">
        <v>1.24</v>
      </c>
      <c r="AA148" t="str">
        <v>0.35</v>
      </c>
      <c r="AB148" t="str">
        <v>三洋電</v>
      </c>
      <c r="AC148" t="str">
        <v>上市電器電纜</v>
      </c>
      <c r="AD148" t="str">
        <v>台灣知名家電品牌</v>
      </c>
      <c r="AE148" t="str">
        <f t="array" ref="AE148:AH148">[1]!'1614.TW-CName,InvestorConferenceDate,DateofMeetingofShareHolders,TradingDate'</f>
        <v>三洋電</v>
      </c>
      <c r="AF148" t="str">
        <v>2022/07/01</v>
      </c>
      <c r="AG148" t="str">
        <v>2022/06/16</v>
      </c>
      <c r="AH148" t="str">
        <v>2022/12/22</v>
      </c>
    </row>
    <row r="149" spans="1:34" x14ac:dyDescent="0.3">
      <c r="A149" t="str">
        <f t="array" ref="A149:J149">[1]!'1615.TW-ID,Name,MarketValue,Capital,NetIncomeGrowthRate,OperIncomeGrowthRate,FinancialStatementsTime,TFXRatio,MonthlyNetSalesYoY,RevenueMonth'</f>
        <v>1615</v>
      </c>
      <c r="B149" t="str">
        <v>大山</v>
      </c>
      <c r="C149" t="str">
        <v>42.1</v>
      </c>
      <c r="D149" t="str">
        <v>14.88</v>
      </c>
      <c r="E149" t="str">
        <v>-15.77</v>
      </c>
      <c r="F149" t="str">
        <v>-25.45</v>
      </c>
      <c r="G149" t="str">
        <v>2022/09</v>
      </c>
      <c r="H149" t="str">
        <v>-1.19</v>
      </c>
      <c r="I149" t="str">
        <v>16.39</v>
      </c>
      <c r="J149" t="str">
        <v>2022/11</v>
      </c>
      <c r="K149" t="str">
        <f t="array" ref="K149:T149">[1]!'1615.TW-OperatingProfitRatio,Price,PriceChangeRatio,InOutRatioNumber,Value,YearReturn,MonthReturn,WeekReturn,FinanceBalanceDif,ChipsField2'</f>
        <v>8.84</v>
      </c>
      <c r="L149">
        <v>28.3</v>
      </c>
      <c r="M149">
        <v>0.71</v>
      </c>
      <c r="N149" t="str">
        <v>50.00%</v>
      </c>
      <c r="O149" t="str">
        <v>17.0萬</v>
      </c>
      <c r="P149" t="str">
        <v>+1.23</v>
      </c>
      <c r="Q149" t="str">
        <v>0.00</v>
      </c>
      <c r="R149" t="str">
        <v>-1.39</v>
      </c>
      <c r="S149">
        <v>-3</v>
      </c>
      <c r="T149">
        <v>0</v>
      </c>
      <c r="U149">
        <f t="array" ref="U149:AD149">[1]!'1615.TW-ChipsField3,ChipsField1,ChipsField25,CashAndStockDividend,CashDividendYieldRate,ProfitFourSeason,ProfitSingle,CName,ExchangeIndustry,CompanyPos'</f>
        <v>-1</v>
      </c>
      <c r="V149">
        <v>0</v>
      </c>
      <c r="W149" t="str">
        <v>2022/07/19</v>
      </c>
      <c r="X149" t="str">
        <v>2.80</v>
      </c>
      <c r="Y149">
        <v>9.89</v>
      </c>
      <c r="Z149" t="str">
        <v>2.86</v>
      </c>
      <c r="AA149" t="str">
        <v>0.47</v>
      </c>
      <c r="AB149" t="str">
        <v>大山</v>
      </c>
      <c r="AC149" t="str">
        <v>上市電器電纜</v>
      </c>
      <c r="AD149" t="str">
        <v>為台灣中部地區最大之電力電纜專業廠</v>
      </c>
      <c r="AE149" t="str">
        <f t="array" ref="AE149:AH149">[1]!'1615.TW-CName,InvestorConferenceDate,DateofMeetingofShareHolders,TradingDate'</f>
        <v>大山</v>
      </c>
      <c r="AF149" t="str">
        <v>2021/12/22</v>
      </c>
      <c r="AG149" t="str">
        <v>2022/06/27</v>
      </c>
      <c r="AH149" t="str">
        <v>2022/12/22</v>
      </c>
    </row>
    <row r="150" spans="1:34" x14ac:dyDescent="0.3">
      <c r="A150" t="str">
        <f t="array" ref="A150:J150">[1]!'1616.TW-ID,Name,MarketValue,Capital,NetIncomeGrowthRate,OperIncomeGrowthRate,FinancialStatementsTime,TFXRatio,MonthlyNetSalesYoY,RevenueMonth'</f>
        <v>1616</v>
      </c>
      <c r="B150" t="str">
        <v>億泰</v>
      </c>
      <c r="C150" t="str">
        <v>14.5</v>
      </c>
      <c r="D150" t="str">
        <v>19.41</v>
      </c>
      <c r="E150" t="str">
        <v>-174.02</v>
      </c>
      <c r="F150" t="str">
        <v>12.59</v>
      </c>
      <c r="G150" t="str">
        <v>2022/09</v>
      </c>
      <c r="H150" t="str">
        <v>3.31</v>
      </c>
      <c r="I150" t="str">
        <v>-5.36</v>
      </c>
      <c r="J150" t="str">
        <v>2022/11</v>
      </c>
      <c r="K150" t="str">
        <f t="array" ref="K150:T150">[1]!'1616.TW-OperatingProfitRatio,Price,PriceChangeRatio,InOutRatioNumber,Value,YearReturn,MonthReturn,WeekReturn,FinanceBalanceDif,ChipsField2'</f>
        <v>2.35</v>
      </c>
      <c r="L150">
        <v>7.49</v>
      </c>
      <c r="M150">
        <v>0</v>
      </c>
      <c r="N150" t="str">
        <v>25.33%</v>
      </c>
      <c r="O150" t="str">
        <v>57.6萬</v>
      </c>
      <c r="P150" t="str">
        <v>-35.15</v>
      </c>
      <c r="Q150" t="str">
        <v>+2.46</v>
      </c>
      <c r="R150" t="str">
        <v>-0.93</v>
      </c>
      <c r="S150">
        <v>0</v>
      </c>
      <c r="T150">
        <v>0</v>
      </c>
      <c r="U150">
        <f t="array" ref="U150:AD150">[1]!'1616.TW-ChipsField3,ChipsField1,ChipsField25,CashAndStockDividend,CashDividendYieldRate,ProfitFourSeason,ProfitSingle,CName,ExchangeIndustry,CompanyPos'</f>
        <v>0</v>
      </c>
      <c r="V150">
        <v>-1</v>
      </c>
      <c r="W150" t="str">
        <v>--</v>
      </c>
      <c r="X150" t="str">
        <v>0.00</v>
      </c>
      <c r="Y150">
        <v>0</v>
      </c>
      <c r="Z150" t="str">
        <v>-0.10</v>
      </c>
      <c r="AA150" t="str">
        <v>-0.28</v>
      </c>
      <c r="AB150" t="str">
        <v>億泰</v>
      </c>
      <c r="AC150" t="str">
        <v>上市電器電纜</v>
      </c>
      <c r="AD150" t="str">
        <v>國內電力電纜業者</v>
      </c>
      <c r="AE150" t="str">
        <f t="array" ref="AE150:AH150">[1]!'1616.TW-CName,InvestorConferenceDate,DateofMeetingofShareHolders,TradingDate'</f>
        <v>億泰</v>
      </c>
      <c r="AF150" t="str">
        <v>2022/12/20</v>
      </c>
      <c r="AG150" t="str">
        <v>2022/06/14</v>
      </c>
      <c r="AH150" t="str">
        <v>2022/12/22</v>
      </c>
    </row>
    <row r="151" spans="1:34" x14ac:dyDescent="0.3">
      <c r="A151" t="str">
        <f t="array" ref="A151:J151">[1]!'1617.TW-ID,Name,MarketValue,Capital,NetIncomeGrowthRate,OperIncomeGrowthRate,FinancialStatementsTime,TFXRatio,MonthlyNetSalesYoY,RevenueMonth'</f>
        <v>1617</v>
      </c>
      <c r="B151" t="str">
        <v>榮星</v>
      </c>
      <c r="C151" t="str">
        <v>23.7</v>
      </c>
      <c r="D151" t="str">
        <v>15.77</v>
      </c>
      <c r="E151" t="str">
        <v>-64.58</v>
      </c>
      <c r="F151" t="str">
        <v>-109.02</v>
      </c>
      <c r="G151" t="str">
        <v>2022/09</v>
      </c>
      <c r="H151" t="str">
        <v>-1.86</v>
      </c>
      <c r="I151" t="str">
        <v>-21.27</v>
      </c>
      <c r="J151" t="str">
        <v>2022/11</v>
      </c>
      <c r="K151" t="str">
        <f t="array" ref="K151:T151">[1]!'1617.TW-OperatingProfitRatio,Price,PriceChangeRatio,InOutRatioNumber,Value,YearReturn,MonthReturn,WeekReturn,FinanceBalanceDif,ChipsField2'</f>
        <v>-0.75</v>
      </c>
      <c r="L151">
        <v>15</v>
      </c>
      <c r="M151">
        <v>0.33</v>
      </c>
      <c r="N151" t="str">
        <v>80.00%</v>
      </c>
      <c r="O151" t="str">
        <v>15.0萬</v>
      </c>
      <c r="P151" t="str">
        <v>-12.15</v>
      </c>
      <c r="Q151" t="str">
        <v>+0.33</v>
      </c>
      <c r="R151" t="str">
        <v>-0.33</v>
      </c>
      <c r="S151">
        <v>0</v>
      </c>
      <c r="T151">
        <v>0</v>
      </c>
      <c r="U151">
        <f t="array" ref="U151:AD151">[1]!'1617.TW-ChipsField3,ChipsField1,ChipsField25,CashAndStockDividend,CashDividendYieldRate,ProfitFourSeason,ProfitSingle,CName,ExchangeIndustry,CompanyPos'</f>
        <v>0</v>
      </c>
      <c r="V151">
        <v>0</v>
      </c>
      <c r="W151" t="str">
        <v>2022/07/28</v>
      </c>
      <c r="X151" t="str">
        <v>0.82</v>
      </c>
      <c r="Y151">
        <v>5.47</v>
      </c>
      <c r="Z151" t="str">
        <v>0.66</v>
      </c>
      <c r="AA151" t="str">
        <v>0.05</v>
      </c>
      <c r="AB151" t="str">
        <v>榮星</v>
      </c>
      <c r="AC151" t="str">
        <v>上市電器電纜</v>
      </c>
      <c r="AD151" t="str">
        <v>專業漆包線及電子用線大廠</v>
      </c>
      <c r="AE151" t="str">
        <f t="array" ref="AE151:AH151">[1]!'1617.TW-CName,InvestorConferenceDate,DateofMeetingofShareHolders,TradingDate'</f>
        <v>榮星</v>
      </c>
      <c r="AF151" t="str">
        <v>2022/11/30</v>
      </c>
      <c r="AG151" t="str">
        <v>2022/06/14</v>
      </c>
      <c r="AH151" t="str">
        <v>2022/12/22</v>
      </c>
    </row>
    <row r="152" spans="1:34" x14ac:dyDescent="0.3">
      <c r="A152" t="str">
        <f t="array" ref="A152:J152">[1]!'1618.TW-ID,Name,MarketValue,Capital,NetIncomeGrowthRate,OperIncomeGrowthRate,FinancialStatementsTime,TFXRatio,MonthlyNetSalesYoY,RevenueMonth'</f>
        <v>1618</v>
      </c>
      <c r="B152" t="str">
        <v>合機</v>
      </c>
      <c r="C152" t="str">
        <v>27.7</v>
      </c>
      <c r="D152" t="str">
        <v>19.27</v>
      </c>
      <c r="E152" t="str">
        <v>-5.34</v>
      </c>
      <c r="F152" t="str">
        <v>-30.22</v>
      </c>
      <c r="G152" t="str">
        <v>2022/09</v>
      </c>
      <c r="H152" t="str">
        <v>-5.97</v>
      </c>
      <c r="I152" t="str">
        <v>146.80</v>
      </c>
      <c r="J152" t="str">
        <v>2022/11</v>
      </c>
      <c r="K152" t="str">
        <f t="array" ref="K152:T152">[1]!'1618.TW-OperatingProfitRatio,Price,PriceChangeRatio,InOutRatioNumber,Value,YearReturn,MonthReturn,WeekReturn,FinanceBalanceDif,ChipsField2'</f>
        <v>6.15</v>
      </c>
      <c r="L152">
        <v>14.4</v>
      </c>
      <c r="M152">
        <v>0.7</v>
      </c>
      <c r="N152" t="str">
        <v>51.47%</v>
      </c>
      <c r="O152" t="str">
        <v>644萬</v>
      </c>
      <c r="P152" t="str">
        <v>+4.29</v>
      </c>
      <c r="Q152" t="str">
        <v>+5.49</v>
      </c>
      <c r="R152" t="str">
        <v>-1.37</v>
      </c>
      <c r="S152">
        <v>-64</v>
      </c>
      <c r="T152">
        <v>0</v>
      </c>
      <c r="U152">
        <f t="array" ref="U152:AD152">[1]!'1618.TW-ChipsField3,ChipsField1,ChipsField25,CashAndStockDividend,CashDividendYieldRate,ProfitFourSeason,ProfitSingle,CName,ExchangeIndustry,CompanyPos'</f>
        <v>-3</v>
      </c>
      <c r="V152">
        <v>136</v>
      </c>
      <c r="W152" t="str">
        <v>2022/07/12</v>
      </c>
      <c r="X152" t="str">
        <v>0.50</v>
      </c>
      <c r="Y152">
        <v>3.47</v>
      </c>
      <c r="Z152" t="str">
        <v>1.12</v>
      </c>
      <c r="AA152" t="str">
        <v>0.20</v>
      </c>
      <c r="AB152" t="str">
        <v>合機</v>
      </c>
      <c r="AC152" t="str">
        <v>上市電器電纜</v>
      </c>
      <c r="AD152" t="str">
        <v>台灣主要電力電纜廠</v>
      </c>
      <c r="AE152" t="str">
        <f t="array" ref="AE152:AH152">[1]!'1618.TW-CName,InvestorConferenceDate,DateofMeetingofShareHolders,TradingDate'</f>
        <v>合機</v>
      </c>
      <c r="AF152" t="str">
        <v>2022/11/28</v>
      </c>
      <c r="AG152" t="str">
        <v>2022/06/27</v>
      </c>
      <c r="AH152" t="str">
        <v>2022/12/22</v>
      </c>
    </row>
    <row r="153" spans="1:34" x14ac:dyDescent="0.3">
      <c r="A153" t="str">
        <f t="array" ref="A153:J153">[1]!'1626.TW-ID,Name,MarketValue,Capital,NetIncomeGrowthRate,OperIncomeGrowthRate,FinancialStatementsTime,TFXRatio,MonthlyNetSalesYoY,RevenueMonth'</f>
        <v>1626</v>
      </c>
      <c r="B153" t="str">
        <v>艾美特-KY</v>
      </c>
      <c r="C153" t="str">
        <v>24.2</v>
      </c>
      <c r="D153" t="str">
        <v>14.55</v>
      </c>
      <c r="E153" t="str">
        <v>380.83</v>
      </c>
      <c r="F153" t="str">
        <v>58.45</v>
      </c>
      <c r="G153" t="str">
        <v>2022/09</v>
      </c>
      <c r="H153" t="str">
        <v>-9.52</v>
      </c>
      <c r="I153" t="str">
        <v>-14.00</v>
      </c>
      <c r="J153" t="str">
        <v>2022/11</v>
      </c>
      <c r="K153" t="str">
        <f t="array" ref="K153:T153">[1]!'1626.TW-OperatingProfitRatio,Price,PriceChangeRatio,InOutRatioNumber,Value,YearReturn,MonthReturn,WeekReturn,FinanceBalanceDif,ChipsField2'</f>
        <v>-1.12</v>
      </c>
      <c r="L153">
        <v>16.649999999999999</v>
      </c>
      <c r="M153">
        <v>0.6</v>
      </c>
      <c r="N153" t="str">
        <v>46.15%</v>
      </c>
      <c r="O153" t="str">
        <v>23.4萬</v>
      </c>
      <c r="P153" t="str">
        <v>-12.37</v>
      </c>
      <c r="Q153" t="str">
        <v>+1.83</v>
      </c>
      <c r="R153" t="str">
        <v>-3.76</v>
      </c>
      <c r="S153">
        <v>-1</v>
      </c>
      <c r="T153">
        <v>0</v>
      </c>
      <c r="U153">
        <f t="array" ref="U153:AD153">[1]!'1626.TW-ChipsField3,ChipsField1,ChipsField25,CashAndStockDividend,CashDividendYieldRate,ProfitFourSeason,ProfitSingle,CName,ExchangeIndustry,CompanyPos'</f>
        <v>0</v>
      </c>
      <c r="V153">
        <v>-2</v>
      </c>
      <c r="W153" t="str">
        <v>--</v>
      </c>
      <c r="X153" t="str">
        <v>0.00</v>
      </c>
      <c r="Y153">
        <v>0</v>
      </c>
      <c r="Z153" t="str">
        <v>3.68</v>
      </c>
      <c r="AA153" t="str">
        <v>-0.17</v>
      </c>
      <c r="AB153" t="str">
        <v>艾美特-KY</v>
      </c>
      <c r="AC153" t="str">
        <v>上市電器電纜</v>
      </c>
      <c r="AD153" t="str">
        <v>大陸「艾美特AIRMATE」品牌小家電生產商</v>
      </c>
      <c r="AE153" t="str">
        <f t="array" ref="AE153:AH153">[1]!'1626.TW-CName,InvestorConferenceDate,DateofMeetingofShareHolders,TradingDate'</f>
        <v>艾美特-KY</v>
      </c>
      <c r="AF153" t="str">
        <v>2022/08/09</v>
      </c>
      <c r="AG153" t="str">
        <v>2022/06/10</v>
      </c>
      <c r="AH153" t="str">
        <v>2022/12/22</v>
      </c>
    </row>
    <row r="154" spans="1:34" x14ac:dyDescent="0.3">
      <c r="A154" t="str">
        <f t="array" ref="A154:J154">[1]!'4930.TW-ID,Name,MarketValue,Capital,NetIncomeGrowthRate,OperIncomeGrowthRate,FinancialStatementsTime,TFXRatio,MonthlyNetSalesYoY,RevenueMonth'</f>
        <v>4930</v>
      </c>
      <c r="B154" t="str">
        <v>燦星網</v>
      </c>
      <c r="C154" t="str">
        <v>21.5</v>
      </c>
      <c r="D154" t="str">
        <v>8.00</v>
      </c>
      <c r="E154" t="str">
        <v>-32.56</v>
      </c>
      <c r="F154" t="str">
        <v>-45.65</v>
      </c>
      <c r="G154" t="str">
        <v>2022/09</v>
      </c>
      <c r="H154" t="str">
        <v>-4.83</v>
      </c>
      <c r="I154" t="str">
        <v>-32.55</v>
      </c>
      <c r="J154" t="str">
        <v>2022/11</v>
      </c>
      <c r="K154" t="str">
        <f t="array" ref="K154:T154">[1]!'4930.TW-OperatingProfitRatio,Price,PriceChangeRatio,InOutRatioNumber,Value,YearReturn,MonthReturn,WeekReturn,FinanceBalanceDif,ChipsField2'</f>
        <v>5.22</v>
      </c>
      <c r="L154">
        <v>26.9</v>
      </c>
      <c r="M154">
        <v>1.51</v>
      </c>
      <c r="N154" t="str">
        <v>39.68%</v>
      </c>
      <c r="O154" t="str">
        <v>169萬</v>
      </c>
      <c r="P154" t="str">
        <v>-13.54</v>
      </c>
      <c r="Q154" t="str">
        <v>+3.07</v>
      </c>
      <c r="R154" t="str">
        <v>-1.47</v>
      </c>
      <c r="S154">
        <v>-6</v>
      </c>
      <c r="T154">
        <v>0</v>
      </c>
      <c r="U154">
        <f t="array" ref="U154:AD154">[1]!'4930.TW-ChipsField3,ChipsField1,ChipsField25,CashAndStockDividend,CashDividendYieldRate,ProfitFourSeason,ProfitSingle,CName,ExchangeIndustry,CompanyPos'</f>
        <v>-6</v>
      </c>
      <c r="V154">
        <v>-8</v>
      </c>
      <c r="W154" t="str">
        <v>2022/03/30</v>
      </c>
      <c r="X154" t="str">
        <v>4.80</v>
      </c>
      <c r="Y154">
        <v>17.84</v>
      </c>
      <c r="Z154" t="str">
        <v>3.15</v>
      </c>
      <c r="AA154" t="str">
        <v>1.12</v>
      </c>
      <c r="AB154" t="str">
        <v>燦星網</v>
      </c>
      <c r="AC154" t="str">
        <v>上市電器電纜</v>
      </c>
      <c r="AD154" t="str">
        <v>由燦坤集團分割之小家電製造業</v>
      </c>
      <c r="AE154" t="str">
        <f t="array" ref="AE154:AH154">[1]!'4930.TW-CName,InvestorConferenceDate,DateofMeetingofShareHolders,TradingDate'</f>
        <v>燦星網</v>
      </c>
      <c r="AF154" t="str">
        <v>2022/12/14</v>
      </c>
      <c r="AG154" t="str">
        <v>2022/06/22</v>
      </c>
      <c r="AH154" t="str">
        <v>2022/12/22</v>
      </c>
    </row>
    <row r="155" spans="1:34" x14ac:dyDescent="0.3">
      <c r="A155" t="str">
        <f t="array" ref="A155:J155">[1]!'5283.TW-ID,Name,MarketValue,Capital,NetIncomeGrowthRate,OperIncomeGrowthRate,FinancialStatementsTime,TFXRatio,MonthlyNetSalesYoY,RevenueMonth'</f>
        <v>5283</v>
      </c>
      <c r="B155" t="str">
        <v>禾聯碩</v>
      </c>
      <c r="C155" t="str">
        <v>75.9</v>
      </c>
      <c r="D155" t="str">
        <v>7.30</v>
      </c>
      <c r="E155" t="str">
        <v>-4.68</v>
      </c>
      <c r="F155" t="str">
        <v>-14.65</v>
      </c>
      <c r="G155" t="str">
        <v>2022/09</v>
      </c>
      <c r="H155" t="str">
        <v>-8.16</v>
      </c>
      <c r="I155" t="str">
        <v>-15.79</v>
      </c>
      <c r="J155" t="str">
        <v>2022/11</v>
      </c>
      <c r="K155" t="str">
        <f t="array" ref="K155:T155">[1]!'5283.TW-OperatingProfitRatio,Price,PriceChangeRatio,InOutRatioNumber,Value,YearReturn,MonthReturn,WeekReturn,FinanceBalanceDif,ChipsField2'</f>
        <v>11.36</v>
      </c>
      <c r="L155">
        <v>104</v>
      </c>
      <c r="M155">
        <v>0.48</v>
      </c>
      <c r="N155" t="str">
        <v>46.94%</v>
      </c>
      <c r="O155" t="str">
        <v>529萬</v>
      </c>
      <c r="P155" t="str">
        <v>-5.05</v>
      </c>
      <c r="Q155" t="str">
        <v>+0.97</v>
      </c>
      <c r="R155" t="str">
        <v>0.00</v>
      </c>
      <c r="S155">
        <v>-2</v>
      </c>
      <c r="T155">
        <v>0</v>
      </c>
      <c r="U155">
        <f t="array" ref="U155:AD155">[1]!'5283.TW-ChipsField3,ChipsField1,ChipsField25,CashAndStockDividend,CashDividendYieldRate,ProfitFourSeason,ProfitSingle,CName,ExchangeIndustry,CompanyPos'</f>
        <v>0</v>
      </c>
      <c r="V155">
        <v>-14</v>
      </c>
      <c r="W155" t="str">
        <v>2023/03/16</v>
      </c>
      <c r="X155" t="str">
        <v>4.00</v>
      </c>
      <c r="Y155">
        <v>7.69</v>
      </c>
      <c r="Z155" t="str">
        <v>10.26</v>
      </c>
      <c r="AA155" t="str">
        <v>2.95</v>
      </c>
      <c r="AB155" t="str">
        <v>禾聯碩</v>
      </c>
      <c r="AC155" t="str">
        <v>上市電器電纜</v>
      </c>
      <c r="AD155" t="str">
        <v>台灣智慧家電廠，經營HERAN品牌</v>
      </c>
      <c r="AE155" t="str">
        <f t="array" ref="AE155:AH155">[1]!'5283.TW-CName,InvestorConferenceDate,DateofMeetingofShareHolders,TradingDate'</f>
        <v>禾聯碩</v>
      </c>
      <c r="AF155" t="str">
        <v>2022/09/30</v>
      </c>
      <c r="AG155" t="str">
        <v>2022/06/08</v>
      </c>
      <c r="AH155" t="str">
        <v>2022/12/22</v>
      </c>
    </row>
    <row r="156" spans="1:34" x14ac:dyDescent="0.3">
      <c r="A156" t="str">
        <f t="array" ref="A156:J156">[1]!'1708.TW-ID,Name,MarketValue,Capital,NetIncomeGrowthRate,OperIncomeGrowthRate,FinancialStatementsTime,TFXRatio,MonthlyNetSalesYoY,RevenueMonth'</f>
        <v>1708</v>
      </c>
      <c r="B156" t="str">
        <v>東鹼</v>
      </c>
      <c r="C156" t="str">
        <v>102.8</v>
      </c>
      <c r="D156" t="str">
        <v>24.90</v>
      </c>
      <c r="E156" t="str">
        <v>252.04</v>
      </c>
      <c r="F156" t="str">
        <v>292.53</v>
      </c>
      <c r="G156" t="str">
        <v>2022/09</v>
      </c>
      <c r="H156" t="str">
        <v>-5.85</v>
      </c>
      <c r="I156" t="str">
        <v>9.42</v>
      </c>
      <c r="J156" t="str">
        <v>2022/11</v>
      </c>
      <c r="K156" t="str">
        <f t="array" ref="K156:T156">[1]!'1708.TW-OperatingProfitRatio,Price,PriceChangeRatio,InOutRatioNumber,Value,YearReturn,MonthReturn,WeekReturn,FinanceBalanceDif,ChipsField2'</f>
        <v>25.08</v>
      </c>
      <c r="L156">
        <v>41.3</v>
      </c>
      <c r="M156">
        <v>1.72</v>
      </c>
      <c r="N156" t="str">
        <v>56.67%</v>
      </c>
      <c r="O156" t="str">
        <v>7403萬</v>
      </c>
      <c r="P156" t="str">
        <v>+26.19</v>
      </c>
      <c r="Q156" t="str">
        <v>-4.95</v>
      </c>
      <c r="R156" t="str">
        <v>-3.50</v>
      </c>
      <c r="S156">
        <v>9</v>
      </c>
      <c r="T156">
        <v>0</v>
      </c>
      <c r="U156">
        <f t="array" ref="U156:AD156">[1]!'1708.TW-ChipsField3,ChipsField1,ChipsField25,CashAndStockDividend,CashDividendYieldRate,ProfitFourSeason,ProfitSingle,CName,ExchangeIndustry,CompanyPos'</f>
        <v>-31</v>
      </c>
      <c r="V156">
        <v>-92</v>
      </c>
      <c r="W156" t="str">
        <v>2022/07/21</v>
      </c>
      <c r="X156" t="str">
        <v>2.00</v>
      </c>
      <c r="Y156">
        <v>4.84</v>
      </c>
      <c r="Z156" t="str">
        <v>6.03</v>
      </c>
      <c r="AA156" t="str">
        <v>1.72</v>
      </c>
      <c r="AB156" t="str">
        <v>東鹼</v>
      </c>
      <c r="AC156" t="str">
        <v>上市化工</v>
      </c>
      <c r="AD156" t="str">
        <v>台灣主要肥料及純鹼大廠</v>
      </c>
      <c r="AE156" t="str">
        <f t="array" ref="AE156:AH156">[1]!'1708.TW-CName,InvestorConferenceDate,DateofMeetingofShareHolders,TradingDate'</f>
        <v>東鹼</v>
      </c>
      <c r="AF156" t="str">
        <v>2022/11/23</v>
      </c>
      <c r="AG156" t="str">
        <v>2022/05/20</v>
      </c>
      <c r="AH156" t="str">
        <v>2022/12/22</v>
      </c>
    </row>
    <row r="157" spans="1:34" x14ac:dyDescent="0.3">
      <c r="A157" t="str">
        <f t="array" ref="A157:J157">[1]!'1709.TW-ID,Name,MarketValue,Capital,NetIncomeGrowthRate,OperIncomeGrowthRate,FinancialStatementsTime,TFXRatio,MonthlyNetSalesYoY,RevenueMonth'</f>
        <v>1709</v>
      </c>
      <c r="B157" t="str">
        <v>和益</v>
      </c>
      <c r="C157" t="str">
        <v>107.1</v>
      </c>
      <c r="D157" t="str">
        <v>47.70</v>
      </c>
      <c r="E157" t="str">
        <v>15.00</v>
      </c>
      <c r="F157" t="str">
        <v>-6.09</v>
      </c>
      <c r="G157" t="str">
        <v>2022/09</v>
      </c>
      <c r="H157" t="str">
        <v>-31.05</v>
      </c>
      <c r="I157" t="str">
        <v>-2.73</v>
      </c>
      <c r="J157" t="str">
        <v>2022/11</v>
      </c>
      <c r="K157" t="str">
        <f t="array" ref="K157:T157">[1]!'1709.TW-OperatingProfitRatio,Price,PriceChangeRatio,InOutRatioNumber,Value,YearReturn,MonthReturn,WeekReturn,FinanceBalanceDif,ChipsField2'</f>
        <v>11.45</v>
      </c>
      <c r="L157">
        <v>22.45</v>
      </c>
      <c r="M157">
        <v>1.1299999999999999</v>
      </c>
      <c r="N157" t="str">
        <v>56.57%</v>
      </c>
      <c r="O157" t="str">
        <v>1159萬</v>
      </c>
      <c r="P157" t="str">
        <v>+5.79</v>
      </c>
      <c r="Q157" t="str">
        <v>-0.44</v>
      </c>
      <c r="R157" t="str">
        <v>-2.18</v>
      </c>
      <c r="S157">
        <v>-20</v>
      </c>
      <c r="T157">
        <v>0</v>
      </c>
      <c r="U157">
        <f t="array" ref="U157:AD157">[1]!'1709.TW-ChipsField3,ChipsField1,ChipsField25,CashAndStockDividend,CashDividendYieldRate,ProfitFourSeason,ProfitSingle,CName,ExchangeIndustry,CompanyPos'</f>
        <v>-3</v>
      </c>
      <c r="V157">
        <v>51</v>
      </c>
      <c r="W157" t="str">
        <v>2022/08/24</v>
      </c>
      <c r="X157" t="str">
        <v>1.70</v>
      </c>
      <c r="Y157">
        <v>7.57</v>
      </c>
      <c r="Z157" t="str">
        <v>2.25</v>
      </c>
      <c r="AA157" t="str">
        <v>0.54</v>
      </c>
      <c r="AB157" t="str">
        <v>和益</v>
      </c>
      <c r="AC157" t="str">
        <v>上市化工</v>
      </c>
      <c r="AD157" t="str">
        <v>台灣烷化品大廠、且為唯一氫化石油樹脂商</v>
      </c>
      <c r="AE157" t="str">
        <f t="array" ref="AE157:AH157">[1]!'1709.TW-CName,InvestorConferenceDate,DateofMeetingofShareHolders,TradingDate'</f>
        <v>和益</v>
      </c>
      <c r="AF157" t="str">
        <v>2022/12/15</v>
      </c>
      <c r="AG157" t="str">
        <v>2022/06/17</v>
      </c>
      <c r="AH157" t="str">
        <v>2022/12/22</v>
      </c>
    </row>
    <row r="158" spans="1:34" x14ac:dyDescent="0.3">
      <c r="A158" t="str">
        <f t="array" ref="A158:J158">[1]!'1710.TW-ID,Name,MarketValue,Capital,NetIncomeGrowthRate,OperIncomeGrowthRate,FinancialStatementsTime,TFXRatio,MonthlyNetSalesYoY,RevenueMonth'</f>
        <v>1710</v>
      </c>
      <c r="B158" t="str">
        <v>東聯</v>
      </c>
      <c r="C158" t="str">
        <v>162.1</v>
      </c>
      <c r="D158" t="str">
        <v>88.57</v>
      </c>
      <c r="E158" t="str">
        <v>-198.72</v>
      </c>
      <c r="F158" t="str">
        <v>-172.22</v>
      </c>
      <c r="G158" t="str">
        <v>2022/09</v>
      </c>
      <c r="H158" t="str">
        <v>-0.13</v>
      </c>
      <c r="I158" t="str">
        <v>-15.50</v>
      </c>
      <c r="J158" t="str">
        <v>2022/11</v>
      </c>
      <c r="K158" t="str">
        <f t="array" ref="K158:T158">[1]!'1710.TW-OperatingProfitRatio,Price,PriceChangeRatio,InOutRatioNumber,Value,YearReturn,MonthReturn,WeekReturn,FinanceBalanceDif,ChipsField2'</f>
        <v>-5.22</v>
      </c>
      <c r="L158">
        <v>18.3</v>
      </c>
      <c r="M158">
        <v>1.39</v>
      </c>
      <c r="N158" t="str">
        <v>44.53%</v>
      </c>
      <c r="O158" t="str">
        <v>942萬</v>
      </c>
      <c r="P158" t="str">
        <v>-12.19</v>
      </c>
      <c r="Q158" t="str">
        <v>+3.68</v>
      </c>
      <c r="R158" t="str">
        <v>-3.43</v>
      </c>
      <c r="S158">
        <v>34</v>
      </c>
      <c r="T158">
        <v>0</v>
      </c>
      <c r="U158">
        <f t="array" ref="U158:AD158">[1]!'1710.TW-ChipsField3,ChipsField1,ChipsField25,CashAndStockDividend,CashDividendYieldRate,ProfitFourSeason,ProfitSingle,CName,ExchangeIndustry,CompanyPos'</f>
        <v>-60</v>
      </c>
      <c r="V158">
        <v>31</v>
      </c>
      <c r="W158" t="str">
        <v>2022/07/01</v>
      </c>
      <c r="X158" t="str">
        <v>0.70</v>
      </c>
      <c r="Y158">
        <v>3.83</v>
      </c>
      <c r="Z158" t="str">
        <v>-0.52</v>
      </c>
      <c r="AA158" t="str">
        <v>-0.29</v>
      </c>
      <c r="AB158" t="str">
        <v>東聯</v>
      </c>
      <c r="AC158" t="str">
        <v>上市化工</v>
      </c>
      <c r="AD158" t="str">
        <v>遠東集團旗下EG大廠</v>
      </c>
      <c r="AE158" t="str">
        <f t="array" ref="AE158:AH158">[1]!'1710.TW-CName,InvestorConferenceDate,DateofMeetingofShareHolders,TradingDate'</f>
        <v>東聯</v>
      </c>
      <c r="AF158" t="str">
        <v>2022/09/16</v>
      </c>
      <c r="AG158" t="str">
        <v>2022/06/09</v>
      </c>
      <c r="AH158" t="str">
        <v>2022/12/22</v>
      </c>
    </row>
    <row r="159" spans="1:34" x14ac:dyDescent="0.3">
      <c r="A159" t="str">
        <f t="array" ref="A159:J159">[1]!'1711.TW-ID,Name,MarketValue,Capital,NetIncomeGrowthRate,OperIncomeGrowthRate,FinancialStatementsTime,TFXRatio,MonthlyNetSalesYoY,RevenueMonth'</f>
        <v>1711</v>
      </c>
      <c r="B159" t="str">
        <v>永光</v>
      </c>
      <c r="C159" t="str">
        <v>101.9</v>
      </c>
      <c r="D159" t="str">
        <v>54.78</v>
      </c>
      <c r="E159" t="str">
        <v>-15.23</v>
      </c>
      <c r="F159" t="str">
        <v>-33.45</v>
      </c>
      <c r="G159" t="str">
        <v>2022/09</v>
      </c>
      <c r="H159" t="str">
        <v>7.00</v>
      </c>
      <c r="I159" t="str">
        <v>-18.66</v>
      </c>
      <c r="J159" t="str">
        <v>2022/11</v>
      </c>
      <c r="K159" t="str">
        <f t="array" ref="K159:T159">[1]!'1711.TW-OperatingProfitRatio,Price,PriceChangeRatio,InOutRatioNumber,Value,YearReturn,MonthReturn,WeekReturn,FinanceBalanceDif,ChipsField2'</f>
        <v>4.62</v>
      </c>
      <c r="L159">
        <v>18.600000000000001</v>
      </c>
      <c r="M159">
        <v>1.0900000000000001</v>
      </c>
      <c r="N159" t="str">
        <v>57.01%</v>
      </c>
      <c r="O159" t="str">
        <v>2029萬</v>
      </c>
      <c r="P159" t="str">
        <v>-29.41</v>
      </c>
      <c r="Q159" t="str">
        <v>+4.20</v>
      </c>
      <c r="R159" t="str">
        <v>-6.77</v>
      </c>
      <c r="S159">
        <v>46</v>
      </c>
      <c r="T159">
        <v>0</v>
      </c>
      <c r="U159">
        <f t="array" ref="U159:AD159">[1]!'1711.TW-ChipsField3,ChipsField1,ChipsField25,CashAndStockDividend,CashDividendYieldRate,ProfitFourSeason,ProfitSingle,CName,ExchangeIndustry,CompanyPos'</f>
        <v>-1</v>
      </c>
      <c r="V159">
        <v>-207</v>
      </c>
      <c r="W159" t="str">
        <v>--</v>
      </c>
      <c r="X159" t="str">
        <v>--</v>
      </c>
      <c r="Y159">
        <v>0</v>
      </c>
      <c r="Z159" t="str">
        <v>0.73</v>
      </c>
      <c r="AA159" t="str">
        <v>0.15</v>
      </c>
      <c r="AB159" t="str">
        <v>永光</v>
      </c>
      <c r="AC159" t="str">
        <v>上市化工</v>
      </c>
      <c r="AD159" t="str">
        <v>全球前五大、亞洲最大染料廠</v>
      </c>
      <c r="AE159" t="str">
        <f t="array" ref="AE159:AH159">[1]!'1711.TW-CName,InvestorConferenceDate,DateofMeetingofShareHolders,TradingDate'</f>
        <v>永光</v>
      </c>
      <c r="AF159" t="str">
        <v>2022/08/26</v>
      </c>
      <c r="AG159" t="str">
        <v>2023/05/25</v>
      </c>
      <c r="AH159" t="str">
        <v>2022/12/22</v>
      </c>
    </row>
    <row r="160" spans="1:34" x14ac:dyDescent="0.3">
      <c r="A160" t="str">
        <f t="array" ref="A160:J160">[1]!'1712.TW-ID,Name,MarketValue,Capital,NetIncomeGrowthRate,OperIncomeGrowthRate,FinancialStatementsTime,TFXRatio,MonthlyNetSalesYoY,RevenueMonth'</f>
        <v>1712</v>
      </c>
      <c r="B160" t="str">
        <v>興農</v>
      </c>
      <c r="C160" t="str">
        <v>155.2</v>
      </c>
      <c r="D160" t="str">
        <v>42.05</v>
      </c>
      <c r="E160" t="str">
        <v>92.56</v>
      </c>
      <c r="F160" t="str">
        <v>67.92</v>
      </c>
      <c r="G160" t="str">
        <v>2022/09</v>
      </c>
      <c r="H160" t="str">
        <v>-27.15</v>
      </c>
      <c r="I160" t="str">
        <v>2.85</v>
      </c>
      <c r="J160" t="str">
        <v>2022/11</v>
      </c>
      <c r="K160" t="str">
        <f t="array" ref="K160:T160">[1]!'1712.TW-OperatingProfitRatio,Price,PriceChangeRatio,InOutRatioNumber,Value,YearReturn,MonthReturn,WeekReturn,FinanceBalanceDif,ChipsField2'</f>
        <v>8.77</v>
      </c>
      <c r="L160">
        <v>36.9</v>
      </c>
      <c r="M160">
        <v>1.23</v>
      </c>
      <c r="N160" t="str">
        <v>40.16%</v>
      </c>
      <c r="O160" t="str">
        <v>2499萬</v>
      </c>
      <c r="P160" t="str">
        <v>+43.67</v>
      </c>
      <c r="Q160" t="str">
        <v>-1.99</v>
      </c>
      <c r="R160" t="str">
        <v>-1.20</v>
      </c>
      <c r="S160">
        <v>-16</v>
      </c>
      <c r="T160">
        <v>0</v>
      </c>
      <c r="U160">
        <f t="array" ref="U160:AD160">[1]!'1712.TW-ChipsField3,ChipsField1,ChipsField25,CashAndStockDividend,CashDividendYieldRate,ProfitFourSeason,ProfitSingle,CName,ExchangeIndustry,CompanyPos'</f>
        <v>-23</v>
      </c>
      <c r="V160">
        <v>185</v>
      </c>
      <c r="W160" t="str">
        <v>2022/04/07</v>
      </c>
      <c r="X160" t="str">
        <v>1.80</v>
      </c>
      <c r="Y160">
        <v>4.88</v>
      </c>
      <c r="Z160" t="str">
        <v>3.83</v>
      </c>
      <c r="AA160" t="str">
        <v>1.26</v>
      </c>
      <c r="AB160" t="str">
        <v>興農</v>
      </c>
      <c r="AC160" t="str">
        <v>上市化工</v>
      </c>
      <c r="AD160" t="str">
        <v>台灣農藥第一大廠,在中部經營連鎖超市</v>
      </c>
      <c r="AE160" t="str">
        <f t="array" ref="AE160:AH160">[1]!'1712.TW-CName,InvestorConferenceDate,DateofMeetingofShareHolders,TradingDate'</f>
        <v>興農</v>
      </c>
      <c r="AF160" t="str">
        <v>2022/11/24</v>
      </c>
      <c r="AG160" t="str">
        <v>2022/06/24</v>
      </c>
      <c r="AH160" t="str">
        <v>2022/12/22</v>
      </c>
    </row>
    <row r="161" spans="1:34" x14ac:dyDescent="0.3">
      <c r="A161" t="str">
        <f t="array" ref="A161:J161">[1]!'1713.TW-ID,Name,MarketValue,Capital,NetIncomeGrowthRate,OperIncomeGrowthRate,FinancialStatementsTime,TFXRatio,MonthlyNetSalesYoY,RevenueMonth'</f>
        <v>1713</v>
      </c>
      <c r="B161" t="str">
        <v>國化</v>
      </c>
      <c r="C161" t="str">
        <v>37.7</v>
      </c>
      <c r="D161" t="str">
        <v>15.10</v>
      </c>
      <c r="E161" t="str">
        <v>76.11</v>
      </c>
      <c r="F161" t="str">
        <v>-45.87</v>
      </c>
      <c r="G161" t="str">
        <v>2022/09</v>
      </c>
      <c r="H161" t="str">
        <v>13.15</v>
      </c>
      <c r="I161" t="str">
        <v>-45.81</v>
      </c>
      <c r="J161" t="str">
        <v>2022/11</v>
      </c>
      <c r="K161" t="str">
        <f t="array" ref="K161:T161">[1]!'1713.TW-OperatingProfitRatio,Price,PriceChangeRatio,InOutRatioNumber,Value,YearReturn,MonthReturn,WeekReturn,FinanceBalanceDif,ChipsField2'</f>
        <v>1.89</v>
      </c>
      <c r="L161">
        <v>24.95</v>
      </c>
      <c r="M161">
        <v>-0.6</v>
      </c>
      <c r="N161" t="str">
        <v>61.54%</v>
      </c>
      <c r="O161" t="str">
        <v>97.8萬</v>
      </c>
      <c r="P161" t="str">
        <v>+6.62</v>
      </c>
      <c r="Q161" t="str">
        <v>+3.96</v>
      </c>
      <c r="R161" t="str">
        <v>-1.19</v>
      </c>
      <c r="S161">
        <v>-2</v>
      </c>
      <c r="T161">
        <v>0</v>
      </c>
      <c r="U161">
        <f t="array" ref="U161:AD161">[1]!'1713.TW-ChipsField3,ChipsField1,ChipsField25,CashAndStockDividend,CashDividendYieldRate,ProfitFourSeason,ProfitSingle,CName,ExchangeIndustry,CompanyPos'</f>
        <v>0</v>
      </c>
      <c r="V161">
        <v>0</v>
      </c>
      <c r="W161" t="str">
        <v>2022/08/04</v>
      </c>
      <c r="X161" t="str">
        <v>0.85</v>
      </c>
      <c r="Y161">
        <v>3.41</v>
      </c>
      <c r="Z161" t="str">
        <v>1.64</v>
      </c>
      <c r="AA161" t="str">
        <v>0.77</v>
      </c>
      <c r="AB161" t="str">
        <v>國化</v>
      </c>
      <c r="AC161" t="str">
        <v>上市化工</v>
      </c>
      <c r="AD161" t="str">
        <v>保險粉生產商，在高雄擁有資產土地</v>
      </c>
      <c r="AE161" t="str">
        <f t="array" ref="AE161:AH161">[1]!'1713.TW-CName,InvestorConferenceDate,DateofMeetingofShareHolders,TradingDate'</f>
        <v>國化</v>
      </c>
      <c r="AF161" t="str">
        <v>2022/04/01</v>
      </c>
      <c r="AG161" t="str">
        <v>2022/05/31</v>
      </c>
      <c r="AH161" t="str">
        <v>2022/12/22</v>
      </c>
    </row>
    <row r="162" spans="1:34" x14ac:dyDescent="0.3">
      <c r="A162" t="str">
        <f t="array" ref="A162:J162">[1]!'1714.TW-ID,Name,MarketValue,Capital,NetIncomeGrowthRate,OperIncomeGrowthRate,FinancialStatementsTime,TFXRatio,MonthlyNetSalesYoY,RevenueMonth'</f>
        <v>1714</v>
      </c>
      <c r="B162" t="str">
        <v>和桐</v>
      </c>
      <c r="C162" t="str">
        <v>88.6</v>
      </c>
      <c r="D162" t="str">
        <v>101.68</v>
      </c>
      <c r="E162" t="str">
        <v>-59.57</v>
      </c>
      <c r="F162" t="str">
        <v>-61.44</v>
      </c>
      <c r="G162" t="str">
        <v>2022/09</v>
      </c>
      <c r="H162" t="str">
        <v>2.11</v>
      </c>
      <c r="I162" t="str">
        <v>13.10</v>
      </c>
      <c r="J162" t="str">
        <v>2022/11</v>
      </c>
      <c r="K162" t="str">
        <f t="array" ref="K162:T162">[1]!'1714.TW-OperatingProfitRatio,Price,PriceChangeRatio,InOutRatioNumber,Value,YearReturn,MonthReturn,WeekReturn,FinanceBalanceDif,ChipsField2'</f>
        <v>3.60</v>
      </c>
      <c r="L162">
        <v>8.7100000000000009</v>
      </c>
      <c r="M162">
        <v>1.04</v>
      </c>
      <c r="N162" t="str">
        <v>42.42%</v>
      </c>
      <c r="O162" t="str">
        <v>432萬</v>
      </c>
      <c r="P162" t="str">
        <v>-15.93</v>
      </c>
      <c r="Q162" t="str">
        <v>+5.19</v>
      </c>
      <c r="R162" t="str">
        <v>-0.23</v>
      </c>
      <c r="S162">
        <v>-168</v>
      </c>
      <c r="T162">
        <v>0</v>
      </c>
      <c r="U162">
        <f t="array" ref="U162:AD162">[1]!'1714.TW-ChipsField3,ChipsField1,ChipsField25,CashAndStockDividend,CashDividendYieldRate,ProfitFourSeason,ProfitSingle,CName,ExchangeIndustry,CompanyPos'</f>
        <v>-16</v>
      </c>
      <c r="V162">
        <v>-31</v>
      </c>
      <c r="W162" t="str">
        <v>2022/08/04</v>
      </c>
      <c r="X162" t="str">
        <v>0.42</v>
      </c>
      <c r="Y162">
        <v>4.82</v>
      </c>
      <c r="Z162" t="str">
        <v>0.35</v>
      </c>
      <c r="AA162" t="str">
        <v>0.11</v>
      </c>
      <c r="AB162" t="str">
        <v>和桐</v>
      </c>
      <c r="AC162" t="str">
        <v>上市化工</v>
      </c>
      <c r="AD162" t="str">
        <v>亞洲最大正烷屬烴供應商</v>
      </c>
      <c r="AE162" t="str">
        <f t="array" ref="AE162:AH162">[1]!'1714.TW-CName,InvestorConferenceDate,DateofMeetingofShareHolders,TradingDate'</f>
        <v>和桐</v>
      </c>
      <c r="AF162" t="str">
        <v>2022/11/28</v>
      </c>
      <c r="AG162" t="str">
        <v>2022/06/23</v>
      </c>
      <c r="AH162" t="str">
        <v>2022/12/22</v>
      </c>
    </row>
    <row r="163" spans="1:34" x14ac:dyDescent="0.3">
      <c r="A163" t="str">
        <f t="array" ref="A163:J163">[1]!'1717.TW-ID,Name,MarketValue,Capital,NetIncomeGrowthRate,OperIncomeGrowthRate,FinancialStatementsTime,TFXRatio,MonthlyNetSalesYoY,RevenueMonth'</f>
        <v>1717</v>
      </c>
      <c r="B163" t="str">
        <v>長興</v>
      </c>
      <c r="C163" t="str">
        <v>375.9</v>
      </c>
      <c r="D163" t="str">
        <v>117.83</v>
      </c>
      <c r="E163" t="str">
        <v>-21.03</v>
      </c>
      <c r="F163" t="str">
        <v>-19.90</v>
      </c>
      <c r="G163" t="str">
        <v>2022/09</v>
      </c>
      <c r="H163" t="str">
        <v>-0.86</v>
      </c>
      <c r="I163" t="str">
        <v>-7.78</v>
      </c>
      <c r="J163" t="str">
        <v>2022/11</v>
      </c>
      <c r="K163" t="str">
        <f t="array" ref="K163:T163">[1]!'1717.TW-OperatingProfitRatio,Price,PriceChangeRatio,InOutRatioNumber,Value,YearReturn,MonthReturn,WeekReturn,FinanceBalanceDif,ChipsField2'</f>
        <v>7.18</v>
      </c>
      <c r="L163">
        <v>31.9</v>
      </c>
      <c r="M163">
        <v>1.92</v>
      </c>
      <c r="N163" t="str">
        <v>43.76%</v>
      </c>
      <c r="O163" t="str">
        <v>1.15億</v>
      </c>
      <c r="P163" t="str">
        <v>-12.20</v>
      </c>
      <c r="Q163" t="str">
        <v>0.00</v>
      </c>
      <c r="R163" t="str">
        <v>+0.79</v>
      </c>
      <c r="S163">
        <v>211</v>
      </c>
      <c r="T163">
        <v>-1607</v>
      </c>
      <c r="U163">
        <f t="array" ref="U163:AD163">[1]!'1717.TW-ChipsField3,ChipsField1,ChipsField25,CashAndStockDividend,CashDividendYieldRate,ProfitFourSeason,ProfitSingle,CName,ExchangeIndustry,CompanyPos'</f>
        <v>-34</v>
      </c>
      <c r="V163">
        <v>899</v>
      </c>
      <c r="W163" t="str">
        <v>2022/07/28</v>
      </c>
      <c r="X163" t="str">
        <v>1.50</v>
      </c>
      <c r="Y163">
        <v>4.7</v>
      </c>
      <c r="Z163" t="str">
        <v>2.39</v>
      </c>
      <c r="AA163" t="str">
        <v>0.41</v>
      </c>
      <c r="AB163" t="str">
        <v>長興</v>
      </c>
      <c r="AC163" t="str">
        <v>上市化工</v>
      </c>
      <c r="AD163" t="str">
        <v>全球最大乾膜光阻劑廠商之一、前三大UV光固化樹脂廠</v>
      </c>
      <c r="AE163" t="str">
        <f t="array" ref="AE163:AH163">[1]!'1717.TW-CName,InvestorConferenceDate,DateofMeetingofShareHolders,TradingDate'</f>
        <v>長興</v>
      </c>
      <c r="AF163" t="str">
        <v>2022/11/18</v>
      </c>
      <c r="AG163" t="str">
        <v>2022/06/23</v>
      </c>
      <c r="AH163" t="str">
        <v>2022/12/22</v>
      </c>
    </row>
    <row r="164" spans="1:34" x14ac:dyDescent="0.3">
      <c r="A164" t="str">
        <f t="array" ref="A164:J164">[1]!'1718.TW-ID,Name,MarketValue,Capital,NetIncomeGrowthRate,OperIncomeGrowthRate,FinancialStatementsTime,TFXRatio,MonthlyNetSalesYoY,RevenueMonth'</f>
        <v>1718</v>
      </c>
      <c r="B164" t="str">
        <v>中纖</v>
      </c>
      <c r="C164" t="str">
        <v>141.8</v>
      </c>
      <c r="D164" t="str">
        <v>168.62</v>
      </c>
      <c r="E164" t="str">
        <v>-17.46</v>
      </c>
      <c r="F164" t="str">
        <v>2.08</v>
      </c>
      <c r="G164" t="str">
        <v>2022/09</v>
      </c>
      <c r="H164" t="str">
        <v>7.42</v>
      </c>
      <c r="I164" t="str">
        <v>11.62</v>
      </c>
      <c r="J164" t="str">
        <v>2022/11</v>
      </c>
      <c r="K164" t="str">
        <f t="array" ref="K164:T164">[1]!'1718.TW-OperatingProfitRatio,Price,PriceChangeRatio,InOutRatioNumber,Value,YearReturn,MonthReturn,WeekReturn,FinanceBalanceDif,ChipsField2'</f>
        <v>13.75</v>
      </c>
      <c r="L164">
        <v>8.41</v>
      </c>
      <c r="M164">
        <v>2.94</v>
      </c>
      <c r="N164" t="str">
        <v>64.34%</v>
      </c>
      <c r="O164" t="str">
        <v>2673萬</v>
      </c>
      <c r="P164" t="str">
        <v>-15.39</v>
      </c>
      <c r="Q164" t="str">
        <v>+5.65</v>
      </c>
      <c r="R164" t="str">
        <v>-4.00</v>
      </c>
      <c r="S164">
        <v>-1457</v>
      </c>
      <c r="T164">
        <v>0</v>
      </c>
      <c r="U164">
        <f t="array" ref="U164:AD164">[1]!'1718.TW-ChipsField3,ChipsField1,ChipsField25,CashAndStockDividend,CashDividendYieldRate,ProfitFourSeason,ProfitSingle,CName,ExchangeIndustry,CompanyPos'</f>
        <v>0</v>
      </c>
      <c r="V164">
        <v>369</v>
      </c>
      <c r="W164" t="str">
        <v>--</v>
      </c>
      <c r="X164" t="str">
        <v>0.00</v>
      </c>
      <c r="Y164">
        <v>0</v>
      </c>
      <c r="Z164" t="str">
        <v>-0.61</v>
      </c>
      <c r="AA164" t="str">
        <v>-0.27</v>
      </c>
      <c r="AB164" t="str">
        <v>中纖</v>
      </c>
      <c r="AC164" t="str">
        <v>上市化工</v>
      </c>
      <c r="AD164" t="str">
        <v>台灣化纖及EG重要供應商</v>
      </c>
      <c r="AE164" t="str">
        <f t="array" ref="AE164:AH164">[1]!'1718.TW-CName,InvestorConferenceDate,DateofMeetingofShareHolders,TradingDate'</f>
        <v>中纖</v>
      </c>
      <c r="AF164" t="str">
        <v>2022/06/16</v>
      </c>
      <c r="AG164" t="str">
        <v>2022/06/16</v>
      </c>
      <c r="AH164" t="str">
        <v>2022/12/22</v>
      </c>
    </row>
    <row r="165" spans="1:34" x14ac:dyDescent="0.3">
      <c r="A165" t="str">
        <f t="array" ref="A165:J165">[1]!'1721.TW-ID,Name,MarketValue,Capital,NetIncomeGrowthRate,OperIncomeGrowthRate,FinancialStatementsTime,TFXRatio,MonthlyNetSalesYoY,RevenueMonth'</f>
        <v>1721</v>
      </c>
      <c r="B165" t="str">
        <v>三晃</v>
      </c>
      <c r="C165" t="str">
        <v>28.0</v>
      </c>
      <c r="D165" t="str">
        <v>18.49</v>
      </c>
      <c r="E165" t="str">
        <v>178.12</v>
      </c>
      <c r="F165" t="str">
        <v>128.76</v>
      </c>
      <c r="G165" t="str">
        <v>2022/09</v>
      </c>
      <c r="H165" t="str">
        <v>24.93</v>
      </c>
      <c r="I165" t="str">
        <v>-19.60</v>
      </c>
      <c r="J165" t="str">
        <v>2022/11</v>
      </c>
      <c r="K165" t="str">
        <f t="array" ref="K165:T165">[1]!'1721.TW-OperatingProfitRatio,Price,PriceChangeRatio,InOutRatioNumber,Value,YearReturn,MonthReturn,WeekReturn,FinanceBalanceDif,ChipsField2'</f>
        <v>1.76</v>
      </c>
      <c r="L165">
        <v>15.15</v>
      </c>
      <c r="M165">
        <v>1.34</v>
      </c>
      <c r="N165" t="str">
        <v>44.34%</v>
      </c>
      <c r="O165" t="str">
        <v>815萬</v>
      </c>
      <c r="P165" t="str">
        <v>-44.61</v>
      </c>
      <c r="Q165" t="str">
        <v>+8.21</v>
      </c>
      <c r="R165" t="str">
        <v>-3.81</v>
      </c>
      <c r="S165">
        <v>3</v>
      </c>
      <c r="T165">
        <v>0</v>
      </c>
      <c r="U165">
        <f t="array" ref="U165:AD165">[1]!'1721.TW-ChipsField3,ChipsField1,ChipsField25,CashAndStockDividend,CashDividendYieldRate,ProfitFourSeason,ProfitSingle,CName,ExchangeIndustry,CompanyPos'</f>
        <v>-1</v>
      </c>
      <c r="V165">
        <v>153</v>
      </c>
      <c r="W165" t="str">
        <v>--</v>
      </c>
      <c r="X165" t="str">
        <v>0.00</v>
      </c>
      <c r="Y165">
        <v>0</v>
      </c>
      <c r="Z165" t="str">
        <v>0.67</v>
      </c>
      <c r="AA165" t="str">
        <v>0.04</v>
      </c>
      <c r="AB165" t="str">
        <v>三晃</v>
      </c>
      <c r="AC165" t="str">
        <v>上市化工</v>
      </c>
      <c r="AD165" t="str">
        <v>油墨、表面處理劑、PU樹脂生產企業</v>
      </c>
      <c r="AE165" t="str">
        <f t="array" ref="AE165:AH165">[1]!'1721.TW-CName,InvestorConferenceDate,DateofMeetingofShareHolders,TradingDate'</f>
        <v>三晃</v>
      </c>
      <c r="AF165" t="str">
        <v>2022/09/08</v>
      </c>
      <c r="AG165" t="str">
        <v>2022/06/15</v>
      </c>
      <c r="AH165" t="str">
        <v>2022/12/22</v>
      </c>
    </row>
    <row r="166" spans="1:34" x14ac:dyDescent="0.3">
      <c r="A166" t="str">
        <f t="array" ref="A166:J166">[1]!'1722.TW-ID,Name,MarketValue,Capital,NetIncomeGrowthRate,OperIncomeGrowthRate,FinancialStatementsTime,TFXRatio,MonthlyNetSalesYoY,RevenueMonth'</f>
        <v>1722</v>
      </c>
      <c r="B166" t="str">
        <v>台肥</v>
      </c>
      <c r="C166" t="str">
        <v>523.3</v>
      </c>
      <c r="D166" t="str">
        <v>98.00</v>
      </c>
      <c r="E166" t="str">
        <v>-5.11</v>
      </c>
      <c r="F166" t="str">
        <v>-187.28</v>
      </c>
      <c r="G166" t="str">
        <v>2022/09</v>
      </c>
      <c r="H166" t="str">
        <v>9.72</v>
      </c>
      <c r="I166" t="str">
        <v>-34.04</v>
      </c>
      <c r="J166" t="str">
        <v>2022/11</v>
      </c>
      <c r="K166" t="str">
        <f t="array" ref="K166:T166">[1]!'1722.TW-OperatingProfitRatio,Price,PriceChangeRatio,InOutRatioNumber,Value,YearReturn,MonthReturn,WeekReturn,FinanceBalanceDif,ChipsField2'</f>
        <v>-5.68</v>
      </c>
      <c r="L166">
        <v>53.4</v>
      </c>
      <c r="M166">
        <v>0.38</v>
      </c>
      <c r="N166" t="str">
        <v>41.56%</v>
      </c>
      <c r="O166" t="str">
        <v>6401萬</v>
      </c>
      <c r="P166" t="str">
        <v>-20.33</v>
      </c>
      <c r="Q166" t="str">
        <v>-3.09</v>
      </c>
      <c r="R166" t="str">
        <v>-1.48</v>
      </c>
      <c r="S166">
        <v>27</v>
      </c>
      <c r="T166">
        <v>3</v>
      </c>
      <c r="U166">
        <f t="array" ref="U166:AD166">[1]!'1722.TW-ChipsField3,ChipsField1,ChipsField25,CashAndStockDividend,CashDividendYieldRate,ProfitFourSeason,ProfitSingle,CName,ExchangeIndustry,CompanyPos'</f>
        <v>-37</v>
      </c>
      <c r="V166">
        <v>-351</v>
      </c>
      <c r="W166" t="str">
        <v>2022/08/26</v>
      </c>
      <c r="X166" t="str">
        <v>2.80</v>
      </c>
      <c r="Y166">
        <v>5.24</v>
      </c>
      <c r="Z166" t="str">
        <v>2.98</v>
      </c>
      <c r="AA166" t="str">
        <v>0.64</v>
      </c>
      <c r="AB166" t="str">
        <v>台肥</v>
      </c>
      <c r="AC166" t="str">
        <v>上市化工</v>
      </c>
      <c r="AD166" t="str">
        <v>台灣最大肥料及化學廠商</v>
      </c>
      <c r="AE166" t="str">
        <f t="array" ref="AE166:AH166">[1]!'1722.TW-CName,InvestorConferenceDate,DateofMeetingofShareHolders,TradingDate'</f>
        <v>台肥</v>
      </c>
      <c r="AF166" t="str">
        <v>2022/11/29</v>
      </c>
      <c r="AG166" t="str">
        <v>2022/06/29</v>
      </c>
      <c r="AH166" t="str">
        <v>2022/12/22</v>
      </c>
    </row>
    <row r="167" spans="1:34" x14ac:dyDescent="0.3">
      <c r="A167" t="str">
        <f t="array" ref="A167:J167">[1]!'1723.TW-ID,Name,MarketValue,Capital,NetIncomeGrowthRate,OperIncomeGrowthRate,FinancialStatementsTime,TFXRatio,MonthlyNetSalesYoY,RevenueMonth'</f>
        <v>1723</v>
      </c>
      <c r="B167" t="str">
        <v>中碳</v>
      </c>
      <c r="C167" t="str">
        <v>251.1</v>
      </c>
      <c r="D167" t="str">
        <v>23.69</v>
      </c>
      <c r="E167" t="str">
        <v>58.34</v>
      </c>
      <c r="F167" t="str">
        <v>50.18</v>
      </c>
      <c r="G167" t="str">
        <v>2022/09</v>
      </c>
      <c r="H167" t="str">
        <v>-46.01</v>
      </c>
      <c r="I167" t="str">
        <v>-25.84</v>
      </c>
      <c r="J167" t="str">
        <v>2022/11</v>
      </c>
      <c r="K167" t="str">
        <f t="array" ref="K167:T167">[1]!'1723.TW-OperatingProfitRatio,Price,PriceChangeRatio,InOutRatioNumber,Value,YearReturn,MonthReturn,WeekReturn,FinanceBalanceDif,ChipsField2'</f>
        <v>17.01</v>
      </c>
      <c r="L167">
        <v>106</v>
      </c>
      <c r="M167">
        <v>0.47</v>
      </c>
      <c r="N167" t="str">
        <v>71.92%</v>
      </c>
      <c r="O167" t="str">
        <v>2760萬</v>
      </c>
      <c r="P167" t="str">
        <v>-5.36</v>
      </c>
      <c r="Q167" t="str">
        <v>-0.93</v>
      </c>
      <c r="R167" t="str">
        <v>0.00</v>
      </c>
      <c r="S167">
        <v>6</v>
      </c>
      <c r="T167">
        <v>0</v>
      </c>
      <c r="U167">
        <f t="array" ref="U167:AD167">[1]!'1723.TW-ChipsField3,ChipsField1,ChipsField25,CashAndStockDividend,CashDividendYieldRate,ProfitFourSeason,ProfitSingle,CName,ExchangeIndustry,CompanyPos'</f>
        <v>-12</v>
      </c>
      <c r="V167">
        <v>-2</v>
      </c>
      <c r="W167" t="str">
        <v>2022/07/05</v>
      </c>
      <c r="X167" t="str">
        <v>4.00</v>
      </c>
      <c r="Y167">
        <v>3.77</v>
      </c>
      <c r="Z167" t="str">
        <v>6.87</v>
      </c>
      <c r="AA167" t="str">
        <v>1.93</v>
      </c>
      <c r="AB167" t="str">
        <v>中碳</v>
      </c>
      <c r="AC167" t="str">
        <v>上市化工</v>
      </c>
      <c r="AD167" t="str">
        <v>中鋼集團旗下，台灣唯一煤化工製造商</v>
      </c>
      <c r="AE167" t="str">
        <f t="array" ref="AE167:AH167">[1]!'1723.TW-CName,InvestorConferenceDate,DateofMeetingofShareHolders,TradingDate'</f>
        <v>中碳</v>
      </c>
      <c r="AF167" t="str">
        <v>2022/12/21</v>
      </c>
      <c r="AG167" t="str">
        <v>2022/06/15</v>
      </c>
      <c r="AH167" t="str">
        <v>2022/12/22</v>
      </c>
    </row>
    <row r="168" spans="1:34" x14ac:dyDescent="0.3">
      <c r="A168" t="str">
        <f t="array" ref="A168:J168">[1]!'1725.TW-ID,Name,MarketValue,Capital,NetIncomeGrowthRate,OperIncomeGrowthRate,FinancialStatementsTime,TFXRatio,MonthlyNetSalesYoY,RevenueMonth'</f>
        <v>1725</v>
      </c>
      <c r="B168" t="str">
        <v>元禎</v>
      </c>
      <c r="C168" t="str">
        <v>36.9</v>
      </c>
      <c r="D168" t="str">
        <v>18.18</v>
      </c>
      <c r="E168" t="str">
        <v>-1.94</v>
      </c>
      <c r="F168" t="str">
        <v>-16.99</v>
      </c>
      <c r="G168" t="str">
        <v>2022/09</v>
      </c>
      <c r="H168" t="str">
        <v>4.36</v>
      </c>
      <c r="I168" t="str">
        <v>-31.08</v>
      </c>
      <c r="J168" t="str">
        <v>2022/11</v>
      </c>
      <c r="K168" t="str">
        <f t="array" ref="K168:T168">[1]!'1725.TW-OperatingProfitRatio,Price,PriceChangeRatio,InOutRatioNumber,Value,YearReturn,MonthReturn,WeekReturn,FinanceBalanceDif,ChipsField2'</f>
        <v>2.14</v>
      </c>
      <c r="L168">
        <v>20.3</v>
      </c>
      <c r="M168">
        <v>1</v>
      </c>
      <c r="N168" t="str">
        <v>42.86%</v>
      </c>
      <c r="O168" t="str">
        <v>28.4萬</v>
      </c>
      <c r="P168" t="str">
        <v>-39.66</v>
      </c>
      <c r="Q168" t="str">
        <v>+3.84</v>
      </c>
      <c r="R168" t="str">
        <v>-3.33</v>
      </c>
      <c r="S168">
        <v>-3</v>
      </c>
      <c r="T168">
        <v>0</v>
      </c>
      <c r="U168">
        <f t="array" ref="U168:AD168">[1]!'1725.TW-ChipsField3,ChipsField1,ChipsField25,CashAndStockDividend,CashDividendYieldRate,ProfitFourSeason,ProfitSingle,CName,ExchangeIndustry,CompanyPos'</f>
        <v>0</v>
      </c>
      <c r="V168">
        <v>4</v>
      </c>
      <c r="W168" t="str">
        <v>2022/07/25</v>
      </c>
      <c r="X168" t="str">
        <v>1.23</v>
      </c>
      <c r="Y168">
        <v>6.06</v>
      </c>
      <c r="Z168" t="str">
        <v>1.73</v>
      </c>
      <c r="AA168" t="str">
        <v>0.99</v>
      </c>
      <c r="AB168" t="str">
        <v>元禎</v>
      </c>
      <c r="AC168" t="str">
        <v>上市化工</v>
      </c>
      <c r="AD168" t="str">
        <v>石化原料之專業代理商</v>
      </c>
      <c r="AE168" t="str">
        <f t="array" ref="AE168:AH168">[1]!'1725.TW-CName,InvestorConferenceDate,DateofMeetingofShareHolders,TradingDate'</f>
        <v>元禎</v>
      </c>
      <c r="AF168" t="str">
        <v>2022/09/21</v>
      </c>
      <c r="AG168" t="str">
        <v>2022/06/09</v>
      </c>
      <c r="AH168" t="str">
        <v>2022/12/22</v>
      </c>
    </row>
    <row r="169" spans="1:34" x14ac:dyDescent="0.3">
      <c r="A169" t="str">
        <f t="array" ref="A169:J169">[1]!'1726.TW-ID,Name,MarketValue,Capital,NetIncomeGrowthRate,OperIncomeGrowthRate,FinancialStatementsTime,TFXRatio,MonthlyNetSalesYoY,RevenueMonth'</f>
        <v>1726</v>
      </c>
      <c r="B169" t="str">
        <v>永記</v>
      </c>
      <c r="C169" t="str">
        <v>114.4</v>
      </c>
      <c r="D169" t="str">
        <v>16.20</v>
      </c>
      <c r="E169" t="str">
        <v>-15.94</v>
      </c>
      <c r="F169" t="str">
        <v>-27.62</v>
      </c>
      <c r="G169" t="str">
        <v>2022/09</v>
      </c>
      <c r="H169" t="str">
        <v>9.04</v>
      </c>
      <c r="I169" t="str">
        <v>14.35</v>
      </c>
      <c r="J169" t="str">
        <v>2022/11</v>
      </c>
      <c r="K169" t="str">
        <f t="array" ref="K169:T169">[1]!'1726.TW-OperatingProfitRatio,Price,PriceChangeRatio,InOutRatioNumber,Value,YearReturn,MonthReturn,WeekReturn,FinanceBalanceDif,ChipsField2'</f>
        <v>8.34</v>
      </c>
      <c r="L169">
        <v>70.599999999999994</v>
      </c>
      <c r="M169">
        <v>-0.28000000000000003</v>
      </c>
      <c r="N169" t="str">
        <v>33.33%</v>
      </c>
      <c r="O169" t="str">
        <v>21.2萬</v>
      </c>
      <c r="P169" t="str">
        <v>+0.70</v>
      </c>
      <c r="Q169" t="str">
        <v>+0.57</v>
      </c>
      <c r="R169" t="str">
        <v>-0.42</v>
      </c>
      <c r="S169">
        <v>0</v>
      </c>
      <c r="T169">
        <v>0</v>
      </c>
      <c r="U169">
        <f t="array" ref="U169:AD169">[1]!'1726.TW-ChipsField3,ChipsField1,ChipsField25,CashAndStockDividend,CashDividendYieldRate,ProfitFourSeason,ProfitSingle,CName,ExchangeIndustry,CompanyPos'</f>
        <v>0</v>
      </c>
      <c r="V169">
        <v>0</v>
      </c>
      <c r="W169" t="str">
        <v>2022/08/24</v>
      </c>
      <c r="X169" t="str">
        <v>3.50</v>
      </c>
      <c r="Y169">
        <v>4.96</v>
      </c>
      <c r="Z169" t="str">
        <v>4.75</v>
      </c>
      <c r="AA169" t="str">
        <v>1.07</v>
      </c>
      <c r="AB169" t="str">
        <v>永記</v>
      </c>
      <c r="AC169" t="str">
        <v>上市化工</v>
      </c>
      <c r="AD169" t="str">
        <v>台灣最大油漆廠，主要生產防火漆</v>
      </c>
      <c r="AE169" t="str">
        <f t="array" ref="AE169:AH169">[1]!'1726.TW-CName,InvestorConferenceDate,DateofMeetingofShareHolders,TradingDate'</f>
        <v>永記</v>
      </c>
      <c r="AF169" t="str">
        <v>2022/12/16</v>
      </c>
      <c r="AG169" t="str">
        <v>2022/06/22</v>
      </c>
      <c r="AH169" t="str">
        <v>2022/12/22</v>
      </c>
    </row>
    <row r="170" spans="1:34" x14ac:dyDescent="0.3">
      <c r="A170" t="str">
        <f t="array" ref="A170:J170">[1]!'1727.TW-ID,Name,MarketValue,Capital,NetIncomeGrowthRate,OperIncomeGrowthRate,FinancialStatementsTime,TFXRatio,MonthlyNetSalesYoY,RevenueMonth'</f>
        <v>1727</v>
      </c>
      <c r="B170" t="str">
        <v>中華化</v>
      </c>
      <c r="C170" t="str">
        <v>27.9</v>
      </c>
      <c r="D170" t="str">
        <v>10.83</v>
      </c>
      <c r="E170" t="str">
        <v>-52.13</v>
      </c>
      <c r="F170" t="str">
        <v>-69.05</v>
      </c>
      <c r="G170" t="str">
        <v>2022/09</v>
      </c>
      <c r="H170" t="str">
        <v>13.99</v>
      </c>
      <c r="I170" t="str">
        <v>8.20</v>
      </c>
      <c r="J170" t="str">
        <v>2022/11</v>
      </c>
      <c r="K170" t="str">
        <f t="array" ref="K170:T170">[1]!'1727.TW-OperatingProfitRatio,Price,PriceChangeRatio,InOutRatioNumber,Value,YearReturn,MonthReturn,WeekReturn,FinanceBalanceDif,ChipsField2'</f>
        <v>1.99</v>
      </c>
      <c r="L170">
        <v>25.8</v>
      </c>
      <c r="M170">
        <v>0.39</v>
      </c>
      <c r="N170" t="str">
        <v>39.01%</v>
      </c>
      <c r="O170" t="str">
        <v>474萬</v>
      </c>
      <c r="P170" t="str">
        <v>-49.00</v>
      </c>
      <c r="Q170" t="str">
        <v>+2.79</v>
      </c>
      <c r="R170" t="str">
        <v>-7.36</v>
      </c>
      <c r="S170">
        <v>10</v>
      </c>
      <c r="T170">
        <v>0</v>
      </c>
      <c r="U170">
        <f t="array" ref="U170:AD170">[1]!'1727.TW-ChipsField3,ChipsField1,ChipsField25,CashAndStockDividend,CashDividendYieldRate,ProfitFourSeason,ProfitSingle,CName,ExchangeIndustry,CompanyPos'</f>
        <v>-7</v>
      </c>
      <c r="V170">
        <v>4</v>
      </c>
      <c r="W170" t="str">
        <v>2022/06/14</v>
      </c>
      <c r="X170" t="str">
        <v>0.52</v>
      </c>
      <c r="Y170">
        <v>2.02</v>
      </c>
      <c r="Z170" t="str">
        <v>1.18</v>
      </c>
      <c r="AA170" t="str">
        <v>-0.09</v>
      </c>
      <c r="AB170" t="str">
        <v>中華化</v>
      </c>
      <c r="AC170" t="str">
        <v>上市化工</v>
      </c>
      <c r="AD170" t="str">
        <v>台灣主要生產硫酸產品之廠商</v>
      </c>
      <c r="AE170" t="str">
        <f t="array" ref="AE170:AH170">[1]!'1727.TW-CName,InvestorConferenceDate,DateofMeetingofShareHolders,TradingDate'</f>
        <v>中華化</v>
      </c>
      <c r="AF170" t="str">
        <v>2022/12/07</v>
      </c>
      <c r="AG170" t="str">
        <v>2022/05/27</v>
      </c>
      <c r="AH170" t="str">
        <v>2022/12/22</v>
      </c>
    </row>
    <row r="171" spans="1:34" x14ac:dyDescent="0.3">
      <c r="A171" t="str">
        <f t="array" ref="A171:J171">[1]!'1730.TW-ID,Name,MarketValue,Capital,NetIncomeGrowthRate,OperIncomeGrowthRate,FinancialStatementsTime,TFXRatio,MonthlyNetSalesYoY,RevenueMonth'</f>
        <v>1730</v>
      </c>
      <c r="B171" t="str">
        <v>花仙子</v>
      </c>
      <c r="C171" t="str">
        <v>34.8</v>
      </c>
      <c r="D171" t="str">
        <v>6.32</v>
      </c>
      <c r="E171" t="str">
        <v>-1.94</v>
      </c>
      <c r="F171" t="str">
        <v>-2.83</v>
      </c>
      <c r="G171" t="str">
        <v>2022/09</v>
      </c>
      <c r="H171" t="str">
        <v>-4.04</v>
      </c>
      <c r="I171" t="str">
        <v>-27.47</v>
      </c>
      <c r="J171" t="str">
        <v>2022/11</v>
      </c>
      <c r="K171" t="str">
        <f t="array" ref="K171:T171">[1]!'1730.TW-OperatingProfitRatio,Price,PriceChangeRatio,InOutRatioNumber,Value,YearReturn,MonthReturn,WeekReturn,FinanceBalanceDif,ChipsField2'</f>
        <v>12.08</v>
      </c>
      <c r="L171">
        <v>55.1</v>
      </c>
      <c r="M171">
        <v>-0.36</v>
      </c>
      <c r="N171" t="str">
        <v>0.00%</v>
      </c>
      <c r="O171" t="str">
        <v>55.1萬</v>
      </c>
      <c r="P171" t="str">
        <v>-8.00</v>
      </c>
      <c r="Q171" t="str">
        <v>+0.18</v>
      </c>
      <c r="R171" t="str">
        <v>-0.18</v>
      </c>
      <c r="S171">
        <v>0</v>
      </c>
      <c r="T171">
        <v>0</v>
      </c>
      <c r="U171">
        <f t="array" ref="U171:AD171">[1]!'1730.TW-ChipsField3,ChipsField1,ChipsField25,CashAndStockDividend,CashDividendYieldRate,ProfitFourSeason,ProfitSingle,CName,ExchangeIndustry,CompanyPos'</f>
        <v>0</v>
      </c>
      <c r="V171">
        <v>-1</v>
      </c>
      <c r="W171" t="str">
        <v>2022/07/28</v>
      </c>
      <c r="X171" t="str">
        <v>3.00</v>
      </c>
      <c r="Y171">
        <v>5.44</v>
      </c>
      <c r="Z171" t="str">
        <v>4.13</v>
      </c>
      <c r="AA171" t="str">
        <v>1.05</v>
      </c>
      <c r="AB171" t="str">
        <v>花仙子</v>
      </c>
      <c r="AC171" t="str">
        <v>上市化工</v>
      </c>
      <c r="AD171" t="str">
        <v>台灣最大家庭日用品廠商</v>
      </c>
      <c r="AE171" t="str">
        <f t="array" ref="AE171:AH171">[1]!'1730.TW-CName,InvestorConferenceDate,DateofMeetingofShareHolders,TradingDate'</f>
        <v>花仙子</v>
      </c>
      <c r="AF171" t="str">
        <v>2022/12/01</v>
      </c>
      <c r="AG171" t="str">
        <v>2022/06/15</v>
      </c>
      <c r="AH171" t="str">
        <v>2022/12/22</v>
      </c>
    </row>
    <row r="172" spans="1:34" x14ac:dyDescent="0.3">
      <c r="A172" t="str">
        <f t="array" ref="A172:J172">[1]!'1732.TW-ID,Name,MarketValue,Capital,NetIncomeGrowthRate,OperIncomeGrowthRate,FinancialStatementsTime,TFXRatio,MonthlyNetSalesYoY,RevenueMonth'</f>
        <v>1732</v>
      </c>
      <c r="B172" t="str">
        <v>毛寶</v>
      </c>
      <c r="C172" t="str">
        <v>13.4</v>
      </c>
      <c r="D172" t="str">
        <v>4.24</v>
      </c>
      <c r="E172" t="str">
        <v>-38.07</v>
      </c>
      <c r="F172" t="str">
        <v>-91.39</v>
      </c>
      <c r="G172" t="str">
        <v>2022/09</v>
      </c>
      <c r="H172" t="str">
        <v>1.92</v>
      </c>
      <c r="I172" t="str">
        <v>-10.87</v>
      </c>
      <c r="J172" t="str">
        <v>2022/11</v>
      </c>
      <c r="K172" t="str">
        <f t="array" ref="K172:T172">[1]!'1732.TW-OperatingProfitRatio,Price,PriceChangeRatio,InOutRatioNumber,Value,YearReturn,MonthReturn,WeekReturn,FinanceBalanceDif,ChipsField2'</f>
        <v>0.29</v>
      </c>
      <c r="L172">
        <v>31.6</v>
      </c>
      <c r="M172">
        <v>-0.78</v>
      </c>
      <c r="N172" t="str">
        <v>55.20%</v>
      </c>
      <c r="O172" t="str">
        <v>2827萬</v>
      </c>
      <c r="P172" t="str">
        <v>-1.86</v>
      </c>
      <c r="Q172" t="str">
        <v>+7.12</v>
      </c>
      <c r="R172" t="str">
        <v>0.00</v>
      </c>
      <c r="S172">
        <v>68</v>
      </c>
      <c r="T172">
        <v>0</v>
      </c>
      <c r="U172">
        <f t="array" ref="U172:AD172">[1]!'1732.TW-ChipsField3,ChipsField1,ChipsField25,CashAndStockDividend,CashDividendYieldRate,ProfitFourSeason,ProfitSingle,CName,ExchangeIndustry,CompanyPos'</f>
        <v>0</v>
      </c>
      <c r="V172">
        <v>-718</v>
      </c>
      <c r="W172" t="str">
        <v>2022/09/06</v>
      </c>
      <c r="X172" t="str">
        <v>0.35</v>
      </c>
      <c r="Y172">
        <v>1.1100000000000001</v>
      </c>
      <c r="Z172" t="str">
        <v>0.31</v>
      </c>
      <c r="AA172" t="str">
        <v>0.05</v>
      </c>
      <c r="AB172" t="str">
        <v>毛寶</v>
      </c>
      <c r="AC172" t="str">
        <v>上市化工</v>
      </c>
      <c r="AD172" t="str">
        <v>台灣主要清潔用品大廠</v>
      </c>
      <c r="AE172" t="str">
        <f t="array" ref="AE172:AH172">[1]!'1732.TW-CName,InvestorConferenceDate,DateofMeetingofShareHolders,TradingDate'</f>
        <v>毛寶</v>
      </c>
      <c r="AF172" t="str">
        <v>2022/12/06</v>
      </c>
      <c r="AG172" t="str">
        <v>2022/06/16</v>
      </c>
      <c r="AH172" t="str">
        <v>2022/12/22</v>
      </c>
    </row>
    <row r="173" spans="1:34" x14ac:dyDescent="0.3">
      <c r="A173" t="str">
        <f t="array" ref="A173:J173">[1]!'1735.TW-ID,Name,MarketValue,Capital,NetIncomeGrowthRate,OperIncomeGrowthRate,FinancialStatementsTime,TFXRatio,MonthlyNetSalesYoY,RevenueMonth'</f>
        <v>1735</v>
      </c>
      <c r="B173" t="str">
        <v>日勝化</v>
      </c>
      <c r="C173" t="str">
        <v>14.9</v>
      </c>
      <c r="D173" t="str">
        <v>9.94</v>
      </c>
      <c r="E173" t="str">
        <v>25.24</v>
      </c>
      <c r="F173" t="str">
        <v>-176.78</v>
      </c>
      <c r="G173" t="str">
        <v>2022/09</v>
      </c>
      <c r="H173" t="str">
        <v>-11.01</v>
      </c>
      <c r="I173" t="str">
        <v>-27.62</v>
      </c>
      <c r="J173" t="str">
        <v>2022/11</v>
      </c>
      <c r="K173" t="str">
        <f t="array" ref="K173:T173">[1]!'1735.TW-OperatingProfitRatio,Price,PriceChangeRatio,InOutRatioNumber,Value,YearReturn,MonthReturn,WeekReturn,FinanceBalanceDif,ChipsField2'</f>
        <v>-0.93</v>
      </c>
      <c r="L173">
        <v>14.95</v>
      </c>
      <c r="M173">
        <v>2.4</v>
      </c>
      <c r="N173" t="str">
        <v>100.00%</v>
      </c>
      <c r="O173" t="str">
        <v>1.50萬</v>
      </c>
      <c r="P173" t="str">
        <v>-18.75</v>
      </c>
      <c r="Q173" t="str">
        <v>+3.10</v>
      </c>
      <c r="R173" t="str">
        <v>-0.99</v>
      </c>
      <c r="S173">
        <v>0</v>
      </c>
      <c r="T173">
        <v>0</v>
      </c>
      <c r="U173">
        <f t="array" ref="U173:AD173">[1]!'1735.TW-ChipsField3,ChipsField1,ChipsField25,CashAndStockDividend,CashDividendYieldRate,ProfitFourSeason,ProfitSingle,CName,ExchangeIndustry,CompanyPos'</f>
        <v>0</v>
      </c>
      <c r="V173">
        <v>0</v>
      </c>
      <c r="W173" t="str">
        <v>--</v>
      </c>
      <c r="X173" t="str">
        <v>0.00</v>
      </c>
      <c r="Y173">
        <v>0</v>
      </c>
      <c r="Z173" t="str">
        <v>0.13</v>
      </c>
      <c r="AA173" t="str">
        <v>0.04</v>
      </c>
      <c r="AB173" t="str">
        <v>日勝化</v>
      </c>
      <c r="AC173" t="str">
        <v>上市化工</v>
      </c>
      <c r="AD173" t="str">
        <v>專業合成皮用PU樹脂製造商</v>
      </c>
      <c r="AE173" t="str">
        <f t="array" ref="AE173:AH173">[1]!'1735.TW-CName,InvestorConferenceDate,DateofMeetingofShareHolders,TradingDate'</f>
        <v>日勝化</v>
      </c>
      <c r="AF173" t="str">
        <v>2022/11/29</v>
      </c>
      <c r="AG173" t="str">
        <v>2022/06/28</v>
      </c>
      <c r="AH173" t="str">
        <v>2022/12/22</v>
      </c>
    </row>
    <row r="174" spans="1:34" x14ac:dyDescent="0.3">
      <c r="A174" t="str">
        <f t="array" ref="A174:J174">[1]!'1773.TW-ID,Name,MarketValue,Capital,NetIncomeGrowthRate,OperIncomeGrowthRate,FinancialStatementsTime,TFXRatio,MonthlyNetSalesYoY,RevenueMonth'</f>
        <v>1773</v>
      </c>
      <c r="B174" t="str">
        <v>勝一</v>
      </c>
      <c r="C174" t="str">
        <v>286.2</v>
      </c>
      <c r="D174" t="str">
        <v>25.00</v>
      </c>
      <c r="E174" t="str">
        <v>19.86</v>
      </c>
      <c r="F174" t="str">
        <v>16.20</v>
      </c>
      <c r="G174" t="str">
        <v>2022/09</v>
      </c>
      <c r="H174" t="str">
        <v>-0.79</v>
      </c>
      <c r="I174" t="str">
        <v>-19.67</v>
      </c>
      <c r="J174" t="str">
        <v>2022/11</v>
      </c>
      <c r="K174" t="str">
        <f t="array" ref="K174:T174">[1]!'1773.TW-OperatingProfitRatio,Price,PriceChangeRatio,InOutRatioNumber,Value,YearReturn,MonthReturn,WeekReturn,FinanceBalanceDif,ChipsField2'</f>
        <v>18.91</v>
      </c>
      <c r="L174">
        <v>114.5</v>
      </c>
      <c r="M174">
        <v>0</v>
      </c>
      <c r="N174" t="str">
        <v>23.53%</v>
      </c>
      <c r="O174" t="str">
        <v>990萬</v>
      </c>
      <c r="P174" t="str">
        <v>+1.91</v>
      </c>
      <c r="Q174" t="str">
        <v>+5.05</v>
      </c>
      <c r="R174" t="str">
        <v>-3.38</v>
      </c>
      <c r="S174">
        <v>-5</v>
      </c>
      <c r="T174">
        <v>1</v>
      </c>
      <c r="U174">
        <f t="array" ref="U174:AD174">[1]!'1773.TW-ChipsField3,ChipsField1,ChipsField25,CashAndStockDividend,CashDividendYieldRate,ProfitFourSeason,ProfitSingle,CName,ExchangeIndustry,CompanyPos'</f>
        <v>-14</v>
      </c>
      <c r="V174">
        <v>15</v>
      </c>
      <c r="W174" t="str">
        <v>2022/06/29</v>
      </c>
      <c r="X174" t="str">
        <v>5.50</v>
      </c>
      <c r="Y174">
        <v>4.8</v>
      </c>
      <c r="Z174" t="str">
        <v>8.25</v>
      </c>
      <c r="AA174" t="str">
        <v>1.90</v>
      </c>
      <c r="AB174" t="str">
        <v>勝一</v>
      </c>
      <c r="AC174" t="str">
        <v>上市化工</v>
      </c>
      <c r="AD174" t="str">
        <v>台灣第2大溶劑廠商</v>
      </c>
      <c r="AE174" t="str">
        <f t="array" ref="AE174:AH174">[1]!'1773.TW-CName,InvestorConferenceDate,DateofMeetingofShareHolders,TradingDate'</f>
        <v>勝一</v>
      </c>
      <c r="AF174" t="str">
        <v>2021/12/08</v>
      </c>
      <c r="AG174" t="str">
        <v>2022/05/25</v>
      </c>
      <c r="AH174" t="str">
        <v>2022/12/22</v>
      </c>
    </row>
    <row r="175" spans="1:34" x14ac:dyDescent="0.3">
      <c r="A175" t="str">
        <f t="array" ref="A175:J175">[1]!'1776.TW-ID,Name,MarketValue,Capital,NetIncomeGrowthRate,OperIncomeGrowthRate,FinancialStatementsTime,TFXRatio,MonthlyNetSalesYoY,RevenueMonth'</f>
        <v>1776</v>
      </c>
      <c r="B175" t="str">
        <v>展宇</v>
      </c>
      <c r="C175" t="str">
        <v>11.6</v>
      </c>
      <c r="D175" t="str">
        <v>7.03</v>
      </c>
      <c r="E175" t="str">
        <v>-89.51</v>
      </c>
      <c r="F175" t="str">
        <v>-75.45</v>
      </c>
      <c r="G175" t="str">
        <v>2022/09</v>
      </c>
      <c r="H175" t="str">
        <v>-0.04</v>
      </c>
      <c r="I175" t="str">
        <v>-10.23</v>
      </c>
      <c r="J175" t="str">
        <v>2022/11</v>
      </c>
      <c r="K175" t="str">
        <f t="array" ref="K175:T175">[1]!'1776.TW-OperatingProfitRatio,Price,PriceChangeRatio,InOutRatioNumber,Value,YearReturn,MonthReturn,WeekReturn,FinanceBalanceDif,ChipsField2'</f>
        <v>1.71</v>
      </c>
      <c r="L175">
        <v>16.5</v>
      </c>
      <c r="M175">
        <v>0.61</v>
      </c>
      <c r="N175" t="str">
        <v>28.57%</v>
      </c>
      <c r="O175" t="str">
        <v>11.5萬</v>
      </c>
      <c r="P175" t="str">
        <v>-16.50</v>
      </c>
      <c r="Q175" t="str">
        <v>0.00</v>
      </c>
      <c r="R175" t="str">
        <v>-1.20</v>
      </c>
      <c r="S175">
        <v>0</v>
      </c>
      <c r="T175">
        <v>0</v>
      </c>
      <c r="U175">
        <f t="array" ref="U175:AD175">[1]!'1776.TW-ChipsField3,ChipsField1,ChipsField25,CashAndStockDividend,CashDividendYieldRate,ProfitFourSeason,ProfitSingle,CName,ExchangeIndustry,CompanyPos'</f>
        <v>0</v>
      </c>
      <c r="V175">
        <v>0</v>
      </c>
      <c r="W175" t="str">
        <v>2022/08/26</v>
      </c>
      <c r="X175" t="str">
        <v>1.50</v>
      </c>
      <c r="Y175">
        <v>9.09</v>
      </c>
      <c r="Z175" t="str">
        <v>0.11</v>
      </c>
      <c r="AA175" t="str">
        <v>0.00</v>
      </c>
      <c r="AB175" t="str">
        <v>展宇</v>
      </c>
      <c r="AC175" t="str">
        <v>上市化工</v>
      </c>
      <c r="AD175" t="str">
        <v>台灣PU樹脂及硬化劑大廠</v>
      </c>
      <c r="AE175" t="str">
        <f t="array" ref="AE175:AH175">[1]!'1776.TW-CName,InvestorConferenceDate,DateofMeetingofShareHolders,TradingDate'</f>
        <v>展宇</v>
      </c>
      <c r="AF175" t="str">
        <v>2021/12/16</v>
      </c>
      <c r="AG175" t="str">
        <v>2022/06/09</v>
      </c>
      <c r="AH175" t="str">
        <v>2022/12/22</v>
      </c>
    </row>
    <row r="176" spans="1:34" x14ac:dyDescent="0.3">
      <c r="A176" t="str">
        <f t="array" ref="A176:J176">[1]!'3708.TW-ID,Name,MarketValue,Capital,NetIncomeGrowthRate,OperIncomeGrowthRate,FinancialStatementsTime,TFXRatio,MonthlyNetSalesYoY,RevenueMonth'</f>
        <v>3708</v>
      </c>
      <c r="B176" t="str">
        <v>上緯投控</v>
      </c>
      <c r="C176" t="str">
        <v>94.5</v>
      </c>
      <c r="D176" t="str">
        <v>9.81</v>
      </c>
      <c r="E176" t="str">
        <v>701.61</v>
      </c>
      <c r="F176" t="str">
        <v>233.63</v>
      </c>
      <c r="G176" t="str">
        <v>2022/09</v>
      </c>
      <c r="H176" t="str">
        <v>-17.68</v>
      </c>
      <c r="I176" t="str">
        <v>-6.76</v>
      </c>
      <c r="J176" t="str">
        <v>2022/11</v>
      </c>
      <c r="K176" t="str">
        <f t="array" ref="K176:T176">[1]!'3708.TW-OperatingProfitRatio,Price,PriceChangeRatio,InOutRatioNumber,Value,YearReturn,MonthReturn,WeekReturn,FinanceBalanceDif,ChipsField2'</f>
        <v>3.51</v>
      </c>
      <c r="L176">
        <v>96.3</v>
      </c>
      <c r="M176">
        <v>3.88</v>
      </c>
      <c r="N176" t="str">
        <v>50.61%</v>
      </c>
      <c r="O176" t="str">
        <v>2.79億</v>
      </c>
      <c r="P176" t="str">
        <v>+1.55</v>
      </c>
      <c r="Q176" t="str">
        <v>-2.63</v>
      </c>
      <c r="R176" t="str">
        <v>-1.13</v>
      </c>
      <c r="S176">
        <v>16</v>
      </c>
      <c r="T176">
        <v>0</v>
      </c>
      <c r="U176">
        <f t="array" ref="U176:AD176">[1]!'3708.TW-ChipsField3,ChipsField1,ChipsField25,CashAndStockDividend,CashDividendYieldRate,ProfitFourSeason,ProfitSingle,CName,ExchangeIndustry,CompanyPos'</f>
        <v>-45</v>
      </c>
      <c r="V176">
        <v>-16</v>
      </c>
      <c r="W176" t="str">
        <v>2022/07/08</v>
      </c>
      <c r="X176" t="str">
        <v>1.43</v>
      </c>
      <c r="Y176">
        <v>1.48</v>
      </c>
      <c r="Z176" t="str">
        <v>9.49</v>
      </c>
      <c r="AA176" t="str">
        <v>6.46</v>
      </c>
      <c r="AB176" t="str">
        <v>上緯投控</v>
      </c>
      <c r="AC176" t="str">
        <v>上市化工</v>
      </c>
      <c r="AD176" t="str">
        <v>全球第二、亞洲最大環保耐蝕樹脂商</v>
      </c>
      <c r="AE176" t="str">
        <f t="array" ref="AE176:AH176">[1]!'3708.TW-CName,InvestorConferenceDate,DateofMeetingofShareHolders,TradingDate'</f>
        <v>上緯投控</v>
      </c>
      <c r="AF176" t="str">
        <v>2022/04/12</v>
      </c>
      <c r="AG176" t="str">
        <v>2022/05/31</v>
      </c>
      <c r="AH176" t="str">
        <v>2022/12/22</v>
      </c>
    </row>
    <row r="177" spans="1:34" x14ac:dyDescent="0.3">
      <c r="A177" t="str">
        <f t="array" ref="A177:J177">[1]!'4720.TW-ID,Name,MarketValue,Capital,NetIncomeGrowthRate,OperIncomeGrowthRate,FinancialStatementsTime,TFXRatio,MonthlyNetSalesYoY,RevenueMonth'</f>
        <v>4720</v>
      </c>
      <c r="B177" t="str">
        <v>德淵</v>
      </c>
      <c r="C177" t="str">
        <v>14.4</v>
      </c>
      <c r="D177" t="str">
        <v>10.38</v>
      </c>
      <c r="E177" t="str">
        <v>47.94</v>
      </c>
      <c r="F177" t="str">
        <v>-9.16</v>
      </c>
      <c r="G177" t="str">
        <v>2022/09</v>
      </c>
      <c r="H177" t="str">
        <v>-4.41</v>
      </c>
      <c r="I177" t="str">
        <v>-8.91</v>
      </c>
      <c r="J177" t="str">
        <v>2022/11</v>
      </c>
      <c r="K177" t="str">
        <f t="array" ref="K177:T177">[1]!'4720.TW-OperatingProfitRatio,Price,PriceChangeRatio,InOutRatioNumber,Value,YearReturn,MonthReturn,WeekReturn,FinanceBalanceDif,ChipsField2'</f>
        <v>1.43</v>
      </c>
      <c r="L177">
        <v>13.95</v>
      </c>
      <c r="M177">
        <v>0.72</v>
      </c>
      <c r="N177" t="str">
        <v>62.00%</v>
      </c>
      <c r="O177" t="str">
        <v>210萬</v>
      </c>
      <c r="P177" t="str">
        <v>-7.79</v>
      </c>
      <c r="Q177" t="str">
        <v>-0.36</v>
      </c>
      <c r="R177" t="str">
        <v>-3.46</v>
      </c>
      <c r="S177">
        <v>-53</v>
      </c>
      <c r="T177">
        <v>0</v>
      </c>
      <c r="U177">
        <f t="array" ref="U177:AD177">[1]!'4720.TW-ChipsField3,ChipsField1,ChipsField25,CashAndStockDividend,CashDividendYieldRate,ProfitFourSeason,ProfitSingle,CName,ExchangeIndustry,CompanyPos'</f>
        <v>0</v>
      </c>
      <c r="V177">
        <v>-47</v>
      </c>
      <c r="W177" t="str">
        <v>2022/08/01</v>
      </c>
      <c r="X177" t="str">
        <v>0.20</v>
      </c>
      <c r="Y177">
        <v>1.43</v>
      </c>
      <c r="Z177" t="str">
        <v>0.36</v>
      </c>
      <c r="AA177" t="str">
        <v>0.15</v>
      </c>
      <c r="AB177" t="str">
        <v>德淵</v>
      </c>
      <c r="AC177" t="str">
        <v>上市化工</v>
      </c>
      <c r="AD177" t="str">
        <v>台灣最大熱熔膠供應商</v>
      </c>
      <c r="AE177" t="str">
        <f t="array" ref="AE177:AH177">[1]!'4720.TW-CName,InvestorConferenceDate,DateofMeetingofShareHolders,TradingDate'</f>
        <v>德淵</v>
      </c>
      <c r="AF177" t="str">
        <v>2022/12/29</v>
      </c>
      <c r="AG177" t="str">
        <v>2022/06/27</v>
      </c>
      <c r="AH177" t="str">
        <v>2022/12/22</v>
      </c>
    </row>
    <row r="178" spans="1:34" x14ac:dyDescent="0.3">
      <c r="A178" t="str">
        <f t="array" ref="A178:J178">[1]!'4722.TW-ID,Name,MarketValue,Capital,NetIncomeGrowthRate,OperIncomeGrowthRate,FinancialStatementsTime,TFXRatio,MonthlyNetSalesYoY,RevenueMonth'</f>
        <v>4722</v>
      </c>
      <c r="B178" t="str">
        <v>國精化</v>
      </c>
      <c r="C178" t="str">
        <v>34.2</v>
      </c>
      <c r="D178" t="str">
        <v>10.00</v>
      </c>
      <c r="E178" t="str">
        <v>11.98</v>
      </c>
      <c r="F178" t="str">
        <v>-7.41</v>
      </c>
      <c r="G178" t="str">
        <v>2022/09</v>
      </c>
      <c r="H178" t="str">
        <v>-1.03</v>
      </c>
      <c r="I178" t="str">
        <v>-47.33</v>
      </c>
      <c r="J178" t="str">
        <v>2022/11</v>
      </c>
      <c r="K178" t="str">
        <f t="array" ref="K178:T178">[1]!'4722.TW-OperatingProfitRatio,Price,PriceChangeRatio,InOutRatioNumber,Value,YearReturn,MonthReturn,WeekReturn,FinanceBalanceDif,ChipsField2'</f>
        <v>9.56</v>
      </c>
      <c r="L178">
        <v>34.200000000000003</v>
      </c>
      <c r="M178">
        <v>0.59</v>
      </c>
      <c r="N178" t="str">
        <v>100.00%</v>
      </c>
      <c r="O178" t="str">
        <v>23.9萬</v>
      </c>
      <c r="P178" t="str">
        <v>-14.32</v>
      </c>
      <c r="Q178" t="str">
        <v>+2.40</v>
      </c>
      <c r="R178" t="str">
        <v>-0.29</v>
      </c>
      <c r="S178">
        <v>0</v>
      </c>
      <c r="T178">
        <v>0</v>
      </c>
      <c r="U178">
        <f t="array" ref="U178:AD178">[1]!'4722.TW-ChipsField3,ChipsField1,ChipsField25,CashAndStockDividend,CashDividendYieldRate,ProfitFourSeason,ProfitSingle,CName,ExchangeIndustry,CompanyPos'</f>
        <v>0</v>
      </c>
      <c r="V178">
        <v>3</v>
      </c>
      <c r="W178" t="str">
        <v>2022/06/28</v>
      </c>
      <c r="X178" t="str">
        <v>2.20</v>
      </c>
      <c r="Y178">
        <v>6.43</v>
      </c>
      <c r="Z178" t="str">
        <v>4.04</v>
      </c>
      <c r="AA178" t="str">
        <v>0.94</v>
      </c>
      <c r="AB178" t="str">
        <v>國精化</v>
      </c>
      <c r="AC178" t="str">
        <v>上市化工</v>
      </c>
      <c r="AD178" t="str">
        <v>台灣不飽和聚酯樹脂大廠</v>
      </c>
      <c r="AE178" t="str">
        <f t="array" ref="AE178:AH178">[1]!'4722.TW-CName,InvestorConferenceDate,DateofMeetingofShareHolders,TradingDate'</f>
        <v>國精化</v>
      </c>
      <c r="AF178" t="str">
        <v>2022/05/10</v>
      </c>
      <c r="AG178" t="str">
        <v>2022/05/30</v>
      </c>
      <c r="AH178" t="str">
        <v>2022/12/22</v>
      </c>
    </row>
    <row r="179" spans="1:34" x14ac:dyDescent="0.3">
      <c r="A179" t="str">
        <f t="array" ref="A179:J179">[1]!'4739.TW-ID,Name,MarketValue,Capital,NetIncomeGrowthRate,OperIncomeGrowthRate,FinancialStatementsTime,TFXRatio,MonthlyNetSalesYoY,RevenueMonth'</f>
        <v>4739</v>
      </c>
      <c r="B179" t="str">
        <v>康普</v>
      </c>
      <c r="C179" t="str">
        <v>102.7</v>
      </c>
      <c r="D179" t="str">
        <v>10.70</v>
      </c>
      <c r="E179" t="str">
        <v>50.49</v>
      </c>
      <c r="F179" t="str">
        <v>37.57</v>
      </c>
      <c r="G179" t="str">
        <v>2022/09</v>
      </c>
      <c r="H179" t="str">
        <v>1.13</v>
      </c>
      <c r="I179" t="str">
        <v>-15.84</v>
      </c>
      <c r="J179" t="str">
        <v>2022/11</v>
      </c>
      <c r="K179" t="str">
        <f t="array" ref="K179:T179">[1]!'4739.TW-OperatingProfitRatio,Price,PriceChangeRatio,InOutRatioNumber,Value,YearReturn,MonthReturn,WeekReturn,FinanceBalanceDif,ChipsField2'</f>
        <v>7.91</v>
      </c>
      <c r="L179">
        <v>96</v>
      </c>
      <c r="M179">
        <v>0</v>
      </c>
      <c r="N179" t="str">
        <v>41.81%</v>
      </c>
      <c r="O179" t="str">
        <v>9528萬</v>
      </c>
      <c r="P179" t="str">
        <v>-30.97</v>
      </c>
      <c r="Q179" t="str">
        <v>+0.42</v>
      </c>
      <c r="R179" t="str">
        <v>-5.42</v>
      </c>
      <c r="S179">
        <v>50</v>
      </c>
      <c r="T179">
        <v>0</v>
      </c>
      <c r="U179">
        <f t="array" ref="U179:AD179">[1]!'4739.TW-ChipsField3,ChipsField1,ChipsField25,CashAndStockDividend,CashDividendYieldRate,ProfitFourSeason,ProfitSingle,CName,ExchangeIndustry,CompanyPos'</f>
        <v>-55</v>
      </c>
      <c r="V179">
        <v>-128</v>
      </c>
      <c r="W179" t="str">
        <v>2022/06/24</v>
      </c>
      <c r="X179" t="str">
        <v>3.00</v>
      </c>
      <c r="Y179">
        <v>3.13</v>
      </c>
      <c r="Z179" t="str">
        <v>5.74</v>
      </c>
      <c r="AA179" t="str">
        <v>1.04</v>
      </c>
      <c r="AB179" t="str">
        <v>康普</v>
      </c>
      <c r="AC179" t="str">
        <v>上市化工</v>
      </c>
      <c r="AD179" t="str">
        <v>台灣特用化學材、電池材料、PTA氧化觸媒大廠</v>
      </c>
      <c r="AE179" t="str">
        <f t="array" ref="AE179:AH179">[1]!'4739.TW-CName,InvestorConferenceDate,DateofMeetingofShareHolders,TradingDate'</f>
        <v>康普</v>
      </c>
      <c r="AF179" t="str">
        <v>2022/09/26</v>
      </c>
      <c r="AG179" t="str">
        <v>2022/05/27</v>
      </c>
      <c r="AH179" t="str">
        <v>2022/12/22</v>
      </c>
    </row>
    <row r="180" spans="1:34" x14ac:dyDescent="0.3">
      <c r="A180" t="str">
        <f t="array" ref="A180:J180">[1]!'4755.TW-ID,Name,MarketValue,Capital,NetIncomeGrowthRate,OperIncomeGrowthRate,FinancialStatementsTime,TFXRatio,MonthlyNetSalesYoY,RevenueMonth'</f>
        <v>4755</v>
      </c>
      <c r="B180" t="str">
        <v>三福化</v>
      </c>
      <c r="C180" t="str">
        <v>119.8</v>
      </c>
      <c r="D180" t="str">
        <v>10.07</v>
      </c>
      <c r="E180" t="str">
        <v>106.91</v>
      </c>
      <c r="F180" t="str">
        <v>121.65</v>
      </c>
      <c r="G180" t="str">
        <v>2022/09</v>
      </c>
      <c r="H180" t="str">
        <v>17.46</v>
      </c>
      <c r="I180" t="str">
        <v>-29.86</v>
      </c>
      <c r="J180" t="str">
        <v>2022/11</v>
      </c>
      <c r="K180" t="str">
        <f t="array" ref="K180:T180">[1]!'4755.TW-OperatingProfitRatio,Price,PriceChangeRatio,InOutRatioNumber,Value,YearReturn,MonthReturn,WeekReturn,FinanceBalanceDif,ChipsField2'</f>
        <v>18.51</v>
      </c>
      <c r="L180">
        <v>119</v>
      </c>
      <c r="M180">
        <v>0.42</v>
      </c>
      <c r="N180" t="str">
        <v>37.16%</v>
      </c>
      <c r="O180" t="str">
        <v>4900萬</v>
      </c>
      <c r="P180" t="str">
        <v>+5.76</v>
      </c>
      <c r="Q180" t="str">
        <v>+4.39</v>
      </c>
      <c r="R180" t="str">
        <v>-11.19</v>
      </c>
      <c r="S180">
        <v>-5</v>
      </c>
      <c r="T180">
        <v>0</v>
      </c>
      <c r="U180">
        <f t="array" ref="U180:AD180">[1]!'4755.TW-ChipsField3,ChipsField1,ChipsField25,CashAndStockDividend,CashDividendYieldRate,ProfitFourSeason,ProfitSingle,CName,ExchangeIndustry,CompanyPos'</f>
        <v>-11</v>
      </c>
      <c r="V180">
        <v>-70</v>
      </c>
      <c r="W180" t="str">
        <v>2022/07/05</v>
      </c>
      <c r="X180" t="str">
        <v>5.00</v>
      </c>
      <c r="Y180">
        <v>4.2</v>
      </c>
      <c r="Z180" t="str">
        <v>10.62</v>
      </c>
      <c r="AA180" t="str">
        <v>1.62</v>
      </c>
      <c r="AB180" t="str">
        <v>三福化</v>
      </c>
      <c r="AC180" t="str">
        <v>上市化工</v>
      </c>
      <c r="AD180" t="str">
        <v>台灣半導體特用化學大廠</v>
      </c>
      <c r="AE180" t="str">
        <f t="array" ref="AE180:AH180">[1]!'4755.TW-CName,InvestorConferenceDate,DateofMeetingofShareHolders,TradingDate'</f>
        <v>三福化</v>
      </c>
      <c r="AF180" t="str">
        <v>2022/12/15</v>
      </c>
      <c r="AG180" t="str">
        <v>2022/06/17</v>
      </c>
      <c r="AH180" t="str">
        <v>2022/12/22</v>
      </c>
    </row>
    <row r="181" spans="1:34" x14ac:dyDescent="0.3">
      <c r="A181" t="str">
        <f t="array" ref="A181:J181">[1]!'4763.TW-ID,Name,MarketValue,Capital,NetIncomeGrowthRate,OperIncomeGrowthRate,FinancialStatementsTime,TFXRatio,MonthlyNetSalesYoY,RevenueMonth'</f>
        <v>4763</v>
      </c>
      <c r="B181" t="str">
        <v>材料-KY</v>
      </c>
      <c r="C181" t="str">
        <v>117.8</v>
      </c>
      <c r="D181" t="str">
        <v>6.66</v>
      </c>
      <c r="E181" t="str">
        <v>204.77</v>
      </c>
      <c r="F181" t="str">
        <v>126.47</v>
      </c>
      <c r="G181" t="str">
        <v>2022/09</v>
      </c>
      <c r="H181" t="str">
        <v>0.77</v>
      </c>
      <c r="I181" t="str">
        <v>55.78</v>
      </c>
      <c r="J181" t="str">
        <v>2022/11</v>
      </c>
      <c r="K181" t="str">
        <f t="array" ref="K181:T181">[1]!'4763.TW-OperatingProfitRatio,Price,PriceChangeRatio,InOutRatioNumber,Value,YearReturn,MonthReturn,WeekReturn,FinanceBalanceDif,ChipsField2'</f>
        <v>21.44</v>
      </c>
      <c r="L181">
        <v>180</v>
      </c>
      <c r="M181">
        <v>-2.7</v>
      </c>
      <c r="N181" t="str">
        <v>46.44%</v>
      </c>
      <c r="O181" t="str">
        <v>12.9億</v>
      </c>
      <c r="P181" t="str">
        <v>+91.62</v>
      </c>
      <c r="Q181" t="str">
        <v>+16.17</v>
      </c>
      <c r="R181" t="str">
        <v>+4.03</v>
      </c>
      <c r="S181">
        <v>-122</v>
      </c>
      <c r="T181">
        <v>0</v>
      </c>
      <c r="U181">
        <f t="array" ref="U181:AD181">[1]!'4763.TW-ChipsField3,ChipsField1,ChipsField25,CashAndStockDividend,CashDividendYieldRate,ProfitFourSeason,ProfitSingle,CName,ExchangeIndustry,CompanyPos'</f>
        <v>-35</v>
      </c>
      <c r="V181">
        <v>1313</v>
      </c>
      <c r="W181" t="str">
        <v>2022/12/19</v>
      </c>
      <c r="X181" t="str">
        <v>3.96</v>
      </c>
      <c r="Y181">
        <v>2.71</v>
      </c>
      <c r="Z181" t="str">
        <v>16.67</v>
      </c>
      <c r="AA181" t="str">
        <v>5.23</v>
      </c>
      <c r="AB181" t="str">
        <v>材料-KY</v>
      </c>
      <c r="AC181" t="str">
        <v>上市化工</v>
      </c>
      <c r="AD181" t="str">
        <v>全球第五大醋酸纖維絲束大廠</v>
      </c>
      <c r="AE181" t="str">
        <f t="array" ref="AE181:AH181">[1]!'4763.TW-CName,InvestorConferenceDate,DateofMeetingofShareHolders,TradingDate'</f>
        <v>材料-KY</v>
      </c>
      <c r="AF181" t="str">
        <v>2022/11/15</v>
      </c>
      <c r="AG181" t="str">
        <v>2022/05/27</v>
      </c>
      <c r="AH181" t="str">
        <v>2022/12/22</v>
      </c>
    </row>
    <row r="182" spans="1:34" x14ac:dyDescent="0.3">
      <c r="A182" t="str">
        <f t="array" ref="A182:J182">[1]!'4764.TW-ID,Name,MarketValue,Capital,NetIncomeGrowthRate,OperIncomeGrowthRate,FinancialStatementsTime,TFXRatio,MonthlyNetSalesYoY,RevenueMonth'</f>
        <v>4764</v>
      </c>
      <c r="B182" t="str">
        <v>雙鍵</v>
      </c>
      <c r="C182" t="str">
        <v>43.0</v>
      </c>
      <c r="D182" t="str">
        <v>8.55</v>
      </c>
      <c r="E182" t="str">
        <v>-32.73</v>
      </c>
      <c r="F182" t="str">
        <v>-88.24</v>
      </c>
      <c r="G182" t="str">
        <v>2022/09</v>
      </c>
      <c r="H182" t="str">
        <v>7.39</v>
      </c>
      <c r="I182" t="str">
        <v>-17.51</v>
      </c>
      <c r="J182" t="str">
        <v>2022/11</v>
      </c>
      <c r="K182" t="str">
        <f t="array" ref="K182:T182">[1]!'4764.TW-OperatingProfitRatio,Price,PriceChangeRatio,InOutRatioNumber,Value,YearReturn,MonthReturn,WeekReturn,FinanceBalanceDif,ChipsField2'</f>
        <v>0.62</v>
      </c>
      <c r="L182">
        <v>50.3</v>
      </c>
      <c r="M182">
        <v>1.62</v>
      </c>
      <c r="N182" t="str">
        <v>55.56%</v>
      </c>
      <c r="O182" t="str">
        <v>44.9萬</v>
      </c>
      <c r="P182" t="str">
        <v>-10.20</v>
      </c>
      <c r="Q182" t="str">
        <v>+2.97</v>
      </c>
      <c r="R182" t="str">
        <v>-4.01</v>
      </c>
      <c r="S182">
        <v>-1</v>
      </c>
      <c r="T182">
        <v>0</v>
      </c>
      <c r="U182">
        <f t="array" ref="U182:AD182">[1]!'4764.TW-ChipsField3,ChipsField1,ChipsField25,CashAndStockDividend,CashDividendYieldRate,ProfitFourSeason,ProfitSingle,CName,ExchangeIndustry,CompanyPos'</f>
        <v>0</v>
      </c>
      <c r="V182">
        <v>0</v>
      </c>
      <c r="W182" t="str">
        <v>2022/07/20</v>
      </c>
      <c r="X182" t="str">
        <v>1.00</v>
      </c>
      <c r="Y182">
        <v>1.99</v>
      </c>
      <c r="Z182" t="str">
        <v>0.98</v>
      </c>
      <c r="AA182" t="str">
        <v>0.08</v>
      </c>
      <c r="AB182" t="str">
        <v>雙鍵</v>
      </c>
      <c r="AC182" t="str">
        <v>上市化工</v>
      </c>
      <c r="AD182" t="str">
        <v>全球第三大光固化起始劑生產商</v>
      </c>
      <c r="AE182" t="str">
        <f t="array" ref="AE182:AH182">[1]!'4764.TW-CName,InvestorConferenceDate,DateofMeetingofShareHolders,TradingDate'</f>
        <v>雙鍵</v>
      </c>
      <c r="AF182" t="str">
        <v>2021/12/28</v>
      </c>
      <c r="AG182" t="str">
        <v>2022/06/22</v>
      </c>
      <c r="AH182" t="str">
        <v>2022/12/22</v>
      </c>
    </row>
    <row r="183" spans="1:34" x14ac:dyDescent="0.3">
      <c r="A183" t="str">
        <f t="array" ref="A183:J183">[1]!'4766.TW-ID,Name,MarketValue,Capital,NetIncomeGrowthRate,OperIncomeGrowthRate,FinancialStatementsTime,TFXRatio,MonthlyNetSalesYoY,RevenueMonth'</f>
        <v>4766</v>
      </c>
      <c r="B183" t="str">
        <v>南寶</v>
      </c>
      <c r="C183" t="str">
        <v>161.0</v>
      </c>
      <c r="D183" t="str">
        <v>12.06</v>
      </c>
      <c r="E183" t="str">
        <v>99.18</v>
      </c>
      <c r="F183" t="str">
        <v>49.99</v>
      </c>
      <c r="G183" t="str">
        <v>2022/09</v>
      </c>
      <c r="H183" t="str">
        <v>6.54</v>
      </c>
      <c r="I183" t="str">
        <v>16.37</v>
      </c>
      <c r="J183" t="str">
        <v>2022/11</v>
      </c>
      <c r="K183" t="str">
        <f t="array" ref="K183:T183">[1]!'4766.TW-OperatingProfitRatio,Price,PriceChangeRatio,InOutRatioNumber,Value,YearReturn,MonthReturn,WeekReturn,FinanceBalanceDif,ChipsField2'</f>
        <v>7.77</v>
      </c>
      <c r="L183">
        <v>133.5</v>
      </c>
      <c r="M183">
        <v>-0.37</v>
      </c>
      <c r="N183" t="str">
        <v>62.83%</v>
      </c>
      <c r="O183" t="str">
        <v>1519萬</v>
      </c>
      <c r="P183" t="str">
        <v>+0.86</v>
      </c>
      <c r="Q183" t="str">
        <v>-0.74</v>
      </c>
      <c r="R183" t="str">
        <v>-1.11</v>
      </c>
      <c r="S183">
        <v>-5</v>
      </c>
      <c r="T183">
        <v>0</v>
      </c>
      <c r="U183">
        <f t="array" ref="U183:AD183">[1]!'4766.TW-ChipsField3,ChipsField1,ChipsField25,CashAndStockDividend,CashDividendYieldRate,ProfitFourSeason,ProfitSingle,CName,ExchangeIndustry,CompanyPos'</f>
        <v>0</v>
      </c>
      <c r="V183">
        <v>-1</v>
      </c>
      <c r="W183" t="str">
        <v>2022/08/04</v>
      </c>
      <c r="X183" t="str">
        <v>6.00</v>
      </c>
      <c r="Y183">
        <v>4.49</v>
      </c>
      <c r="Z183" t="str">
        <v>13.02</v>
      </c>
      <c r="AA183" t="str">
        <v>3.08</v>
      </c>
      <c r="AB183" t="str">
        <v>南寶</v>
      </c>
      <c r="AC183" t="str">
        <v>上市化工</v>
      </c>
      <c r="AD183" t="str">
        <v>台灣接著劑材料大廠</v>
      </c>
      <c r="AE183" t="str">
        <f t="array" ref="AE183:AH183">[1]!'4766.TW-CName,InvestorConferenceDate,DateofMeetingofShareHolders,TradingDate'</f>
        <v>南寶</v>
      </c>
      <c r="AF183" t="str">
        <v>2022/11/16</v>
      </c>
      <c r="AG183" t="str">
        <v>2022/06/23</v>
      </c>
      <c r="AH183" t="str">
        <v>2022/12/22</v>
      </c>
    </row>
    <row r="184" spans="1:34" x14ac:dyDescent="0.3">
      <c r="A184" t="str">
        <f t="array" ref="A184:J184">[1]!'4770.TW-ID,Name,MarketValue,Capital,NetIncomeGrowthRate,OperIncomeGrowthRate,FinancialStatementsTime,TFXRatio,MonthlyNetSalesYoY,RevenueMonth'</f>
        <v>4770</v>
      </c>
      <c r="B184" t="str">
        <v>上品</v>
      </c>
      <c r="C184" t="str">
        <v>248.9</v>
      </c>
      <c r="D184" t="str">
        <v>7.90</v>
      </c>
      <c r="E184" t="str">
        <v>87.17</v>
      </c>
      <c r="F184" t="str">
        <v>77.20</v>
      </c>
      <c r="G184" t="str">
        <v>2022/09</v>
      </c>
      <c r="H184" t="str">
        <v>19.03</v>
      </c>
      <c r="I184" t="str">
        <v>18.78</v>
      </c>
      <c r="J184" t="str">
        <v>2022/11</v>
      </c>
      <c r="K184" t="str">
        <f t="array" ref="K184:T184">[1]!'4770.TW-OperatingProfitRatio,Price,PriceChangeRatio,InOutRatioNumber,Value,YearReturn,MonthReturn,WeekReturn,FinanceBalanceDif,ChipsField2'</f>
        <v>34.02</v>
      </c>
      <c r="L184">
        <v>315</v>
      </c>
      <c r="M184">
        <v>4.4800000000000004</v>
      </c>
      <c r="N184" t="str">
        <v>48.23%</v>
      </c>
      <c r="O184" t="str">
        <v>6.52億</v>
      </c>
      <c r="P184" t="str">
        <v>--</v>
      </c>
      <c r="Q184" t="str">
        <v>+7.33</v>
      </c>
      <c r="R184" t="str">
        <v>+0.16</v>
      </c>
      <c r="S184">
        <v>15</v>
      </c>
      <c r="T184">
        <v>160</v>
      </c>
      <c r="U184">
        <f t="array" ref="U184:AD184">[1]!'4770.TW-ChipsField3,ChipsField1,ChipsField25,CashAndStockDividend,CashDividendYieldRate,ProfitFourSeason,ProfitSingle,CName,ExchangeIndustry,CompanyPos'</f>
        <v>37</v>
      </c>
      <c r="V184">
        <v>-145</v>
      </c>
      <c r="W184" t="str">
        <v>2022/03/31</v>
      </c>
      <c r="X184" t="str">
        <v>8.00</v>
      </c>
      <c r="Y184">
        <v>2.54</v>
      </c>
      <c r="Z184" t="str">
        <v>20.41</v>
      </c>
      <c r="AA184" t="str">
        <v>5.91</v>
      </c>
      <c r="AB184" t="str">
        <v>上品</v>
      </c>
      <c r="AC184" t="str">
        <v>上市化工</v>
      </c>
      <c r="AD184" t="str">
        <v>電子化學品等級鐵氟龍槽車內襯市佔與產能全球第一</v>
      </c>
      <c r="AE184" t="str">
        <f t="array" ref="AE184:AH184">[1]!'4770.TW-CName,InvestorConferenceDate,DateofMeetingofShareHolders,TradingDate'</f>
        <v>上品</v>
      </c>
      <c r="AF184" t="str">
        <v>2022/11/11</v>
      </c>
      <c r="AG184" t="str">
        <v>2022/05/31</v>
      </c>
      <c r="AH184" t="str">
        <v>2022/12/22</v>
      </c>
    </row>
    <row r="185" spans="1:34" x14ac:dyDescent="0.3">
      <c r="A185" t="str">
        <f t="array" ref="A185:J185">[1]!'1598.TW-ID,Name,MarketValue,Capital,NetIncomeGrowthRate,OperIncomeGrowthRate,FinancialStatementsTime,TFXRatio,MonthlyNetSalesYoY,RevenueMonth'</f>
        <v>1598</v>
      </c>
      <c r="B185" t="str">
        <v>岱宇</v>
      </c>
      <c r="C185" t="str">
        <v>58.1</v>
      </c>
      <c r="D185" t="str">
        <v>13.41</v>
      </c>
      <c r="E185" t="str">
        <v>-110.65</v>
      </c>
      <c r="F185" t="str">
        <v>-171.78</v>
      </c>
      <c r="G185" t="str">
        <v>2022/09</v>
      </c>
      <c r="H185" t="str">
        <v>62.32</v>
      </c>
      <c r="I185" t="str">
        <v>2.54</v>
      </c>
      <c r="J185" t="str">
        <v>2022/11</v>
      </c>
      <c r="K185" t="str">
        <f t="array" ref="K185:T185">[1]!'1598.TW-OperatingProfitRatio,Price,PriceChangeRatio,InOutRatioNumber,Value,YearReturn,MonthReturn,WeekReturn,FinanceBalanceDif,ChipsField2'</f>
        <v>-10.13</v>
      </c>
      <c r="L185">
        <v>43.3</v>
      </c>
      <c r="M185">
        <v>0.46</v>
      </c>
      <c r="N185" t="str">
        <v>47.64%</v>
      </c>
      <c r="O185" t="str">
        <v>1038萬</v>
      </c>
      <c r="P185" t="str">
        <v>-16.12</v>
      </c>
      <c r="Q185" t="str">
        <v>+9.21</v>
      </c>
      <c r="R185" t="str">
        <v>-1.37</v>
      </c>
      <c r="S185">
        <v>-35</v>
      </c>
      <c r="T185">
        <v>0</v>
      </c>
      <c r="U185">
        <f t="array" ref="U185:AD185">[1]!'1598.TW-ChipsField3,ChipsField1,ChipsField25,CashAndStockDividend,CashDividendYieldRate,ProfitFourSeason,ProfitSingle,CName,ExchangeIndustry,CompanyPos'</f>
        <v>-10</v>
      </c>
      <c r="V185">
        <v>109</v>
      </c>
      <c r="W185" t="str">
        <v>2022/06/27</v>
      </c>
      <c r="X185" t="str">
        <v>2.51</v>
      </c>
      <c r="Y185">
        <v>5.8</v>
      </c>
      <c r="Z185" t="str">
        <v>-0.11</v>
      </c>
      <c r="AA185" t="str">
        <v>0.61</v>
      </c>
      <c r="AB185" t="str">
        <v>岱宇</v>
      </c>
      <c r="AC185" t="str">
        <v>上市生技醫療</v>
      </c>
      <c r="AD185" t="str">
        <v>台灣健身器材出口業者</v>
      </c>
      <c r="AE185" t="str">
        <f t="array" ref="AE185:AH185">[1]!'1598.TW-CName,InvestorConferenceDate,DateofMeetingofShareHolders,TradingDate'</f>
        <v>岱宇</v>
      </c>
      <c r="AF185" t="str">
        <v>2022/11/23</v>
      </c>
      <c r="AG185" t="str">
        <v>2022/05/27</v>
      </c>
      <c r="AH185" t="str">
        <v>2022/12/22</v>
      </c>
    </row>
    <row r="186" spans="1:34" x14ac:dyDescent="0.3">
      <c r="A186" t="str">
        <f t="array" ref="A186:J186">[1]!'1701.TW-ID,Name,MarketValue,Capital,NetIncomeGrowthRate,OperIncomeGrowthRate,FinancialStatementsTime,TFXRatio,MonthlyNetSalesYoY,RevenueMonth'</f>
        <v>1701</v>
      </c>
      <c r="B186" t="str">
        <v>中化</v>
      </c>
      <c r="C186" t="str">
        <v>92.1</v>
      </c>
      <c r="D186" t="str">
        <v>29.81</v>
      </c>
      <c r="E186" t="str">
        <v>2.64</v>
      </c>
      <c r="F186" t="str">
        <v>-3.61</v>
      </c>
      <c r="G186" t="str">
        <v>2022/09</v>
      </c>
      <c r="H186" t="str">
        <v>4.33</v>
      </c>
      <c r="I186" t="str">
        <v>6.77</v>
      </c>
      <c r="J186" t="str">
        <v>2022/11</v>
      </c>
      <c r="K186" t="str">
        <f t="array" ref="K186:T186">[1]!'1701.TW-OperatingProfitRatio,Price,PriceChangeRatio,InOutRatioNumber,Value,YearReturn,MonthReturn,WeekReturn,FinanceBalanceDif,ChipsField2'</f>
        <v>4.82</v>
      </c>
      <c r="L186">
        <v>30.9</v>
      </c>
      <c r="M186">
        <v>0.65</v>
      </c>
      <c r="N186" t="str">
        <v>59.49%</v>
      </c>
      <c r="O186" t="str">
        <v>2.26億</v>
      </c>
      <c r="P186" t="str">
        <v>+42.87</v>
      </c>
      <c r="Q186" t="str">
        <v>+48.56</v>
      </c>
      <c r="R186" t="str">
        <v>+6.00</v>
      </c>
      <c r="S186">
        <v>-309</v>
      </c>
      <c r="T186">
        <v>0</v>
      </c>
      <c r="U186">
        <f t="array" ref="U186:AD186">[1]!'1701.TW-ChipsField3,ChipsField1,ChipsField25,CashAndStockDividend,CashDividendYieldRate,ProfitFourSeason,ProfitSingle,CName,ExchangeIndustry,CompanyPos'</f>
        <v>-11</v>
      </c>
      <c r="V186">
        <v>158</v>
      </c>
      <c r="W186" t="str">
        <v>2022/07/25</v>
      </c>
      <c r="X186" t="str">
        <v>0.90</v>
      </c>
      <c r="Y186">
        <v>2.91</v>
      </c>
      <c r="Z186" t="str">
        <v>1.77</v>
      </c>
      <c r="AA186" t="str">
        <v>0.43</v>
      </c>
      <c r="AB186" t="str">
        <v>中化</v>
      </c>
      <c r="AC186" t="str">
        <v>上市生技醫療</v>
      </c>
      <c r="AD186" t="str">
        <v>台灣學名藥製劑龍頭廠</v>
      </c>
      <c r="AE186" t="str">
        <f t="array" ref="AE186:AH186">[1]!'1701.TW-CName,InvestorConferenceDate,DateofMeetingofShareHolders,TradingDate'</f>
        <v>中化</v>
      </c>
      <c r="AF186" t="str">
        <v>2022/12/02</v>
      </c>
      <c r="AG186" t="str">
        <v>2022/05/26</v>
      </c>
      <c r="AH186" t="str">
        <v>2022/12/22</v>
      </c>
    </row>
    <row r="187" spans="1:34" x14ac:dyDescent="0.3">
      <c r="A187" t="str">
        <f t="array" ref="A187:J187">[1]!'1707.TW-ID,Name,MarketValue,Capital,NetIncomeGrowthRate,OperIncomeGrowthRate,FinancialStatementsTime,TFXRatio,MonthlyNetSalesYoY,RevenueMonth'</f>
        <v>1707</v>
      </c>
      <c r="B187" t="str">
        <v>葡萄王</v>
      </c>
      <c r="C187" t="str">
        <v>221.5</v>
      </c>
      <c r="D187" t="str">
        <v>14.81</v>
      </c>
      <c r="E187" t="str">
        <v>13.21</v>
      </c>
      <c r="F187" t="str">
        <v>12.00</v>
      </c>
      <c r="G187" t="str">
        <v>2022/09</v>
      </c>
      <c r="H187" t="str">
        <v>36.56</v>
      </c>
      <c r="I187" t="str">
        <v>9.86</v>
      </c>
      <c r="J187" t="str">
        <v>2022/11</v>
      </c>
      <c r="K187" t="str">
        <f t="array" ref="K187:T187">[1]!'1707.TW-OperatingProfitRatio,Price,PriceChangeRatio,InOutRatioNumber,Value,YearReturn,MonthReturn,WeekReturn,FinanceBalanceDif,ChipsField2'</f>
        <v>23.80</v>
      </c>
      <c r="L187">
        <v>162.5</v>
      </c>
      <c r="M187">
        <v>0.62</v>
      </c>
      <c r="N187" t="str">
        <v>50.44%</v>
      </c>
      <c r="O187" t="str">
        <v>1.97億</v>
      </c>
      <c r="P187" t="str">
        <v>+5.74</v>
      </c>
      <c r="Q187" t="str">
        <v>+23.11</v>
      </c>
      <c r="R187" t="str">
        <v>+2.85</v>
      </c>
      <c r="S187">
        <v>-121</v>
      </c>
      <c r="T187">
        <v>363</v>
      </c>
      <c r="U187">
        <f t="array" ref="U187:AD187">[1]!'1707.TW-ChipsField3,ChipsField1,ChipsField25,CashAndStockDividend,CashDividendYieldRate,ProfitFourSeason,ProfitSingle,CName,ExchangeIndustry,CompanyPos'</f>
        <v>7</v>
      </c>
      <c r="V187">
        <v>486</v>
      </c>
      <c r="W187" t="str">
        <v>2022/06/15</v>
      </c>
      <c r="X187" t="str">
        <v>6.10</v>
      </c>
      <c r="Y187">
        <v>3.75</v>
      </c>
      <c r="Z187" t="str">
        <v>9.63</v>
      </c>
      <c r="AA187" t="str">
        <v>2.46</v>
      </c>
      <c r="AB187" t="str">
        <v>葡萄王</v>
      </c>
      <c r="AC187" t="str">
        <v>上市生技醫療</v>
      </c>
      <c r="AD187" t="str">
        <v>台灣保健食品製造領導廠商</v>
      </c>
      <c r="AE187" t="str">
        <f t="array" ref="AE187:AH187">[1]!'1707.TW-CName,InvestorConferenceDate,DateofMeetingofShareHolders,TradingDate'</f>
        <v>葡萄王</v>
      </c>
      <c r="AF187" t="str">
        <v>2022/02/17</v>
      </c>
      <c r="AG187" t="str">
        <v>2022/05/27</v>
      </c>
      <c r="AH187" t="str">
        <v>2022/12/22</v>
      </c>
    </row>
    <row r="188" spans="1:34" x14ac:dyDescent="0.3">
      <c r="A188" t="str">
        <f t="array" ref="A188:J188">[1]!'1720.TW-ID,Name,MarketValue,Capital,NetIncomeGrowthRate,OperIncomeGrowthRate,FinancialStatementsTime,TFXRatio,MonthlyNetSalesYoY,RevenueMonth'</f>
        <v>1720</v>
      </c>
      <c r="B188" t="str">
        <v>生達</v>
      </c>
      <c r="C188" t="str">
        <v>105.4</v>
      </c>
      <c r="D188" t="str">
        <v>17.87</v>
      </c>
      <c r="E188" t="str">
        <v>48.32</v>
      </c>
      <c r="F188" t="str">
        <v>28.49</v>
      </c>
      <c r="G188" t="str">
        <v>2022/09</v>
      </c>
      <c r="H188" t="str">
        <v>2.67</v>
      </c>
      <c r="I188" t="str">
        <v>36.73</v>
      </c>
      <c r="J188" t="str">
        <v>2022/11</v>
      </c>
      <c r="K188" t="str">
        <f t="array" ref="K188:T188">[1]!'1720.TW-OperatingProfitRatio,Price,PriceChangeRatio,InOutRatioNumber,Value,YearReturn,MonthReturn,WeekReturn,FinanceBalanceDif,ChipsField2'</f>
        <v>19.09</v>
      </c>
      <c r="L188">
        <v>59</v>
      </c>
      <c r="M188">
        <v>2.61</v>
      </c>
      <c r="N188" t="str">
        <v>55.16%</v>
      </c>
      <c r="O188" t="str">
        <v>5.04億</v>
      </c>
      <c r="P188" t="str">
        <v>+45.44</v>
      </c>
      <c r="Q188" t="str">
        <v>+25.00</v>
      </c>
      <c r="R188" t="str">
        <v>-2.96</v>
      </c>
      <c r="S188">
        <v>-243</v>
      </c>
      <c r="T188">
        <v>0</v>
      </c>
      <c r="U188">
        <f t="array" ref="U188:AD188">[1]!'1720.TW-ChipsField3,ChipsField1,ChipsField25,CashAndStockDividend,CashDividendYieldRate,ProfitFourSeason,ProfitSingle,CName,ExchangeIndustry,CompanyPos'</f>
        <v>-11</v>
      </c>
      <c r="V188">
        <v>999</v>
      </c>
      <c r="W188" t="str">
        <v>2022/07/28</v>
      </c>
      <c r="X188" t="str">
        <v>2.50</v>
      </c>
      <c r="Y188">
        <v>4.24</v>
      </c>
      <c r="Z188" t="str">
        <v>4.55</v>
      </c>
      <c r="AA188" t="str">
        <v>1.34</v>
      </c>
      <c r="AB188" t="str">
        <v>生達</v>
      </c>
      <c r="AC188" t="str">
        <v>上市生技醫療</v>
      </c>
      <c r="AD188" t="str">
        <v>台灣第三大學名藥廠</v>
      </c>
      <c r="AE188" t="str">
        <f t="array" ref="AE188:AH188">[1]!'1720.TW-CName,InvestorConferenceDate,DateofMeetingofShareHolders,TradingDate'</f>
        <v>生達</v>
      </c>
      <c r="AF188" t="str">
        <v>2022/11/17</v>
      </c>
      <c r="AG188" t="str">
        <v>2022/06/21</v>
      </c>
      <c r="AH188" t="str">
        <v>2022/12/22</v>
      </c>
    </row>
    <row r="189" spans="1:34" x14ac:dyDescent="0.3">
      <c r="A189" t="str">
        <f t="array" ref="A189:J189">[1]!'1731.TW-ID,Name,MarketValue,Capital,NetIncomeGrowthRate,OperIncomeGrowthRate,FinancialStatementsTime,TFXRatio,MonthlyNetSalesYoY,RevenueMonth'</f>
        <v>1731</v>
      </c>
      <c r="B189" t="str">
        <v>美吾華</v>
      </c>
      <c r="C189" t="str">
        <v>25.8</v>
      </c>
      <c r="D189" t="str">
        <v>13.29</v>
      </c>
      <c r="E189" t="str">
        <v>-3.40</v>
      </c>
      <c r="F189" t="str">
        <v>0.14</v>
      </c>
      <c r="G189" t="str">
        <v>2022/09</v>
      </c>
      <c r="H189" t="str">
        <v>-8.90</v>
      </c>
      <c r="I189" t="str">
        <v>-17.99</v>
      </c>
      <c r="J189" t="str">
        <v>2022/11</v>
      </c>
      <c r="K189" t="str">
        <f t="array" ref="K189:T189">[1]!'1731.TW-OperatingProfitRatio,Price,PriceChangeRatio,InOutRatioNumber,Value,YearReturn,MonthReturn,WeekReturn,FinanceBalanceDif,ChipsField2'</f>
        <v>17.88</v>
      </c>
      <c r="L189">
        <v>19.399999999999999</v>
      </c>
      <c r="M189">
        <v>-0.26</v>
      </c>
      <c r="N189" t="str">
        <v>53.54%</v>
      </c>
      <c r="O189" t="str">
        <v>699萬</v>
      </c>
      <c r="P189" t="str">
        <v>+6.54</v>
      </c>
      <c r="Q189" t="str">
        <v>+7.48</v>
      </c>
      <c r="R189" t="str">
        <v>+1.31</v>
      </c>
      <c r="S189">
        <v>24</v>
      </c>
      <c r="T189">
        <v>0</v>
      </c>
      <c r="U189">
        <f t="array" ref="U189:AD189">[1]!'1731.TW-ChipsField3,ChipsField1,ChipsField25,CashAndStockDividend,CashDividendYieldRate,ProfitFourSeason,ProfitSingle,CName,ExchangeIndustry,CompanyPos'</f>
        <v>-3</v>
      </c>
      <c r="V189">
        <v>14</v>
      </c>
      <c r="W189" t="str">
        <v>2022/06/28</v>
      </c>
      <c r="X189" t="str">
        <v>1.17</v>
      </c>
      <c r="Y189">
        <v>6.03</v>
      </c>
      <c r="Z189" t="str">
        <v>1.20</v>
      </c>
      <c r="AA189" t="str">
        <v>0.34</v>
      </c>
      <c r="AB189" t="str">
        <v>美吾華</v>
      </c>
      <c r="AC189" t="str">
        <v>上市生技醫療</v>
      </c>
      <c r="AD189" t="str">
        <v>藥品代理並生產自有品牌染髮劑及沐浴用品</v>
      </c>
      <c r="AE189" t="str">
        <f t="array" ref="AE189:AH189">[1]!'1731.TW-CName,InvestorConferenceDate,DateofMeetingofShareHolders,TradingDate'</f>
        <v>美吾華</v>
      </c>
      <c r="AF189" t="str">
        <v>2022/07/19</v>
      </c>
      <c r="AG189" t="str">
        <v>2022/05/25</v>
      </c>
      <c r="AH189" t="str">
        <v>2022/12/22</v>
      </c>
    </row>
    <row r="190" spans="1:34" x14ac:dyDescent="0.3">
      <c r="A190" t="str">
        <f t="array" ref="A190:J190">[1]!'1733.TW-ID,Name,MarketValue,Capital,NetIncomeGrowthRate,OperIncomeGrowthRate,FinancialStatementsTime,TFXRatio,MonthlyNetSalesYoY,RevenueMonth'</f>
        <v>1733</v>
      </c>
      <c r="B190" t="str">
        <v>五鼎</v>
      </c>
      <c r="C190" t="str">
        <v>25.7</v>
      </c>
      <c r="D190" t="str">
        <v>10.00</v>
      </c>
      <c r="E190" t="str">
        <v>14.76</v>
      </c>
      <c r="F190" t="str">
        <v>-19.68</v>
      </c>
      <c r="G190" t="str">
        <v>2022/09</v>
      </c>
      <c r="H190" t="str">
        <v>14.84</v>
      </c>
      <c r="I190" t="str">
        <v>-5.76</v>
      </c>
      <c r="J190" t="str">
        <v>2022/11</v>
      </c>
      <c r="K190" t="str">
        <f t="array" ref="K190:T190">[1]!'1733.TW-OperatingProfitRatio,Price,PriceChangeRatio,InOutRatioNumber,Value,YearReturn,MonthReturn,WeekReturn,FinanceBalanceDif,ChipsField2'</f>
        <v>7.25</v>
      </c>
      <c r="L190">
        <v>25.7</v>
      </c>
      <c r="M190">
        <v>1.18</v>
      </c>
      <c r="N190" t="str">
        <v>50.54%</v>
      </c>
      <c r="O190" t="str">
        <v>488萬</v>
      </c>
      <c r="P190" t="str">
        <v>+9.10</v>
      </c>
      <c r="Q190" t="str">
        <v>+5.33</v>
      </c>
      <c r="R190" t="str">
        <v>-0.77</v>
      </c>
      <c r="S190">
        <v>0</v>
      </c>
      <c r="T190">
        <v>0</v>
      </c>
      <c r="U190">
        <f t="array" ref="U190:AD190">[1]!'1733.TW-ChipsField3,ChipsField1,ChipsField25,CashAndStockDividend,CashDividendYieldRate,ProfitFourSeason,ProfitSingle,CName,ExchangeIndustry,CompanyPos'</f>
        <v>0</v>
      </c>
      <c r="V190">
        <v>51</v>
      </c>
      <c r="W190" t="str">
        <v>2022/06/16</v>
      </c>
      <c r="X190" t="str">
        <v>1.30</v>
      </c>
      <c r="Y190">
        <v>5.0599999999999996</v>
      </c>
      <c r="Z190" t="str">
        <v>2.20</v>
      </c>
      <c r="AA190" t="str">
        <v>0.64</v>
      </c>
      <c r="AB190" t="str">
        <v>五鼎</v>
      </c>
      <c r="AC190" t="str">
        <v>上市生技醫療</v>
      </c>
      <c r="AD190" t="str">
        <v>以血糖儀為主之OEM大廠</v>
      </c>
      <c r="AE190" t="str">
        <f t="array" ref="AE190:AH190">[1]!'1733.TW-CName,InvestorConferenceDate,DateofMeetingofShareHolders,TradingDate'</f>
        <v>五鼎</v>
      </c>
      <c r="AF190" t="str">
        <v>2022/11/17</v>
      </c>
      <c r="AG190" t="str">
        <v>2022/05/27</v>
      </c>
      <c r="AH190" t="str">
        <v>2022/12/22</v>
      </c>
    </row>
    <row r="191" spans="1:34" x14ac:dyDescent="0.3">
      <c r="A191" t="str">
        <f t="array" ref="A191:J191">[1]!'1734.TW-ID,Name,MarketValue,Capital,NetIncomeGrowthRate,OperIncomeGrowthRate,FinancialStatementsTime,TFXRatio,MonthlyNetSalesYoY,RevenueMonth'</f>
        <v>1734</v>
      </c>
      <c r="B191" t="str">
        <v>杏輝</v>
      </c>
      <c r="C191" t="str">
        <v>55.6</v>
      </c>
      <c r="D191" t="str">
        <v>16.77</v>
      </c>
      <c r="E191" t="str">
        <v>213.97</v>
      </c>
      <c r="F191" t="str">
        <v>227.74</v>
      </c>
      <c r="G191" t="str">
        <v>2022/09</v>
      </c>
      <c r="H191" t="str">
        <v>0.97</v>
      </c>
      <c r="I191" t="str">
        <v>18.49</v>
      </c>
      <c r="J191" t="str">
        <v>2022/11</v>
      </c>
      <c r="K191" t="str">
        <f t="array" ref="K191:T191">[1]!'1734.TW-OperatingProfitRatio,Price,PriceChangeRatio,InOutRatioNumber,Value,YearReturn,MonthReturn,WeekReturn,FinanceBalanceDif,ChipsField2'</f>
        <v>10.36</v>
      </c>
      <c r="L191">
        <v>33.15</v>
      </c>
      <c r="M191">
        <v>0.45</v>
      </c>
      <c r="N191" t="str">
        <v>45.50%</v>
      </c>
      <c r="O191" t="str">
        <v>9832萬</v>
      </c>
      <c r="P191" t="str">
        <v>+16.12</v>
      </c>
      <c r="Q191" t="str">
        <v>+11.43</v>
      </c>
      <c r="R191" t="str">
        <v>-4.74</v>
      </c>
      <c r="S191">
        <v>-93</v>
      </c>
      <c r="T191">
        <v>0</v>
      </c>
      <c r="U191">
        <f t="array" ref="U191:AD191">[1]!'1734.TW-ChipsField3,ChipsField1,ChipsField25,CashAndStockDividend,CashDividendYieldRate,ProfitFourSeason,ProfitSingle,CName,ExchangeIndustry,CompanyPos'</f>
        <v>0</v>
      </c>
      <c r="V191">
        <v>-184</v>
      </c>
      <c r="W191" t="str">
        <v>2022/07/21</v>
      </c>
      <c r="X191" t="str">
        <v>0.20</v>
      </c>
      <c r="Y191">
        <v>0.6</v>
      </c>
      <c r="Z191" t="str">
        <v>1.18</v>
      </c>
      <c r="AA191" t="str">
        <v>0.41</v>
      </c>
      <c r="AB191" t="str">
        <v>杏輝</v>
      </c>
      <c r="AC191" t="str">
        <v>上市生技醫療</v>
      </c>
      <c r="AD191" t="str">
        <v>台灣老牌學名藥製造商，並跨足保健食品及中草藥原料開發</v>
      </c>
      <c r="AE191" t="str">
        <f t="array" ref="AE191:AH191">[1]!'1734.TW-CName,InvestorConferenceDate,DateofMeetingofShareHolders,TradingDate'</f>
        <v>杏輝</v>
      </c>
      <c r="AF191" t="str">
        <v>2022/08/18</v>
      </c>
      <c r="AG191" t="str">
        <v>2022/06/21</v>
      </c>
      <c r="AH191" t="str">
        <v>2022/12/22</v>
      </c>
    </row>
    <row r="192" spans="1:34" x14ac:dyDescent="0.3">
      <c r="A192" t="str">
        <f t="array" ref="A192:J192">[1]!'1736.TW-ID,Name,MarketValue,Capital,NetIncomeGrowthRate,OperIncomeGrowthRate,FinancialStatementsTime,TFXRatio,MonthlyNetSalesYoY,RevenueMonth'</f>
        <v>1736</v>
      </c>
      <c r="B192" t="str">
        <v>喬山</v>
      </c>
      <c r="C192" t="str">
        <v>228.9</v>
      </c>
      <c r="D192" t="str">
        <v>30.36</v>
      </c>
      <c r="E192" t="str">
        <v>24.67</v>
      </c>
      <c r="F192" t="str">
        <v>-117.85</v>
      </c>
      <c r="G192" t="str">
        <v>2022/09</v>
      </c>
      <c r="H192" t="str">
        <v>14.95</v>
      </c>
      <c r="I192" t="str">
        <v>37.97</v>
      </c>
      <c r="J192" t="str">
        <v>2022/11</v>
      </c>
      <c r="K192" t="str">
        <f t="array" ref="K192:T192">[1]!'1736.TW-OperatingProfitRatio,Price,PriceChangeRatio,InOutRatioNumber,Value,YearReturn,MonthReturn,WeekReturn,FinanceBalanceDif,ChipsField2'</f>
        <v>-4.71</v>
      </c>
      <c r="L192">
        <v>75.400000000000006</v>
      </c>
      <c r="M192">
        <v>0.67</v>
      </c>
      <c r="N192" t="str">
        <v>42.07%</v>
      </c>
      <c r="O192" t="str">
        <v>7109萬</v>
      </c>
      <c r="P192" t="str">
        <v>+34.35</v>
      </c>
      <c r="Q192" t="str">
        <v>+2.72</v>
      </c>
      <c r="R192" t="str">
        <v>-4.31</v>
      </c>
      <c r="S192">
        <v>33</v>
      </c>
      <c r="T192">
        <v>-100</v>
      </c>
      <c r="U192">
        <f t="array" ref="U192:AD192">[1]!'1736.TW-ChipsField3,ChipsField1,ChipsField25,CashAndStockDividend,CashDividendYieldRate,ProfitFourSeason,ProfitSingle,CName,ExchangeIndustry,CompanyPos'</f>
        <v>8</v>
      </c>
      <c r="V192">
        <v>-192</v>
      </c>
      <c r="W192" t="str">
        <v>2022/09/07</v>
      </c>
      <c r="X192" t="str">
        <v>0.50</v>
      </c>
      <c r="Y192">
        <v>0.66</v>
      </c>
      <c r="Z192" t="str">
        <v>1.22</v>
      </c>
      <c r="AA192" t="str">
        <v>0.74</v>
      </c>
      <c r="AB192" t="str">
        <v>喬山</v>
      </c>
      <c r="AC192" t="str">
        <v>上市生技醫療</v>
      </c>
      <c r="AD192" t="str">
        <v>台灣第一大、全球前四大健身器材廠</v>
      </c>
      <c r="AE192" t="str">
        <f t="array" ref="AE192:AH192">[1]!'1736.TW-CName,InvestorConferenceDate,DateofMeetingofShareHolders,TradingDate'</f>
        <v>喬山</v>
      </c>
      <c r="AF192" t="str">
        <v>2021/04/09</v>
      </c>
      <c r="AG192" t="str">
        <v>2022/06/27</v>
      </c>
      <c r="AH192" t="str">
        <v>2022/12/22</v>
      </c>
    </row>
    <row r="193" spans="1:34" x14ac:dyDescent="0.3">
      <c r="A193" t="str">
        <f t="array" ref="A193:J193">[1]!'1752.TW-ID,Name,MarketValue,Capital,NetIncomeGrowthRate,OperIncomeGrowthRate,FinancialStatementsTime,TFXRatio,MonthlyNetSalesYoY,RevenueMonth'</f>
        <v>1752</v>
      </c>
      <c r="B193" t="str">
        <v>南光</v>
      </c>
      <c r="C193" t="str">
        <v>59.8</v>
      </c>
      <c r="D193" t="str">
        <v>10.10</v>
      </c>
      <c r="E193" t="str">
        <v>31.67</v>
      </c>
      <c r="F193" t="str">
        <v>4.66</v>
      </c>
      <c r="G193" t="str">
        <v>2022/09</v>
      </c>
      <c r="H193" t="str">
        <v>-6.56</v>
      </c>
      <c r="I193" t="str">
        <v>34.47</v>
      </c>
      <c r="J193" t="str">
        <v>2022/11</v>
      </c>
      <c r="K193" t="str">
        <f t="array" ref="K193:T193">[1]!'1752.TW-OperatingProfitRatio,Price,PriceChangeRatio,InOutRatioNumber,Value,YearReturn,MonthReturn,WeekReturn,FinanceBalanceDif,ChipsField2'</f>
        <v>14.90</v>
      </c>
      <c r="L193">
        <v>59.2</v>
      </c>
      <c r="M193">
        <v>1.54</v>
      </c>
      <c r="N193" t="str">
        <v>51.11%</v>
      </c>
      <c r="O193" t="str">
        <v>32.9億</v>
      </c>
      <c r="P193" t="str">
        <v>+64.61</v>
      </c>
      <c r="Q193" t="str">
        <v>+68.42</v>
      </c>
      <c r="R193" t="str">
        <v>+15.18</v>
      </c>
      <c r="S193">
        <v>1959</v>
      </c>
      <c r="T193">
        <v>658</v>
      </c>
      <c r="U193">
        <f t="array" ref="U193:AD193">[1]!'1752.TW-ChipsField3,ChipsField1,ChipsField25,CashAndStockDividend,CashDividendYieldRate,ProfitFourSeason,ProfitSingle,CName,ExchangeIndustry,CompanyPos'</f>
        <v>-100</v>
      </c>
      <c r="V193">
        <v>49</v>
      </c>
      <c r="W193" t="str">
        <v>2022/06/29</v>
      </c>
      <c r="X193" t="str">
        <v>1.80</v>
      </c>
      <c r="Y193">
        <v>3.04</v>
      </c>
      <c r="Z193" t="str">
        <v>2.40</v>
      </c>
      <c r="AA193" t="str">
        <v>0.74</v>
      </c>
      <c r="AB193" t="str">
        <v>南光</v>
      </c>
      <c r="AC193" t="str">
        <v>上市生技醫療</v>
      </c>
      <c r="AD193" t="str">
        <v>台灣最大針劑製造廠</v>
      </c>
      <c r="AE193" t="str">
        <f t="array" ref="AE193:AH193">[1]!'1752.TW-CName,InvestorConferenceDate,DateofMeetingofShareHolders,TradingDate'</f>
        <v>南光</v>
      </c>
      <c r="AF193" t="str">
        <v>2021/12/02</v>
      </c>
      <c r="AG193" t="str">
        <v>2022/05/27</v>
      </c>
      <c r="AH193" t="str">
        <v>2022/12/22</v>
      </c>
    </row>
    <row r="194" spans="1:34" x14ac:dyDescent="0.3">
      <c r="A194" t="str">
        <f t="array" ref="A194:J194">[1]!'1760.TW-ID,Name,MarketValue,Capital,NetIncomeGrowthRate,OperIncomeGrowthRate,FinancialStatementsTime,TFXRatio,MonthlyNetSalesYoY,RevenueMonth'</f>
        <v>1760</v>
      </c>
      <c r="B194" t="str">
        <v>寶齡富錦</v>
      </c>
      <c r="C194" t="str">
        <v>150.0</v>
      </c>
      <c r="D194" t="str">
        <v>8.57</v>
      </c>
      <c r="E194" t="str">
        <v>154.73</v>
      </c>
      <c r="F194" t="str">
        <v>160.40</v>
      </c>
      <c r="G194" t="str">
        <v>2022/09</v>
      </c>
      <c r="H194" t="str">
        <v>102.03</v>
      </c>
      <c r="I194" t="str">
        <v>7.44</v>
      </c>
      <c r="J194" t="str">
        <v>2022/11</v>
      </c>
      <c r="K194" t="str">
        <f t="array" ref="K194:T194">[1]!'1760.TW-OperatingProfitRatio,Price,PriceChangeRatio,InOutRatioNumber,Value,YearReturn,MonthReturn,WeekReturn,FinanceBalanceDif,ChipsField2'</f>
        <v>20.02</v>
      </c>
      <c r="L194">
        <v>175</v>
      </c>
      <c r="M194">
        <v>2.94</v>
      </c>
      <c r="N194" t="str">
        <v>55.86%</v>
      </c>
      <c r="O194" t="str">
        <v>23.4億</v>
      </c>
      <c r="P194" t="str">
        <v>+152.39</v>
      </c>
      <c r="Q194" t="str">
        <v>-1.13</v>
      </c>
      <c r="R194" t="str">
        <v>-1.96</v>
      </c>
      <c r="S194">
        <v>260</v>
      </c>
      <c r="T194">
        <v>0</v>
      </c>
      <c r="U194">
        <f t="array" ref="U194:AD194">[1]!'1760.TW-ChipsField3,ChipsField1,ChipsField25,CashAndStockDividend,CashDividendYieldRate,ProfitFourSeason,ProfitSingle,CName,ExchangeIndustry,CompanyPos'</f>
        <v>-38</v>
      </c>
      <c r="V194">
        <v>141</v>
      </c>
      <c r="W194" t="str">
        <v>2022/06/27</v>
      </c>
      <c r="X194" t="str">
        <v>1.50</v>
      </c>
      <c r="Y194">
        <v>0.86</v>
      </c>
      <c r="Z194" t="str">
        <v>3.25</v>
      </c>
      <c r="AA194" t="str">
        <v>0.91</v>
      </c>
      <c r="AB194" t="str">
        <v>寶齡富錦</v>
      </c>
      <c r="AC194" t="str">
        <v>上市生技醫療</v>
      </c>
      <c r="AD194" t="str">
        <v>腎臟病新藥Nephoxil取得美FDA藥證</v>
      </c>
      <c r="AE194" t="str">
        <f t="array" ref="AE194:AH194">[1]!'1760.TW-CName,InvestorConferenceDate,DateofMeetingofShareHolders,TradingDate'</f>
        <v>寶齡富錦</v>
      </c>
      <c r="AF194" t="str">
        <v>2022/12/12</v>
      </c>
      <c r="AG194" t="str">
        <v>2022/06/08</v>
      </c>
      <c r="AH194" t="str">
        <v>2022/12/22</v>
      </c>
    </row>
    <row r="195" spans="1:34" x14ac:dyDescent="0.3">
      <c r="A195" t="str">
        <f t="array" ref="A195:J195">[1]!'1762.TW-ID,Name,MarketValue,Capital,NetIncomeGrowthRate,OperIncomeGrowthRate,FinancialStatementsTime,TFXRatio,MonthlyNetSalesYoY,RevenueMonth'</f>
        <v>1762</v>
      </c>
      <c r="B195" t="str">
        <v>中化生</v>
      </c>
      <c r="C195" t="str">
        <v>48.7</v>
      </c>
      <c r="D195" t="str">
        <v>7.76</v>
      </c>
      <c r="E195" t="str">
        <v>27.98</v>
      </c>
      <c r="F195" t="str">
        <v>5.28</v>
      </c>
      <c r="G195" t="str">
        <v>2022/09</v>
      </c>
      <c r="H195" t="str">
        <v>-20.09</v>
      </c>
      <c r="I195" t="str">
        <v>35.01</v>
      </c>
      <c r="J195" t="str">
        <v>2022/11</v>
      </c>
      <c r="K195" t="str">
        <f t="array" ref="K195:T195">[1]!'1762.TW-OperatingProfitRatio,Price,PriceChangeRatio,InOutRatioNumber,Value,YearReturn,MonthReturn,WeekReturn,FinanceBalanceDif,ChipsField2'</f>
        <v>24.16</v>
      </c>
      <c r="L195">
        <v>62.8</v>
      </c>
      <c r="M195">
        <v>2.4500000000000002</v>
      </c>
      <c r="N195" t="str">
        <v>60.05%</v>
      </c>
      <c r="O195" t="str">
        <v>9651萬</v>
      </c>
      <c r="P195" t="str">
        <v>-0.98</v>
      </c>
      <c r="Q195" t="str">
        <v>+7.35</v>
      </c>
      <c r="R195" t="str">
        <v>+0.48</v>
      </c>
      <c r="S195">
        <v>-201</v>
      </c>
      <c r="T195">
        <v>-135</v>
      </c>
      <c r="U195">
        <f t="array" ref="U195:AD195">[1]!'1762.TW-ChipsField3,ChipsField1,ChipsField25,CashAndStockDividend,CashDividendYieldRate,ProfitFourSeason,ProfitSingle,CName,ExchangeIndustry,CompanyPos'</f>
        <v>-68</v>
      </c>
      <c r="V195">
        <v>82</v>
      </c>
      <c r="W195" t="str">
        <v>2022/07/22</v>
      </c>
      <c r="X195" t="str">
        <v>1.30</v>
      </c>
      <c r="Y195">
        <v>2.0699999999999998</v>
      </c>
      <c r="Z195" t="str">
        <v>6.29</v>
      </c>
      <c r="AA195" t="str">
        <v>1.56</v>
      </c>
      <c r="AB195" t="str">
        <v>中化生</v>
      </c>
      <c r="AC195" t="str">
        <v>上市生技醫療</v>
      </c>
      <c r="AD195" t="str">
        <v>中化旗下原料藥製造商，MMF與MCB美國市佔第一</v>
      </c>
      <c r="AE195" t="str">
        <f t="array" ref="AE195:AH195">[1]!'1762.TW-CName,InvestorConferenceDate,DateofMeetingofShareHolders,TradingDate'</f>
        <v>中化生</v>
      </c>
      <c r="AF195" t="str">
        <v>2022/08/25</v>
      </c>
      <c r="AG195" t="str">
        <v>2022/05/25</v>
      </c>
      <c r="AH195" t="str">
        <v>2022/12/22</v>
      </c>
    </row>
    <row r="196" spans="1:34" x14ac:dyDescent="0.3">
      <c r="A196" t="str">
        <f t="array" ref="A196:J196">[1]!'1783.TW-ID,Name,MarketValue,Capital,NetIncomeGrowthRate,OperIncomeGrowthRate,FinancialStatementsTime,TFXRatio,MonthlyNetSalesYoY,RevenueMonth'</f>
        <v>1783</v>
      </c>
      <c r="B196" t="str">
        <v>和康生</v>
      </c>
      <c r="C196" t="str">
        <v>41.6</v>
      </c>
      <c r="D196" t="str">
        <v>8.47</v>
      </c>
      <c r="E196" t="str">
        <v>30.10</v>
      </c>
      <c r="F196" t="str">
        <v>6.91</v>
      </c>
      <c r="G196" t="str">
        <v>2022/09</v>
      </c>
      <c r="H196" t="str">
        <v>3.98</v>
      </c>
      <c r="I196" t="str">
        <v>20.46</v>
      </c>
      <c r="J196" t="str">
        <v>2022/11</v>
      </c>
      <c r="K196" t="str">
        <f t="array" ref="K196:T196">[1]!'1783.TW-OperatingProfitRatio,Price,PriceChangeRatio,InOutRatioNumber,Value,YearReturn,MonthReturn,WeekReturn,FinanceBalanceDif,ChipsField2'</f>
        <v>17.81</v>
      </c>
      <c r="L196">
        <v>49.15</v>
      </c>
      <c r="M196">
        <v>4.57</v>
      </c>
      <c r="N196" t="str">
        <v>64.84%</v>
      </c>
      <c r="O196" t="str">
        <v>9750萬</v>
      </c>
      <c r="P196" t="str">
        <v>+3.57</v>
      </c>
      <c r="Q196" t="str">
        <v>+16.88</v>
      </c>
      <c r="R196" t="str">
        <v>+2.82</v>
      </c>
      <c r="S196">
        <v>-81</v>
      </c>
      <c r="T196">
        <v>0</v>
      </c>
      <c r="U196">
        <f t="array" ref="U196:AD196">[1]!'1783.TW-ChipsField3,ChipsField1,ChipsField25,CashAndStockDividend,CashDividendYieldRate,ProfitFourSeason,ProfitSingle,CName,ExchangeIndustry,CompanyPos'</f>
        <v>-3</v>
      </c>
      <c r="V196">
        <v>840</v>
      </c>
      <c r="W196" t="str">
        <v>--</v>
      </c>
      <c r="X196" t="str">
        <v>1.00</v>
      </c>
      <c r="Y196">
        <v>2.0299999999999998</v>
      </c>
      <c r="Z196" t="str">
        <v>1.45</v>
      </c>
      <c r="AA196" t="str">
        <v>0.55</v>
      </c>
      <c r="AB196" t="str">
        <v>和康生</v>
      </c>
      <c r="AC196" t="str">
        <v>上市生技醫療</v>
      </c>
      <c r="AD196" t="str">
        <v>專注膠原蛋白之高階醫材及醫美保養產品</v>
      </c>
      <c r="AE196" t="str">
        <f t="array" ref="AE196:AH196">[1]!'1783.TW-CName,InvestorConferenceDate,DateofMeetingofShareHolders,TradingDate'</f>
        <v>和康生</v>
      </c>
      <c r="AF196" t="str">
        <v>2022/12/20</v>
      </c>
      <c r="AG196" t="str">
        <v>2022/06/21</v>
      </c>
      <c r="AH196" t="str">
        <v>2022/12/22</v>
      </c>
    </row>
    <row r="197" spans="1:34" x14ac:dyDescent="0.3">
      <c r="A197" t="str">
        <f t="array" ref="A197:J197">[1]!'1786.TW-ID,Name,MarketValue,Capital,NetIncomeGrowthRate,OperIncomeGrowthRate,FinancialStatementsTime,TFXRatio,MonthlyNetSalesYoY,RevenueMonth'</f>
        <v>1786</v>
      </c>
      <c r="B197" t="str">
        <v>科妍</v>
      </c>
      <c r="C197" t="str">
        <v>36.9</v>
      </c>
      <c r="D197" t="str">
        <v>6.62</v>
      </c>
      <c r="E197" t="str">
        <v>46.91</v>
      </c>
      <c r="F197" t="str">
        <v>1.56</v>
      </c>
      <c r="G197" t="str">
        <v>2022/09</v>
      </c>
      <c r="H197" t="str">
        <v>-13.46</v>
      </c>
      <c r="I197" t="str">
        <v>16.81</v>
      </c>
      <c r="J197" t="str">
        <v>2022/11</v>
      </c>
      <c r="K197" t="str">
        <f t="array" ref="K197:T197">[1]!'1786.TW-OperatingProfitRatio,Price,PriceChangeRatio,InOutRatioNumber,Value,YearReturn,MonthReturn,WeekReturn,FinanceBalanceDif,ChipsField2'</f>
        <v>23.02</v>
      </c>
      <c r="L197">
        <v>55.7</v>
      </c>
      <c r="M197">
        <v>3.15</v>
      </c>
      <c r="N197" t="str">
        <v>58.30%</v>
      </c>
      <c r="O197" t="str">
        <v>2559萬</v>
      </c>
      <c r="P197" t="str">
        <v>+15.96</v>
      </c>
      <c r="Q197" t="str">
        <v>+15.80</v>
      </c>
      <c r="R197" t="str">
        <v>+1.64</v>
      </c>
      <c r="S197">
        <v>-39</v>
      </c>
      <c r="T197">
        <v>0</v>
      </c>
      <c r="U197">
        <f t="array" ref="U197:AD197">[1]!'1786.TW-ChipsField3,ChipsField1,ChipsField25,CashAndStockDividend,CashDividendYieldRate,ProfitFourSeason,ProfitSingle,CName,ExchangeIndustry,CompanyPos'</f>
        <v>-3</v>
      </c>
      <c r="V197">
        <v>127</v>
      </c>
      <c r="W197" t="str">
        <v>2022/07/18</v>
      </c>
      <c r="X197" t="str">
        <v>1.42</v>
      </c>
      <c r="Y197">
        <v>2.5499999999999998</v>
      </c>
      <c r="Z197" t="str">
        <v>2.08</v>
      </c>
      <c r="AA197" t="str">
        <v>0.69</v>
      </c>
      <c r="AB197" t="str">
        <v>科妍</v>
      </c>
      <c r="AC197" t="str">
        <v>上市生技醫療</v>
      </c>
      <c r="AD197" t="str">
        <v>台灣首家醫療級玻尿酸醫材廠</v>
      </c>
      <c r="AE197" t="str">
        <f t="array" ref="AE197:AH197">[1]!'1786.TW-CName,InvestorConferenceDate,DateofMeetingofShareHolders,TradingDate'</f>
        <v>科妍</v>
      </c>
      <c r="AF197" t="str">
        <v>2022/11/30</v>
      </c>
      <c r="AG197" t="str">
        <v>2022/06/29</v>
      </c>
      <c r="AH197" t="str">
        <v>2022/12/22</v>
      </c>
    </row>
    <row r="198" spans="1:34" x14ac:dyDescent="0.3">
      <c r="A198" t="str">
        <f t="array" ref="A198:J198">[1]!'1789.TW-ID,Name,MarketValue,Capital,NetIncomeGrowthRate,OperIncomeGrowthRate,FinancialStatementsTime,TFXRatio,MonthlyNetSalesYoY,RevenueMonth'</f>
        <v>1789</v>
      </c>
      <c r="B198" t="str">
        <v>神隆</v>
      </c>
      <c r="C198" t="str">
        <v>206.4</v>
      </c>
      <c r="D198" t="str">
        <v>79.07</v>
      </c>
      <c r="E198" t="str">
        <v>32.61</v>
      </c>
      <c r="F198" t="str">
        <v>23.46</v>
      </c>
      <c r="G198" t="str">
        <v>2022/09</v>
      </c>
      <c r="H198" t="str">
        <v>29.25</v>
      </c>
      <c r="I198" t="str">
        <v>-1.94</v>
      </c>
      <c r="J198" t="str">
        <v>2022/11</v>
      </c>
      <c r="K198" t="str">
        <f t="array" ref="K198:T198">[1]!'1789.TW-OperatingProfitRatio,Price,PriceChangeRatio,InOutRatioNumber,Value,YearReturn,MonthReturn,WeekReturn,FinanceBalanceDif,ChipsField2'</f>
        <v>12.45</v>
      </c>
      <c r="L198">
        <v>26.1</v>
      </c>
      <c r="M198">
        <v>1.56</v>
      </c>
      <c r="N198" t="str">
        <v>47.77%</v>
      </c>
      <c r="O198" t="str">
        <v>3578萬</v>
      </c>
      <c r="P198" t="str">
        <v>+9.91</v>
      </c>
      <c r="Q198" t="str">
        <v>+6.31</v>
      </c>
      <c r="R198" t="str">
        <v>+0.38</v>
      </c>
      <c r="S198">
        <v>-106</v>
      </c>
      <c r="T198">
        <v>0</v>
      </c>
      <c r="U198">
        <f t="array" ref="U198:AD198">[1]!'1789.TW-ChipsField3,ChipsField1,ChipsField25,CashAndStockDividend,CashDividendYieldRate,ProfitFourSeason,ProfitSingle,CName,ExchangeIndustry,CompanyPos'</f>
        <v>-38</v>
      </c>
      <c r="V198">
        <v>240</v>
      </c>
      <c r="W198" t="str">
        <v>2022/07/07</v>
      </c>
      <c r="X198" t="str">
        <v>0.48</v>
      </c>
      <c r="Y198">
        <v>1.84</v>
      </c>
      <c r="Z198" t="str">
        <v>0.39</v>
      </c>
      <c r="AA198" t="str">
        <v>0.08</v>
      </c>
      <c r="AB198" t="str">
        <v>神隆</v>
      </c>
      <c r="AC198" t="str">
        <v>上市生技醫療</v>
      </c>
      <c r="AD198" t="str">
        <v>全球最大原料藥代工廠，台灣原料藥龍頭</v>
      </c>
      <c r="AE198" t="str">
        <f t="array" ref="AE198:AH198">[1]!'1789.TW-CName,InvestorConferenceDate,DateofMeetingofShareHolders,TradingDate'</f>
        <v>神隆</v>
      </c>
      <c r="AF198" t="str">
        <v>2022/08/10</v>
      </c>
      <c r="AG198" t="str">
        <v>2022/05/30</v>
      </c>
      <c r="AH198" t="str">
        <v>2022/12/22</v>
      </c>
    </row>
    <row r="199" spans="1:34" x14ac:dyDescent="0.3">
      <c r="A199" t="str">
        <f t="array" ref="A199:J199">[1]!'1795.TW-ID,Name,MarketValue,Capital,NetIncomeGrowthRate,OperIncomeGrowthRate,FinancialStatementsTime,TFXRatio,MonthlyNetSalesYoY,RevenueMonth'</f>
        <v>1795</v>
      </c>
      <c r="B199" t="str">
        <v>美時</v>
      </c>
      <c r="C199" t="str">
        <v>567.3</v>
      </c>
      <c r="D199" t="str">
        <v>26.26</v>
      </c>
      <c r="E199" t="str">
        <v>147.73</v>
      </c>
      <c r="F199" t="str">
        <v>97.36</v>
      </c>
      <c r="G199" t="str">
        <v>2022/09</v>
      </c>
      <c r="H199" t="str">
        <v>29.19</v>
      </c>
      <c r="I199" t="str">
        <v>8.61</v>
      </c>
      <c r="J199" t="str">
        <v>2022/11</v>
      </c>
      <c r="K199" t="str">
        <f t="array" ref="K199:T199">[1]!'1795.TW-OperatingProfitRatio,Price,PriceChangeRatio,InOutRatioNumber,Value,YearReturn,MonthReturn,WeekReturn,FinanceBalanceDif,ChipsField2'</f>
        <v>32.76</v>
      </c>
      <c r="L199">
        <v>231.5</v>
      </c>
      <c r="M199">
        <v>1.31</v>
      </c>
      <c r="N199" t="str">
        <v>47.68%</v>
      </c>
      <c r="O199" t="str">
        <v>33.2億</v>
      </c>
      <c r="P199" t="str">
        <v>+141.17</v>
      </c>
      <c r="Q199" t="str">
        <v>+20.57</v>
      </c>
      <c r="R199" t="str">
        <v>-9.22</v>
      </c>
      <c r="S199">
        <v>251</v>
      </c>
      <c r="T199">
        <v>-785</v>
      </c>
      <c r="U199">
        <f t="array" ref="U199:AD199">[1]!'1795.TW-ChipsField3,ChipsField1,ChipsField25,CashAndStockDividend,CashDividendYieldRate,ProfitFourSeason,ProfitSingle,CName,ExchangeIndustry,CompanyPos'</f>
        <v>-32</v>
      </c>
      <c r="V199">
        <v>255</v>
      </c>
      <c r="W199" t="str">
        <v>2022/08/04</v>
      </c>
      <c r="X199" t="str">
        <v>1.93</v>
      </c>
      <c r="Y199">
        <v>0.83</v>
      </c>
      <c r="Z199" t="str">
        <v>11.98</v>
      </c>
      <c r="AA199" t="str">
        <v>7.97</v>
      </c>
      <c r="AB199" t="str">
        <v>美時</v>
      </c>
      <c r="AC199" t="str">
        <v>上市生技醫療</v>
      </c>
      <c r="AD199" t="str">
        <v>台灣老牌學名藥廠，國際醫藥集團Alvogen持股近7成</v>
      </c>
      <c r="AE199" t="str">
        <f t="array" ref="AE199:AH199">[1]!'1795.TW-CName,InvestorConferenceDate,DateofMeetingofShareHolders,TradingDate'</f>
        <v>美時</v>
      </c>
      <c r="AF199" t="str">
        <v>2022/11/15</v>
      </c>
      <c r="AG199" t="str">
        <v>2022/06/30</v>
      </c>
      <c r="AH199" t="str">
        <v>2022/12/22</v>
      </c>
    </row>
    <row r="200" spans="1:34" x14ac:dyDescent="0.3">
      <c r="A200" t="str">
        <f t="array" ref="A200:J200">[1]!'3164.TW-ID,Name,MarketValue,Capital,NetIncomeGrowthRate,OperIncomeGrowthRate,FinancialStatementsTime,TFXRatio,MonthlyNetSalesYoY,RevenueMonth'</f>
        <v>3164</v>
      </c>
      <c r="B200" t="str">
        <v>景岳</v>
      </c>
      <c r="C200" t="str">
        <v>21.6</v>
      </c>
      <c r="D200" t="str">
        <v>8.64</v>
      </c>
      <c r="E200" t="str">
        <v>-45.41</v>
      </c>
      <c r="F200" t="str">
        <v>-55.65</v>
      </c>
      <c r="G200" t="str">
        <v>2022/09</v>
      </c>
      <c r="H200" t="str">
        <v>16.10</v>
      </c>
      <c r="I200" t="str">
        <v>-13.76</v>
      </c>
      <c r="J200" t="str">
        <v>2022/11</v>
      </c>
      <c r="K200" t="str">
        <f t="array" ref="K200:T200">[1]!'3164.TW-OperatingProfitRatio,Price,PriceChangeRatio,InOutRatioNumber,Value,YearReturn,MonthReturn,WeekReturn,FinanceBalanceDif,ChipsField2'</f>
        <v>15.08</v>
      </c>
      <c r="L200">
        <v>25.05</v>
      </c>
      <c r="M200">
        <v>1.21</v>
      </c>
      <c r="N200" t="str">
        <v>45.82%</v>
      </c>
      <c r="O200" t="str">
        <v>695萬</v>
      </c>
      <c r="P200" t="str">
        <v>+8.69</v>
      </c>
      <c r="Q200" t="str">
        <v>+13.09</v>
      </c>
      <c r="R200" t="str">
        <v>+1.42</v>
      </c>
      <c r="S200">
        <v>126</v>
      </c>
      <c r="T200">
        <v>0</v>
      </c>
      <c r="U200">
        <f t="array" ref="U200:AD200">[1]!'3164.TW-ChipsField3,ChipsField1,ChipsField25,CashAndStockDividend,CashDividendYieldRate,ProfitFourSeason,ProfitSingle,CName,ExchangeIndustry,CompanyPos'</f>
        <v>-2</v>
      </c>
      <c r="V200">
        <v>-43</v>
      </c>
      <c r="W200" t="str">
        <v>2022/06/24</v>
      </c>
      <c r="X200" t="str">
        <v>1.10</v>
      </c>
      <c r="Y200">
        <v>4.3899999999999997</v>
      </c>
      <c r="Z200" t="str">
        <v>1.01</v>
      </c>
      <c r="AA200" t="str">
        <v>0.09</v>
      </c>
      <c r="AB200" t="str">
        <v>景岳</v>
      </c>
      <c r="AC200" t="str">
        <v>上市生技醫療</v>
      </c>
      <c r="AD200" t="str">
        <v>亞洲第一家益生菌原料藥GMP廠</v>
      </c>
      <c r="AE200" t="str">
        <f t="array" ref="AE200:AH200">[1]!'3164.TW-CName,InvestorConferenceDate,DateofMeetingofShareHolders,TradingDate'</f>
        <v>景岳</v>
      </c>
      <c r="AF200" t="str">
        <v>2022/12/16</v>
      </c>
      <c r="AG200" t="str">
        <v>2022/05/27</v>
      </c>
      <c r="AH200" t="str">
        <v>2022/12/22</v>
      </c>
    </row>
    <row r="201" spans="1:34" x14ac:dyDescent="0.3">
      <c r="A201" t="str">
        <f t="array" ref="A201:J201">[1]!'3705.TW-ID,Name,MarketValue,Capital,NetIncomeGrowthRate,OperIncomeGrowthRate,FinancialStatementsTime,TFXRatio,MonthlyNetSalesYoY,RevenueMonth'</f>
        <v>3705</v>
      </c>
      <c r="B201" t="str">
        <v>永信</v>
      </c>
      <c r="C201" t="str">
        <v>121.9</v>
      </c>
      <c r="D201" t="str">
        <v>26.64</v>
      </c>
      <c r="E201" t="str">
        <v>40.39</v>
      </c>
      <c r="F201" t="str">
        <v>-10.33</v>
      </c>
      <c r="G201" t="str">
        <v>2022/09</v>
      </c>
      <c r="H201" t="str">
        <v>6.84</v>
      </c>
      <c r="I201" t="str">
        <v>-1.88</v>
      </c>
      <c r="J201" t="str">
        <v>2022/11</v>
      </c>
      <c r="K201" t="str">
        <f t="array" ref="K201:T201">[1]!'3705.TW-OperatingProfitRatio,Price,PriceChangeRatio,InOutRatioNumber,Value,YearReturn,MonthReturn,WeekReturn,FinanceBalanceDif,ChipsField2'</f>
        <v>11.36</v>
      </c>
      <c r="L201">
        <v>45.75</v>
      </c>
      <c r="M201">
        <v>3.27</v>
      </c>
      <c r="N201" t="str">
        <v>54.50%</v>
      </c>
      <c r="O201" t="str">
        <v>2.63億</v>
      </c>
      <c r="P201" t="str">
        <v>+10.98</v>
      </c>
      <c r="Q201" t="str">
        <v>+13.66</v>
      </c>
      <c r="R201" t="str">
        <v>+0.99</v>
      </c>
      <c r="S201">
        <v>-116</v>
      </c>
      <c r="T201">
        <v>0</v>
      </c>
      <c r="U201">
        <f t="array" ref="U201:AD201">[1]!'3705.TW-ChipsField3,ChipsField1,ChipsField25,CashAndStockDividend,CashDividendYieldRate,ProfitFourSeason,ProfitSingle,CName,ExchangeIndustry,CompanyPos'</f>
        <v>0</v>
      </c>
      <c r="V201">
        <v>112</v>
      </c>
      <c r="W201" t="str">
        <v>2022/06/23</v>
      </c>
      <c r="X201" t="str">
        <v>1.70</v>
      </c>
      <c r="Y201">
        <v>3.72</v>
      </c>
      <c r="Z201" t="str">
        <v>3.62</v>
      </c>
      <c r="AA201" t="str">
        <v>0.96</v>
      </c>
      <c r="AB201" t="str">
        <v>永信</v>
      </c>
      <c r="AC201" t="str">
        <v>上市生技醫療</v>
      </c>
      <c r="AD201" t="str">
        <v>台灣最大製藥及健康科技之控股公司</v>
      </c>
      <c r="AE201" t="str">
        <f t="array" ref="AE201:AH201">[1]!'3705.TW-CName,InvestorConferenceDate,DateofMeetingofShareHolders,TradingDate'</f>
        <v>永信</v>
      </c>
      <c r="AF201" t="str">
        <v>2022/12/22</v>
      </c>
      <c r="AG201" t="str">
        <v>2022/05/24</v>
      </c>
      <c r="AH201" t="str">
        <v>2022/12/22</v>
      </c>
    </row>
    <row r="202" spans="1:34" x14ac:dyDescent="0.3">
      <c r="A202" t="str">
        <f t="array" ref="A202:J202">[1]!'4104.TW-ID,Name,MarketValue,Capital,NetIncomeGrowthRate,OperIncomeGrowthRate,FinancialStatementsTime,TFXRatio,MonthlyNetSalesYoY,RevenueMonth'</f>
        <v>4104</v>
      </c>
      <c r="B202" t="str">
        <v>佳醫</v>
      </c>
      <c r="C202" t="str">
        <v>98.9</v>
      </c>
      <c r="D202" t="str">
        <v>14.82</v>
      </c>
      <c r="E202" t="str">
        <v>17.57</v>
      </c>
      <c r="F202" t="str">
        <v>-0.26</v>
      </c>
      <c r="G202" t="str">
        <v>2022/09</v>
      </c>
      <c r="H202" t="str">
        <v>3.24</v>
      </c>
      <c r="I202" t="str">
        <v>9.21</v>
      </c>
      <c r="J202" t="str">
        <v>2022/11</v>
      </c>
      <c r="K202" t="str">
        <f t="array" ref="K202:T202">[1]!'4104.TW-OperatingProfitRatio,Price,PriceChangeRatio,InOutRatioNumber,Value,YearReturn,MonthReturn,WeekReturn,FinanceBalanceDif,ChipsField2'</f>
        <v>8.52</v>
      </c>
      <c r="L202">
        <v>66.7</v>
      </c>
      <c r="M202">
        <v>0.6</v>
      </c>
      <c r="N202" t="str">
        <v>38.69%</v>
      </c>
      <c r="O202" t="str">
        <v>916萬</v>
      </c>
      <c r="P202" t="str">
        <v>+29.55</v>
      </c>
      <c r="Q202" t="str">
        <v>+5.71</v>
      </c>
      <c r="R202" t="str">
        <v>+1.52</v>
      </c>
      <c r="S202">
        <v>-6</v>
      </c>
      <c r="T202">
        <v>0</v>
      </c>
      <c r="U202">
        <f t="array" ref="U202:AD202">[1]!'4104.TW-ChipsField3,ChipsField1,ChipsField25,CashAndStockDividend,CashDividendYieldRate,ProfitFourSeason,ProfitSingle,CName,ExchangeIndustry,CompanyPos'</f>
        <v>0</v>
      </c>
      <c r="V202">
        <v>-25</v>
      </c>
      <c r="W202" t="str">
        <v>2022/07/13</v>
      </c>
      <c r="X202" t="str">
        <v>4.00</v>
      </c>
      <c r="Y202">
        <v>6</v>
      </c>
      <c r="Z202" t="str">
        <v>4.77</v>
      </c>
      <c r="AA202" t="str">
        <v>1.36</v>
      </c>
      <c r="AB202" t="str">
        <v>佳醫</v>
      </c>
      <c r="AC202" t="str">
        <v>上市生技醫療</v>
      </c>
      <c r="AD202" t="str">
        <v>台灣最大洗腎相關儀器及耗材代理商</v>
      </c>
      <c r="AE202" t="str">
        <f t="array" ref="AE202:AH202">[1]!'4104.TW-CName,InvestorConferenceDate,DateofMeetingofShareHolders,TradingDate'</f>
        <v>佳醫</v>
      </c>
      <c r="AF202" t="str">
        <v>2022/09/27</v>
      </c>
      <c r="AG202" t="str">
        <v>2022/06/21</v>
      </c>
      <c r="AH202" t="str">
        <v>2022/12/22</v>
      </c>
    </row>
    <row r="203" spans="1:34" x14ac:dyDescent="0.3">
      <c r="A203" t="str">
        <f t="array" ref="A203:J203">[1]!'4106.TW-ID,Name,MarketValue,Capital,NetIncomeGrowthRate,OperIncomeGrowthRate,FinancialStatementsTime,TFXRatio,MonthlyNetSalesYoY,RevenueMonth'</f>
        <v>4106</v>
      </c>
      <c r="B203" t="str">
        <v>雃博</v>
      </c>
      <c r="C203" t="str">
        <v>25.4</v>
      </c>
      <c r="D203" t="str">
        <v>10.09</v>
      </c>
      <c r="E203" t="str">
        <v>48.91</v>
      </c>
      <c r="F203" t="str">
        <v>52.21</v>
      </c>
      <c r="G203" t="str">
        <v>2022/09</v>
      </c>
      <c r="H203" t="str">
        <v>11.27</v>
      </c>
      <c r="I203" t="str">
        <v>27.82</v>
      </c>
      <c r="J203" t="str">
        <v>2022/11</v>
      </c>
      <c r="K203" t="str">
        <f t="array" ref="K203:T203">[1]!'4106.TW-OperatingProfitRatio,Price,PriceChangeRatio,InOutRatioNumber,Value,YearReturn,MonthReturn,WeekReturn,FinanceBalanceDif,ChipsField2'</f>
        <v>8.46</v>
      </c>
      <c r="L203">
        <v>30.5</v>
      </c>
      <c r="M203">
        <v>2.0099999999999998</v>
      </c>
      <c r="N203" t="str">
        <v>59.97%</v>
      </c>
      <c r="O203" t="str">
        <v>5358萬</v>
      </c>
      <c r="P203" t="str">
        <v>+8.21</v>
      </c>
      <c r="Q203" t="str">
        <v>+24.24</v>
      </c>
      <c r="R203" t="str">
        <v>-7.58</v>
      </c>
      <c r="S203">
        <v>-76</v>
      </c>
      <c r="T203">
        <v>0</v>
      </c>
      <c r="U203">
        <f t="array" ref="U203:AD203">[1]!'4106.TW-ChipsField3,ChipsField1,ChipsField25,CashAndStockDividend,CashDividendYieldRate,ProfitFourSeason,ProfitSingle,CName,ExchangeIndustry,CompanyPos'</f>
        <v>-3</v>
      </c>
      <c r="V203">
        <v>274</v>
      </c>
      <c r="W203" t="str">
        <v>2022/08/02</v>
      </c>
      <c r="X203" t="str">
        <v>0.55</v>
      </c>
      <c r="Y203">
        <v>1.8</v>
      </c>
      <c r="Z203" t="str">
        <v>1.48</v>
      </c>
      <c r="AA203" t="str">
        <v>0.59</v>
      </c>
      <c r="AB203" t="str">
        <v>雃博</v>
      </c>
      <c r="AC203" t="str">
        <v>上市生技醫療</v>
      </c>
      <c r="AD203" t="str">
        <v>亞洲最大防褥瘡氣墊床廠</v>
      </c>
      <c r="AE203" t="str">
        <f t="array" ref="AE203:AH203">[1]!'4106.TW-CName,InvestorConferenceDate,DateofMeetingofShareHolders,TradingDate'</f>
        <v>雃博</v>
      </c>
      <c r="AF203" t="str">
        <v>2022/12/09</v>
      </c>
      <c r="AG203" t="str">
        <v>2022/06/20</v>
      </c>
      <c r="AH203" t="str">
        <v>2022/12/22</v>
      </c>
    </row>
    <row r="204" spans="1:34" x14ac:dyDescent="0.3">
      <c r="A204" t="str">
        <f t="array" ref="A204:J204">[1]!'4108.TW-ID,Name,MarketValue,Capital,NetIncomeGrowthRate,OperIncomeGrowthRate,FinancialStatementsTime,TFXRatio,MonthlyNetSalesYoY,RevenueMonth'</f>
        <v>4108</v>
      </c>
      <c r="B204" t="str">
        <v>懷特</v>
      </c>
      <c r="C204" t="str">
        <v>37.9</v>
      </c>
      <c r="D204" t="str">
        <v>19.86</v>
      </c>
      <c r="E204" t="str">
        <v>-10.59</v>
      </c>
      <c r="F204" t="str">
        <v>-11.83</v>
      </c>
      <c r="G204" t="str">
        <v>2022/09</v>
      </c>
      <c r="H204" t="str">
        <v>42.35</v>
      </c>
      <c r="I204" t="str">
        <v>17.28</v>
      </c>
      <c r="J204" t="str">
        <v>2022/11</v>
      </c>
      <c r="K204" t="str">
        <f t="array" ref="K204:T204">[1]!'4108.TW-OperatingProfitRatio,Price,PriceChangeRatio,InOutRatioNumber,Value,YearReturn,MonthReturn,WeekReturn,FinanceBalanceDif,ChipsField2'</f>
        <v>-99.87</v>
      </c>
      <c r="L204">
        <v>19.100000000000001</v>
      </c>
      <c r="M204">
        <v>0.53</v>
      </c>
      <c r="N204" t="str">
        <v>62.39%</v>
      </c>
      <c r="O204" t="str">
        <v>231萬</v>
      </c>
      <c r="P204" t="str">
        <v>-17.49</v>
      </c>
      <c r="Q204" t="str">
        <v>+3.52</v>
      </c>
      <c r="R204" t="str">
        <v>-5.21</v>
      </c>
      <c r="S204">
        <v>0</v>
      </c>
      <c r="T204">
        <v>0</v>
      </c>
      <c r="U204">
        <f t="array" ref="U204:AD204">[1]!'4108.TW-ChipsField3,ChipsField1,ChipsField25,CashAndStockDividend,CashDividendYieldRate,ProfitFourSeason,ProfitSingle,CName,ExchangeIndustry,CompanyPos'</f>
        <v>0</v>
      </c>
      <c r="V204">
        <v>-3</v>
      </c>
      <c r="W204" t="str">
        <v>--</v>
      </c>
      <c r="X204" t="str">
        <v>0.00</v>
      </c>
      <c r="Y204">
        <v>0</v>
      </c>
      <c r="Z204" t="str">
        <v>-0.38</v>
      </c>
      <c r="AA204" t="str">
        <v>0.02</v>
      </c>
      <c r="AB204" t="str">
        <v>懷特</v>
      </c>
      <c r="AC204" t="str">
        <v>上市生技醫療</v>
      </c>
      <c r="AD204" t="str">
        <v>美吾華旗下植物新藥研發公司</v>
      </c>
      <c r="AE204" t="str">
        <f t="array" ref="AE204:AH204">[1]!'4108.TW-CName,InvestorConferenceDate,DateofMeetingofShareHolders,TradingDate'</f>
        <v>懷特</v>
      </c>
      <c r="AF204" t="str">
        <v>2022/07/19</v>
      </c>
      <c r="AG204" t="str">
        <v>2022/05/24</v>
      </c>
      <c r="AH204" t="str">
        <v>2022/12/22</v>
      </c>
    </row>
    <row r="205" spans="1:34" x14ac:dyDescent="0.3">
      <c r="A205" t="str">
        <f t="array" ref="A205:J205">[1]!'4119.TW-ID,Name,MarketValue,Capital,NetIncomeGrowthRate,OperIncomeGrowthRate,FinancialStatementsTime,TFXRatio,MonthlyNetSalesYoY,RevenueMonth'</f>
        <v>4119</v>
      </c>
      <c r="B205" t="str">
        <v>旭富</v>
      </c>
      <c r="C205" t="str">
        <v>89.8</v>
      </c>
      <c r="D205" t="str">
        <v>9.54</v>
      </c>
      <c r="E205" t="str">
        <v>205.44</v>
      </c>
      <c r="F205" t="str">
        <v>-18.89</v>
      </c>
      <c r="G205" t="str">
        <v>2022/09</v>
      </c>
      <c r="H205" t="str">
        <v>-20.47</v>
      </c>
      <c r="I205" t="str">
        <v>24.62</v>
      </c>
      <c r="J205" t="str">
        <v>2022/11</v>
      </c>
      <c r="K205" t="str">
        <f t="array" ref="K205:T205">[1]!'4119.TW-OperatingProfitRatio,Price,PriceChangeRatio,InOutRatioNumber,Value,YearReturn,MonthReturn,WeekReturn,FinanceBalanceDif,ChipsField2'</f>
        <v>11.98</v>
      </c>
      <c r="L205">
        <v>94.2</v>
      </c>
      <c r="M205">
        <v>0.96</v>
      </c>
      <c r="N205" t="str">
        <v>47.94%</v>
      </c>
      <c r="O205" t="str">
        <v>1879萬</v>
      </c>
      <c r="P205" t="str">
        <v>+18.34</v>
      </c>
      <c r="Q205" t="str">
        <v>+5.13</v>
      </c>
      <c r="R205" t="str">
        <v>-3.58</v>
      </c>
      <c r="S205">
        <v>-13</v>
      </c>
      <c r="T205">
        <v>0</v>
      </c>
      <c r="U205">
        <f t="array" ref="U205:AD205">[1]!'4119.TW-ChipsField3,ChipsField1,ChipsField25,CashAndStockDividend,CashDividendYieldRate,ProfitFourSeason,ProfitSingle,CName,ExchangeIndustry,CompanyPos'</f>
        <v>-6</v>
      </c>
      <c r="V205">
        <v>31</v>
      </c>
      <c r="W205" t="str">
        <v>--</v>
      </c>
      <c r="X205" t="str">
        <v>0.00</v>
      </c>
      <c r="Y205">
        <v>0</v>
      </c>
      <c r="Z205" t="str">
        <v>2.21</v>
      </c>
      <c r="AA205" t="str">
        <v>0.51</v>
      </c>
      <c r="AB205" t="str">
        <v>旭富</v>
      </c>
      <c r="AC205" t="str">
        <v>上市生技醫療</v>
      </c>
      <c r="AD205" t="str">
        <v>全球最大苯丙酮中間體供應商</v>
      </c>
      <c r="AE205" t="str">
        <f t="array" ref="AE205:AH205">[1]!'4119.TW-CName,InvestorConferenceDate,DateofMeetingofShareHolders,TradingDate'</f>
        <v>旭富</v>
      </c>
      <c r="AF205" t="str">
        <v>2022/12/13</v>
      </c>
      <c r="AG205" t="str">
        <v>2022/06/21</v>
      </c>
      <c r="AH205" t="str">
        <v>2022/12/22</v>
      </c>
    </row>
    <row r="206" spans="1:34" x14ac:dyDescent="0.3">
      <c r="A206" t="str">
        <f t="array" ref="A206:J206">[1]!'4133.TW-ID,Name,MarketValue,Capital,NetIncomeGrowthRate,OperIncomeGrowthRate,FinancialStatementsTime,TFXRatio,MonthlyNetSalesYoY,RevenueMonth'</f>
        <v>4133</v>
      </c>
      <c r="B206" t="str">
        <v>亞諾法</v>
      </c>
      <c r="C206" t="str">
        <v>23.6</v>
      </c>
      <c r="D206" t="str">
        <v>6.06</v>
      </c>
      <c r="E206" t="str">
        <v>111.54</v>
      </c>
      <c r="F206" t="str">
        <v>7.97</v>
      </c>
      <c r="G206" t="str">
        <v>2022/09</v>
      </c>
      <c r="H206" t="str">
        <v>-9.32</v>
      </c>
      <c r="I206" t="str">
        <v>9.98</v>
      </c>
      <c r="J206" t="str">
        <v>2022/11</v>
      </c>
      <c r="K206" t="str">
        <f t="array" ref="K206:T206">[1]!'4133.TW-OperatingProfitRatio,Price,PriceChangeRatio,InOutRatioNumber,Value,YearReturn,MonthReturn,WeekReturn,FinanceBalanceDif,ChipsField2'</f>
        <v>15.03</v>
      </c>
      <c r="L206">
        <v>39</v>
      </c>
      <c r="M206">
        <v>2.63</v>
      </c>
      <c r="N206" t="str">
        <v>68.74%</v>
      </c>
      <c r="O206" t="str">
        <v>3164萬</v>
      </c>
      <c r="P206" t="str">
        <v>-4.73</v>
      </c>
      <c r="Q206" t="str">
        <v>+1.56</v>
      </c>
      <c r="R206" t="str">
        <v>-3.94</v>
      </c>
      <c r="S206">
        <v>-54</v>
      </c>
      <c r="T206">
        <v>0</v>
      </c>
      <c r="U206">
        <f t="array" ref="U206:AD206">[1]!'4133.TW-ChipsField3,ChipsField1,ChipsField25,CashAndStockDividend,CashDividendYieldRate,ProfitFourSeason,ProfitSingle,CName,ExchangeIndustry,CompanyPos'</f>
        <v>0</v>
      </c>
      <c r="V206">
        <v>64</v>
      </c>
      <c r="W206" t="str">
        <v>2022/06/16</v>
      </c>
      <c r="X206" t="str">
        <v>0.46</v>
      </c>
      <c r="Y206">
        <v>1.18</v>
      </c>
      <c r="Z206" t="str">
        <v>1.02</v>
      </c>
      <c r="AA206" t="str">
        <v>0.44</v>
      </c>
      <c r="AB206" t="str">
        <v>亞諾法</v>
      </c>
      <c r="AC206" t="str">
        <v>上市生技醫療</v>
      </c>
      <c r="AD206" t="str">
        <v>全球最大的抗體及重組蛋白生產商</v>
      </c>
      <c r="AE206" t="str">
        <f t="array" ref="AE206:AH206">[1]!'4133.TW-CName,InvestorConferenceDate,DateofMeetingofShareHolders,TradingDate'</f>
        <v>亞諾法</v>
      </c>
      <c r="AF206" t="str">
        <v>2022/11/23</v>
      </c>
      <c r="AG206" t="str">
        <v>2022/05/31</v>
      </c>
      <c r="AH206" t="str">
        <v>2022/12/22</v>
      </c>
    </row>
    <row r="207" spans="1:34" x14ac:dyDescent="0.3">
      <c r="A207" t="str">
        <f t="array" ref="A207:J207">[1]!'4137.TW-ID,Name,MarketValue,Capital,NetIncomeGrowthRate,OperIncomeGrowthRate,FinancialStatementsTime,TFXRatio,MonthlyNetSalesYoY,RevenueMonth'</f>
        <v>4137</v>
      </c>
      <c r="B207" t="str">
        <v>麗豐-KY</v>
      </c>
      <c r="C207" t="str">
        <v>167.7</v>
      </c>
      <c r="D207" t="str">
        <v>7.95</v>
      </c>
      <c r="E207" t="str">
        <v>-52.19</v>
      </c>
      <c r="F207" t="str">
        <v>-24.81</v>
      </c>
      <c r="G207" t="str">
        <v>2022/09</v>
      </c>
      <c r="H207" t="str">
        <v>-21.42</v>
      </c>
      <c r="I207" t="str">
        <v>-29.81</v>
      </c>
      <c r="J207" t="str">
        <v>2022/11</v>
      </c>
      <c r="K207" t="str">
        <f t="array" ref="K207:T207">[1]!'4137.TW-OperatingProfitRatio,Price,PriceChangeRatio,InOutRatioNumber,Value,YearReturn,MonthReturn,WeekReturn,FinanceBalanceDif,ChipsField2'</f>
        <v>32.11</v>
      </c>
      <c r="L207">
        <v>211</v>
      </c>
      <c r="M207">
        <v>-0.94</v>
      </c>
      <c r="N207" t="str">
        <v>49.93%</v>
      </c>
      <c r="O207" t="str">
        <v>2.90億</v>
      </c>
      <c r="P207" t="str">
        <v>-6.33</v>
      </c>
      <c r="Q207" t="str">
        <v>+27.88</v>
      </c>
      <c r="R207" t="str">
        <v>+9.04</v>
      </c>
      <c r="S207">
        <v>73</v>
      </c>
      <c r="T207">
        <v>583</v>
      </c>
      <c r="U207">
        <f t="array" ref="U207:AD207">[1]!'4137.TW-ChipsField3,ChipsField1,ChipsField25,CashAndStockDividend,CashDividendYieldRate,ProfitFourSeason,ProfitSingle,CName,ExchangeIndustry,CompanyPos'</f>
        <v>-3</v>
      </c>
      <c r="V207">
        <v>-153</v>
      </c>
      <c r="W207" t="str">
        <v>2022/07/27</v>
      </c>
      <c r="X207" t="str">
        <v>12.00</v>
      </c>
      <c r="Y207">
        <v>5.69</v>
      </c>
      <c r="Z207" t="str">
        <v>10.38</v>
      </c>
      <c r="AA207" t="str">
        <v>1.84</v>
      </c>
      <c r="AB207" t="str">
        <v>麗豐-KY</v>
      </c>
      <c r="AC207" t="str">
        <v>上市生技醫療</v>
      </c>
      <c r="AD207" t="str">
        <v>克麗緹娜品牌之美容護膚產品通路商</v>
      </c>
      <c r="AE207" t="str">
        <f t="array" ref="AE207:AH207">[1]!'4137.TW-CName,InvestorConferenceDate,DateofMeetingofShareHolders,TradingDate'</f>
        <v>麗豐-KY</v>
      </c>
      <c r="AF207" t="str">
        <v>2022/11/22</v>
      </c>
      <c r="AG207" t="str">
        <v>2022/06/08</v>
      </c>
      <c r="AH207" t="str">
        <v>2022/12/22</v>
      </c>
    </row>
    <row r="208" spans="1:34" x14ac:dyDescent="0.3">
      <c r="A208" t="str">
        <f t="array" ref="A208:J208">[1]!'4142.TW-ID,Name,MarketValue,Capital,NetIncomeGrowthRate,OperIncomeGrowthRate,FinancialStatementsTime,TFXRatio,MonthlyNetSalesYoY,RevenueMonth'</f>
        <v>4142</v>
      </c>
      <c r="B208" t="str">
        <v>國光生</v>
      </c>
      <c r="C208" t="str">
        <v>155.3</v>
      </c>
      <c r="D208" t="str">
        <v>42.95</v>
      </c>
      <c r="E208" t="str">
        <v>152.33</v>
      </c>
      <c r="F208" t="str">
        <v>119.53</v>
      </c>
      <c r="G208" t="str">
        <v>2022/09</v>
      </c>
      <c r="H208" t="str">
        <v>-60.78</v>
      </c>
      <c r="I208" t="str">
        <v>-49.49</v>
      </c>
      <c r="J208" t="str">
        <v>2022/11</v>
      </c>
      <c r="K208" t="str">
        <f t="array" ref="K208:T208">[1]!'4142.TW-OperatingProfitRatio,Price,PriceChangeRatio,InOutRatioNumber,Value,YearReturn,MonthReturn,WeekReturn,FinanceBalanceDif,ChipsField2'</f>
        <v>3.91</v>
      </c>
      <c r="L208">
        <v>36.15</v>
      </c>
      <c r="M208">
        <v>1.83</v>
      </c>
      <c r="N208" t="str">
        <v>53.92%</v>
      </c>
      <c r="O208" t="str">
        <v>3052萬</v>
      </c>
      <c r="P208" t="str">
        <v>-19.49</v>
      </c>
      <c r="Q208" t="str">
        <v>-2.69</v>
      </c>
      <c r="R208" t="str">
        <v>-0.82</v>
      </c>
      <c r="S208">
        <v>35</v>
      </c>
      <c r="T208">
        <v>0</v>
      </c>
      <c r="U208">
        <f t="array" ref="U208:AD208">[1]!'4142.TW-ChipsField3,ChipsField1,ChipsField25,CashAndStockDividend,CashDividendYieldRate,ProfitFourSeason,ProfitSingle,CName,ExchangeIndustry,CompanyPos'</f>
        <v>-14</v>
      </c>
      <c r="V208">
        <v>-170</v>
      </c>
      <c r="W208" t="str">
        <v>--</v>
      </c>
      <c r="X208" t="str">
        <v>0.00</v>
      </c>
      <c r="Y208">
        <v>0</v>
      </c>
      <c r="Z208" t="str">
        <v>1.23</v>
      </c>
      <c r="AA208" t="str">
        <v>0.98</v>
      </c>
      <c r="AB208" t="str">
        <v>國光生</v>
      </c>
      <c r="AC208" t="str">
        <v>上市生技醫療</v>
      </c>
      <c r="AD208" t="str">
        <v>亞洲唯一獲得歐盟GMP認證之流感疫苗商</v>
      </c>
      <c r="AE208" t="str">
        <f t="array" ref="AE208:AH208">[1]!'4142.TW-CName,InvestorConferenceDate,DateofMeetingofShareHolders,TradingDate'</f>
        <v>國光生</v>
      </c>
      <c r="AF208" t="str">
        <v>2022/08/16</v>
      </c>
      <c r="AG208" t="str">
        <v>2022/06/29</v>
      </c>
      <c r="AH208" t="str">
        <v>2022/12/22</v>
      </c>
    </row>
    <row r="209" spans="1:34" x14ac:dyDescent="0.3">
      <c r="A209" t="str">
        <f t="array" ref="A209:J209">[1]!'4148.TW-ID,Name,MarketValue,Capital,NetIncomeGrowthRate,OperIncomeGrowthRate,FinancialStatementsTime,TFXRatio,MonthlyNetSalesYoY,RevenueMonth'</f>
        <v>4148</v>
      </c>
      <c r="B209" t="str">
        <v>全宇生技-KY</v>
      </c>
      <c r="C209" t="str">
        <v>35.4</v>
      </c>
      <c r="D209" t="str">
        <v>6.40</v>
      </c>
      <c r="E209" t="str">
        <v>175.08</v>
      </c>
      <c r="F209" t="str">
        <v>224.79</v>
      </c>
      <c r="G209" t="str">
        <v>2022/09</v>
      </c>
      <c r="H209" t="str">
        <v>-1.24</v>
      </c>
      <c r="I209" t="str">
        <v>33.95</v>
      </c>
      <c r="J209" t="str">
        <v>2022/11</v>
      </c>
      <c r="K209" t="str">
        <f t="array" ref="K209:T209">[1]!'4148.TW-OperatingProfitRatio,Price,PriceChangeRatio,InOutRatioNumber,Value,YearReturn,MonthReturn,WeekReturn,FinanceBalanceDif,ChipsField2'</f>
        <v>18.63</v>
      </c>
      <c r="L209">
        <v>55.3</v>
      </c>
      <c r="M209">
        <v>2.41</v>
      </c>
      <c r="N209" t="str">
        <v>46.67%</v>
      </c>
      <c r="O209" t="str">
        <v>956萬</v>
      </c>
      <c r="P209" t="str">
        <v>+42.77</v>
      </c>
      <c r="Q209" t="str">
        <v>-8.60</v>
      </c>
      <c r="R209" t="str">
        <v>-7.37</v>
      </c>
      <c r="S209">
        <v>4</v>
      </c>
      <c r="T209">
        <v>0</v>
      </c>
      <c r="U209">
        <f t="array" ref="U209:AD209">[1]!'4148.TW-ChipsField3,ChipsField1,ChipsField25,CashAndStockDividend,CashDividendYieldRate,ProfitFourSeason,ProfitSingle,CName,ExchangeIndustry,CompanyPos'</f>
        <v>0</v>
      </c>
      <c r="V209">
        <v>-11</v>
      </c>
      <c r="W209" t="str">
        <v>2022/06/23</v>
      </c>
      <c r="X209" t="str">
        <v>1.50</v>
      </c>
      <c r="Y209">
        <v>2.71</v>
      </c>
      <c r="Z209" t="str">
        <v>6.27</v>
      </c>
      <c r="AA209" t="str">
        <v>2.48</v>
      </c>
      <c r="AB209" t="str">
        <v>全宇生技-KY</v>
      </c>
      <c r="AC209" t="str">
        <v>上市生技醫療</v>
      </c>
      <c r="AD209" t="str">
        <v>馬來西亞生化複合肥料龍頭廠商</v>
      </c>
      <c r="AE209" t="str">
        <f t="array" ref="AE209:AH209">[1]!'4148.TW-CName,InvestorConferenceDate,DateofMeetingofShareHolders,TradingDate'</f>
        <v>全宇生技-KY</v>
      </c>
      <c r="AF209" t="str">
        <v>2022/12/06</v>
      </c>
      <c r="AG209" t="str">
        <v>2022/06/22</v>
      </c>
      <c r="AH209" t="str">
        <v>2022/12/22</v>
      </c>
    </row>
    <row r="210" spans="1:34" x14ac:dyDescent="0.3">
      <c r="A210" t="str">
        <f t="array" ref="A210:J210">[1]!'4155.TW-ID,Name,MarketValue,Capital,NetIncomeGrowthRate,OperIncomeGrowthRate,FinancialStatementsTime,TFXRatio,MonthlyNetSalesYoY,RevenueMonth'</f>
        <v>4155</v>
      </c>
      <c r="B210" t="str">
        <v>訊映</v>
      </c>
      <c r="C210" t="str">
        <v>26.6</v>
      </c>
      <c r="D210" t="str">
        <v>9.59</v>
      </c>
      <c r="E210" t="str">
        <v>288.90</v>
      </c>
      <c r="F210" t="str">
        <v>455.09</v>
      </c>
      <c r="G210" t="str">
        <v>2022/09</v>
      </c>
      <c r="H210" t="str">
        <v>100.02</v>
      </c>
      <c r="I210" t="str">
        <v>56.09</v>
      </c>
      <c r="J210" t="str">
        <v>2022/11</v>
      </c>
      <c r="K210" t="str">
        <f t="array" ref="K210:T210">[1]!'4155.TW-OperatingProfitRatio,Price,PriceChangeRatio,InOutRatioNumber,Value,YearReturn,MonthReturn,WeekReturn,FinanceBalanceDif,ChipsField2'</f>
        <v>6.70</v>
      </c>
      <c r="L210">
        <v>28.05</v>
      </c>
      <c r="M210">
        <v>0</v>
      </c>
      <c r="N210" t="str">
        <v>43.49%</v>
      </c>
      <c r="O210" t="str">
        <v>1.14億</v>
      </c>
      <c r="P210" t="str">
        <v>+26.07</v>
      </c>
      <c r="Q210" t="str">
        <v>+8.09</v>
      </c>
      <c r="R210" t="str">
        <v>+2.00</v>
      </c>
      <c r="S210">
        <v>163</v>
      </c>
      <c r="T210">
        <v>0</v>
      </c>
      <c r="U210">
        <f t="array" ref="U210:AD210">[1]!'4155.TW-ChipsField3,ChipsField1,ChipsField25,CashAndStockDividend,CashDividendYieldRate,ProfitFourSeason,ProfitSingle,CName,ExchangeIndustry,CompanyPos'</f>
        <v>-6</v>
      </c>
      <c r="V210">
        <v>1077</v>
      </c>
      <c r="W210" t="str">
        <v>2022/07/06</v>
      </c>
      <c r="X210" t="str">
        <v>1.00</v>
      </c>
      <c r="Y210">
        <v>3.57</v>
      </c>
      <c r="Z210" t="str">
        <v>1.57</v>
      </c>
      <c r="AA210" t="str">
        <v>0.49</v>
      </c>
      <c r="AB210" t="str">
        <v>訊映</v>
      </c>
      <c r="AC210" t="str">
        <v>上市生技醫療</v>
      </c>
      <c r="AD210" t="str">
        <v>血糖儀、血糖試片、居家醫療器材廠商</v>
      </c>
      <c r="AE210" t="str">
        <f t="array" ref="AE210:AH210">[1]!'4155.TW-CName,InvestorConferenceDate,DateofMeetingofShareHolders,TradingDate'</f>
        <v>訊映</v>
      </c>
      <c r="AF210" t="str">
        <v>2022/10/06</v>
      </c>
      <c r="AG210" t="str">
        <v>2022/05/31</v>
      </c>
      <c r="AH210" t="str">
        <v>2022/12/22</v>
      </c>
    </row>
    <row r="211" spans="1:34" x14ac:dyDescent="0.3">
      <c r="A211" t="str">
        <f t="array" ref="A211:J211">[1]!'4164.TW-ID,Name,MarketValue,Capital,NetIncomeGrowthRate,OperIncomeGrowthRate,FinancialStatementsTime,TFXRatio,MonthlyNetSalesYoY,RevenueMonth'</f>
        <v>4164</v>
      </c>
      <c r="B211" t="str">
        <v>承業醫</v>
      </c>
      <c r="C211" t="str">
        <v>69.3</v>
      </c>
      <c r="D211" t="str">
        <v>16.16</v>
      </c>
      <c r="E211" t="str">
        <v>22.25</v>
      </c>
      <c r="F211" t="str">
        <v>4.38</v>
      </c>
      <c r="G211" t="str">
        <v>2022/09</v>
      </c>
      <c r="H211" t="str">
        <v>-0.17</v>
      </c>
      <c r="I211" t="str">
        <v>9.30</v>
      </c>
      <c r="J211" t="str">
        <v>2022/11</v>
      </c>
      <c r="K211" t="str">
        <f t="array" ref="K211:T211">[1]!'4164.TW-OperatingProfitRatio,Price,PriceChangeRatio,InOutRatioNumber,Value,YearReturn,MonthReturn,WeekReturn,FinanceBalanceDif,ChipsField2'</f>
        <v>16.60</v>
      </c>
      <c r="L211">
        <v>44.2</v>
      </c>
      <c r="M211">
        <v>1.38</v>
      </c>
      <c r="N211" t="str">
        <v>50.48%</v>
      </c>
      <c r="O211" t="str">
        <v>1389萬</v>
      </c>
      <c r="P211" t="str">
        <v>+24.47</v>
      </c>
      <c r="Q211" t="str">
        <v>+2.91</v>
      </c>
      <c r="R211" t="str">
        <v>-4.12</v>
      </c>
      <c r="S211">
        <v>47</v>
      </c>
      <c r="T211">
        <v>0</v>
      </c>
      <c r="U211">
        <f t="array" ref="U211:AD211">[1]!'4164.TW-ChipsField3,ChipsField1,ChipsField25,CashAndStockDividend,CashDividendYieldRate,ProfitFourSeason,ProfitSingle,CName,ExchangeIndustry,CompanyPos'</f>
        <v>-7</v>
      </c>
      <c r="V211">
        <v>-70</v>
      </c>
      <c r="W211" t="str">
        <v>2022/07/13</v>
      </c>
      <c r="X211" t="str">
        <v>2.01</v>
      </c>
      <c r="Y211">
        <v>4.55</v>
      </c>
      <c r="Z211" t="str">
        <v>2.55</v>
      </c>
      <c r="AA211" t="str">
        <v>0.63</v>
      </c>
      <c r="AB211" t="str">
        <v>承業醫</v>
      </c>
      <c r="AC211" t="str">
        <v>上市生技醫療</v>
      </c>
      <c r="AD211" t="str">
        <v>台灣最大腫瘤醫學設備代理商</v>
      </c>
      <c r="AE211" t="str">
        <f t="array" ref="AE211:AH211">[1]!'4164.TW-CName,InvestorConferenceDate,DateofMeetingofShareHolders,TradingDate'</f>
        <v>承業醫</v>
      </c>
      <c r="AF211" t="str">
        <v>2022/08/17</v>
      </c>
      <c r="AG211" t="str">
        <v>2022/06/15</v>
      </c>
      <c r="AH211" t="str">
        <v>2022/12/22</v>
      </c>
    </row>
    <row r="212" spans="1:34" x14ac:dyDescent="0.3">
      <c r="A212" t="str">
        <f t="array" ref="A212:J212">[1]!'4190.TW-ID,Name,MarketValue,Capital,NetIncomeGrowthRate,OperIncomeGrowthRate,FinancialStatementsTime,TFXRatio,MonthlyNetSalesYoY,RevenueMonth'</f>
        <v>4190</v>
      </c>
      <c r="B212" t="str">
        <v>佐登-KY</v>
      </c>
      <c r="C212" t="str">
        <v>47.8</v>
      </c>
      <c r="D212" t="str">
        <v>6.08</v>
      </c>
      <c r="E212" t="str">
        <v>-85.00</v>
      </c>
      <c r="F212" t="str">
        <v>-82.20</v>
      </c>
      <c r="G212" t="str">
        <v>2022/09</v>
      </c>
      <c r="H212" t="str">
        <v>-6.89</v>
      </c>
      <c r="I212" t="str">
        <v>22.99</v>
      </c>
      <c r="J212" t="str">
        <v>2022/11</v>
      </c>
      <c r="K212" t="str">
        <f t="array" ref="K212:T212">[1]!'4190.TW-OperatingProfitRatio,Price,PriceChangeRatio,InOutRatioNumber,Value,YearReturn,MonthReturn,WeekReturn,FinanceBalanceDif,ChipsField2'</f>
        <v>1.94</v>
      </c>
      <c r="L212">
        <v>78.599999999999994</v>
      </c>
      <c r="M212">
        <v>0.64</v>
      </c>
      <c r="N212" t="str">
        <v>62.85%</v>
      </c>
      <c r="O212" t="str">
        <v>2017萬</v>
      </c>
      <c r="P212" t="str">
        <v>+14.79</v>
      </c>
      <c r="Q212" t="str">
        <v>+15.76</v>
      </c>
      <c r="R212" t="str">
        <v>-1.01</v>
      </c>
      <c r="S212">
        <v>-5</v>
      </c>
      <c r="T212">
        <v>0</v>
      </c>
      <c r="U212">
        <f t="array" ref="U212:AD212">[1]!'4190.TW-ChipsField3,ChipsField1,ChipsField25,CashAndStockDividend,CashDividendYieldRate,ProfitFourSeason,ProfitSingle,CName,ExchangeIndustry,CompanyPos'</f>
        <v>-13</v>
      </c>
      <c r="V212">
        <v>83</v>
      </c>
      <c r="W212" t="str">
        <v>2022/04/21</v>
      </c>
      <c r="X212" t="str">
        <v>3.50</v>
      </c>
      <c r="Y212">
        <v>4.45</v>
      </c>
      <c r="Z212" t="str">
        <v>2.07</v>
      </c>
      <c r="AA212" t="str">
        <v>-0.24</v>
      </c>
      <c r="AB212" t="str">
        <v>佐登-KY</v>
      </c>
      <c r="AC212" t="str">
        <v>上市生技醫療</v>
      </c>
      <c r="AD212" t="str">
        <v>研發生產、銷售保養品及課程服務之跨國美容美體集團</v>
      </c>
      <c r="AE212" t="str">
        <f t="array" ref="AE212:AH212">[1]!'4190.TW-CName,InvestorConferenceDate,DateofMeetingofShareHolders,TradingDate'</f>
        <v>佐登-KY</v>
      </c>
      <c r="AF212" t="str">
        <v>2022/10/27</v>
      </c>
      <c r="AG212" t="str">
        <v>2022/06/23</v>
      </c>
      <c r="AH212" t="str">
        <v>2022/12/22</v>
      </c>
    </row>
    <row r="213" spans="1:34" x14ac:dyDescent="0.3">
      <c r="A213" t="str">
        <f t="array" ref="A213:J213">[1]!'4737.TW-ID,Name,MarketValue,Capital,NetIncomeGrowthRate,OperIncomeGrowthRate,FinancialStatementsTime,TFXRatio,MonthlyNetSalesYoY,RevenueMonth'</f>
        <v>4737</v>
      </c>
      <c r="B213" t="str">
        <v>華廣</v>
      </c>
      <c r="C213" t="str">
        <v>46.4</v>
      </c>
      <c r="D213" t="str">
        <v>6.07</v>
      </c>
      <c r="E213" t="str">
        <v>10.18</v>
      </c>
      <c r="F213" t="str">
        <v>84.09</v>
      </c>
      <c r="G213" t="str">
        <v>2022/09</v>
      </c>
      <c r="H213" t="str">
        <v>-18.92</v>
      </c>
      <c r="I213" t="str">
        <v>22.43</v>
      </c>
      <c r="J213" t="str">
        <v>2022/11</v>
      </c>
      <c r="K213" t="str">
        <f t="array" ref="K213:T213">[1]!'4737.TW-OperatingProfitRatio,Price,PriceChangeRatio,InOutRatioNumber,Value,YearReturn,MonthReturn,WeekReturn,FinanceBalanceDif,ChipsField2'</f>
        <v>5.34</v>
      </c>
      <c r="L213">
        <v>76.5</v>
      </c>
      <c r="M213">
        <v>-0.65</v>
      </c>
      <c r="N213" t="str">
        <v>55.56%</v>
      </c>
      <c r="O213" t="str">
        <v>69.2萬</v>
      </c>
      <c r="P213" t="str">
        <v>+6.98</v>
      </c>
      <c r="Q213" t="str">
        <v>-1.16</v>
      </c>
      <c r="R213" t="str">
        <v>-1.67</v>
      </c>
      <c r="S213">
        <v>0</v>
      </c>
      <c r="T213">
        <v>0</v>
      </c>
      <c r="U213">
        <f t="array" ref="U213:AD213">[1]!'4737.TW-ChipsField3,ChipsField1,ChipsField25,CashAndStockDividend,CashDividendYieldRate,ProfitFourSeason,ProfitSingle,CName,ExchangeIndustry,CompanyPos'</f>
        <v>0</v>
      </c>
      <c r="V213">
        <v>-1</v>
      </c>
      <c r="W213" t="str">
        <v>2022/07/21</v>
      </c>
      <c r="X213" t="str">
        <v>2.00</v>
      </c>
      <c r="Y213">
        <v>2.61</v>
      </c>
      <c r="Z213" t="str">
        <v>1.57</v>
      </c>
      <c r="AA213" t="str">
        <v>0.17</v>
      </c>
      <c r="AB213" t="str">
        <v>華廣</v>
      </c>
      <c r="AC213" t="str">
        <v>上市生技醫療</v>
      </c>
      <c r="AD213" t="str">
        <v>以Bionime為自有品牌生產居家醫療用血糖機及測試片廠商</v>
      </c>
      <c r="AE213" t="str">
        <f t="array" ref="AE213:AH213">[1]!'4737.TW-CName,InvestorConferenceDate,DateofMeetingofShareHolders,TradingDate'</f>
        <v>華廣</v>
      </c>
      <c r="AF213" t="str">
        <v>2021/12/09</v>
      </c>
      <c r="AG213" t="str">
        <v>2022/06/22</v>
      </c>
      <c r="AH213" t="str">
        <v>2022/12/22</v>
      </c>
    </row>
    <row r="214" spans="1:34" x14ac:dyDescent="0.3">
      <c r="A214" t="str">
        <f t="array" ref="A214:J214">[1]!'4746.TW-ID,Name,MarketValue,Capital,NetIncomeGrowthRate,OperIncomeGrowthRate,FinancialStatementsTime,TFXRatio,MonthlyNetSalesYoY,RevenueMonth'</f>
        <v>4746</v>
      </c>
      <c r="B214" t="str">
        <v>台耀</v>
      </c>
      <c r="C214" t="str">
        <v>90.4</v>
      </c>
      <c r="D214" t="str">
        <v>12.03</v>
      </c>
      <c r="E214" t="str">
        <v>-104.33</v>
      </c>
      <c r="F214" t="str">
        <v>133.47</v>
      </c>
      <c r="G214" t="str">
        <v>2022/09</v>
      </c>
      <c r="H214" t="str">
        <v>-3.23</v>
      </c>
      <c r="I214" t="str">
        <v>9.92</v>
      </c>
      <c r="J214" t="str">
        <v>2022/11</v>
      </c>
      <c r="K214" t="str">
        <f t="array" ref="K214:T214">[1]!'4746.TW-OperatingProfitRatio,Price,PriceChangeRatio,InOutRatioNumber,Value,YearReturn,MonthReturn,WeekReturn,FinanceBalanceDif,ChipsField2'</f>
        <v>2.18</v>
      </c>
      <c r="L214">
        <v>75.2</v>
      </c>
      <c r="M214">
        <v>-1.96</v>
      </c>
      <c r="N214" t="str">
        <v>47.17%</v>
      </c>
      <c r="O214" t="str">
        <v>13.3億</v>
      </c>
      <c r="P214" t="str">
        <v>+33.63</v>
      </c>
      <c r="Q214" t="str">
        <v>+30.56</v>
      </c>
      <c r="R214" t="str">
        <v>+22.28</v>
      </c>
      <c r="S214">
        <v>1344</v>
      </c>
      <c r="T214">
        <v>0</v>
      </c>
      <c r="U214">
        <f t="array" ref="U214:AD214">[1]!'4746.TW-ChipsField3,ChipsField1,ChipsField25,CashAndStockDividend,CashDividendYieldRate,ProfitFourSeason,ProfitSingle,CName,ExchangeIndustry,CompanyPos'</f>
        <v>-14</v>
      </c>
      <c r="V214">
        <v>-3450</v>
      </c>
      <c r="W214" t="str">
        <v>2022/07/27</v>
      </c>
      <c r="X214" t="str">
        <v>2.00</v>
      </c>
      <c r="Y214">
        <v>2.66</v>
      </c>
      <c r="Z214" t="str">
        <v>-0.79</v>
      </c>
      <c r="AA214" t="str">
        <v>4.09</v>
      </c>
      <c r="AB214" t="str">
        <v>台耀</v>
      </c>
      <c r="AC214" t="str">
        <v>上市生技醫療</v>
      </c>
      <c r="AD214" t="str">
        <v>全球前三大維他命D衍生物製造商</v>
      </c>
      <c r="AE214" t="str">
        <f t="array" ref="AE214:AH214">[1]!'4746.TW-CName,InvestorConferenceDate,DateofMeetingofShareHolders,TradingDate'</f>
        <v>台耀</v>
      </c>
      <c r="AF214" t="str">
        <v>2022/03/14</v>
      </c>
      <c r="AG214" t="str">
        <v>2022/06/23</v>
      </c>
      <c r="AH214" t="str">
        <v>2022/12/22</v>
      </c>
    </row>
    <row r="215" spans="1:34" x14ac:dyDescent="0.3">
      <c r="A215" t="str">
        <f t="array" ref="A215:J215">[1]!'6431.TW-ID,Name,MarketValue,Capital,NetIncomeGrowthRate,OperIncomeGrowthRate,FinancialStatementsTime,TFXRatio,MonthlyNetSalesYoY,RevenueMonth'</f>
        <v>6431</v>
      </c>
      <c r="B215" t="str">
        <v>光麗-KY</v>
      </c>
      <c r="C215" t="str">
        <v>10.1</v>
      </c>
      <c r="D215" t="str">
        <v>5.72</v>
      </c>
      <c r="E215" t="str">
        <v>-280.02</v>
      </c>
      <c r="F215" t="str">
        <v>-411.98</v>
      </c>
      <c r="G215" t="str">
        <v>2022/09</v>
      </c>
      <c r="H215" t="str">
        <v>-1.96</v>
      </c>
      <c r="I215" t="str">
        <v>-14.71</v>
      </c>
      <c r="J215" t="str">
        <v>2022/11</v>
      </c>
      <c r="K215" t="str">
        <f t="array" ref="K215:T215">[1]!'6431.TW-OperatingProfitRatio,Price,PriceChangeRatio,InOutRatioNumber,Value,YearReturn,MonthReturn,WeekReturn,FinanceBalanceDif,ChipsField2'</f>
        <v>-33.94</v>
      </c>
      <c r="L215">
        <v>20.100000000000001</v>
      </c>
      <c r="M215">
        <v>-2.19</v>
      </c>
      <c r="N215" t="str">
        <v>34.56%</v>
      </c>
      <c r="O215" t="str">
        <v>294萬</v>
      </c>
      <c r="P215" t="str">
        <v>-31.05</v>
      </c>
      <c r="Q215" t="str">
        <v>-5.41</v>
      </c>
      <c r="R215" t="str">
        <v>-4.96</v>
      </c>
      <c r="S215">
        <v>20</v>
      </c>
      <c r="T215">
        <v>0</v>
      </c>
      <c r="U215">
        <f t="array" ref="U215:AD215">[1]!'6431.TW-ChipsField3,ChipsField1,ChipsField25,CashAndStockDividend,CashDividendYieldRate,ProfitFourSeason,ProfitSingle,CName,ExchangeIndustry,CompanyPos'</f>
        <v>0</v>
      </c>
      <c r="V215">
        <v>5</v>
      </c>
      <c r="W215" t="str">
        <v>--</v>
      </c>
      <c r="X215" t="str">
        <v>0.00</v>
      </c>
      <c r="Y215">
        <v>0</v>
      </c>
      <c r="Z215" t="str">
        <v>-1.13</v>
      </c>
      <c r="AA215" t="str">
        <v>-0.09</v>
      </c>
      <c r="AB215" t="str">
        <v>光麗-KY</v>
      </c>
      <c r="AC215" t="str">
        <v>上市生技醫療</v>
      </c>
      <c r="AD215" t="str">
        <v>轉型為美妝保養品代工廠商</v>
      </c>
      <c r="AE215" t="str">
        <f t="array" ref="AE215:AH215">[1]!'6431.TW-CName,InvestorConferenceDate,DateofMeetingofShareHolders,TradingDate'</f>
        <v>光麗-KY</v>
      </c>
      <c r="AF215" t="str">
        <v>2022/11/18</v>
      </c>
      <c r="AG215" t="str">
        <v>2022/06/21</v>
      </c>
      <c r="AH215" t="str">
        <v>2022/12/22</v>
      </c>
    </row>
    <row r="216" spans="1:34" x14ac:dyDescent="0.3">
      <c r="A216" t="str">
        <f t="array" ref="A216:J216">[1]!'6491.TW-ID,Name,MarketValue,Capital,NetIncomeGrowthRate,OperIncomeGrowthRate,FinancialStatementsTime,TFXRatio,MonthlyNetSalesYoY,RevenueMonth'</f>
        <v>6491</v>
      </c>
      <c r="B216" t="str">
        <v>晶碩</v>
      </c>
      <c r="C216" t="str">
        <v>288.8</v>
      </c>
      <c r="D216" t="str">
        <v>7.00</v>
      </c>
      <c r="E216" t="str">
        <v>27.23</v>
      </c>
      <c r="F216" t="str">
        <v>25.98</v>
      </c>
      <c r="G216" t="str">
        <v>2022/09</v>
      </c>
      <c r="H216" t="str">
        <v>-6.08</v>
      </c>
      <c r="I216" t="str">
        <v>5.10</v>
      </c>
      <c r="J216" t="str">
        <v>2022/11</v>
      </c>
      <c r="K216" t="str">
        <f t="array" ref="K216:T216">[1]!'6491.TW-OperatingProfitRatio,Price,PriceChangeRatio,InOutRatioNumber,Value,YearReturn,MonthReturn,WeekReturn,FinanceBalanceDif,ChipsField2'</f>
        <v>28.46</v>
      </c>
      <c r="L216">
        <v>412.5</v>
      </c>
      <c r="M216">
        <v>-1.08</v>
      </c>
      <c r="N216" t="str">
        <v>50.86%</v>
      </c>
      <c r="O216" t="str">
        <v>7.09億</v>
      </c>
      <c r="P216" t="str">
        <v>+3.81</v>
      </c>
      <c r="Q216" t="str">
        <v>+30.13</v>
      </c>
      <c r="R216" t="str">
        <v>-0.60</v>
      </c>
      <c r="S216">
        <v>-24</v>
      </c>
      <c r="T216">
        <v>122</v>
      </c>
      <c r="U216">
        <f t="array" ref="U216:AD216">[1]!'6491.TW-ChipsField3,ChipsField1,ChipsField25,CashAndStockDividend,CashDividendYieldRate,ProfitFourSeason,ProfitSingle,CName,ExchangeIndustry,CompanyPos'</f>
        <v>5</v>
      </c>
      <c r="V216">
        <v>110</v>
      </c>
      <c r="W216" t="str">
        <v>2022/06/09</v>
      </c>
      <c r="X216" t="str">
        <v>8.50</v>
      </c>
      <c r="Y216">
        <v>2.06</v>
      </c>
      <c r="Z216" t="str">
        <v>21.30</v>
      </c>
      <c r="AA216" t="str">
        <v>6.02</v>
      </c>
      <c r="AB216" t="str">
        <v>晶碩</v>
      </c>
      <c r="AC216" t="str">
        <v>上市生技醫療</v>
      </c>
      <c r="AD216" t="str">
        <v>和碩轉投資之隱形眼鏡公司</v>
      </c>
      <c r="AE216" t="str">
        <f t="array" ref="AE216:AH216">[1]!'6491.TW-CName,InvestorConferenceDate,DateofMeetingofShareHolders,TradingDate'</f>
        <v>晶碩</v>
      </c>
      <c r="AF216" t="str">
        <v>2022/07/27</v>
      </c>
      <c r="AG216" t="str">
        <v>2022/05/24</v>
      </c>
      <c r="AH216" t="str">
        <v>2022/12/22</v>
      </c>
    </row>
    <row r="217" spans="1:34" x14ac:dyDescent="0.3">
      <c r="A217" t="str">
        <f t="array" ref="A217:J217">[1]!'6541.TW-ID,Name,MarketValue,Capital,NetIncomeGrowthRate,OperIncomeGrowthRate,FinancialStatementsTime,TFXRatio,MonthlyNetSalesYoY,RevenueMonth'</f>
        <v>6541</v>
      </c>
      <c r="B217" t="str">
        <v>泰福-KY</v>
      </c>
      <c r="C217" t="str">
        <v>126.9</v>
      </c>
      <c r="D217" t="str">
        <v>35.27</v>
      </c>
      <c r="E217" t="str">
        <v>2.47</v>
      </c>
      <c r="F217" t="str">
        <v>9.59</v>
      </c>
      <c r="G217" t="str">
        <v>2022/09</v>
      </c>
      <c r="H217" t="str">
        <v>17.31</v>
      </c>
      <c r="I217" t="str">
        <v>310.29</v>
      </c>
      <c r="J217" t="str">
        <v>2022/11</v>
      </c>
      <c r="K217" t="str">
        <f t="array" ref="K217:T217">[1]!'6541.TW-OperatingProfitRatio,Price,PriceChangeRatio,InOutRatioNumber,Value,YearReturn,MonthReturn,WeekReturn,FinanceBalanceDif,ChipsField2'</f>
        <v>-7869.10</v>
      </c>
      <c r="L217">
        <v>36</v>
      </c>
      <c r="M217">
        <v>0</v>
      </c>
      <c r="N217" t="str">
        <v>43.43%</v>
      </c>
      <c r="O217" t="str">
        <v>2520萬</v>
      </c>
      <c r="P217" t="str">
        <v>-45.86</v>
      </c>
      <c r="Q217" t="str">
        <v>+17.26</v>
      </c>
      <c r="R217" t="str">
        <v>-5.51</v>
      </c>
      <c r="S217">
        <v>0</v>
      </c>
      <c r="T217">
        <v>0</v>
      </c>
      <c r="U217">
        <f t="array" ref="U217:AD217">[1]!'6541.TW-ChipsField3,ChipsField1,ChipsField25,CashAndStockDividend,CashDividendYieldRate,ProfitFourSeason,ProfitSingle,CName,ExchangeIndustry,CompanyPos'</f>
        <v>2</v>
      </c>
      <c r="V217">
        <v>8</v>
      </c>
      <c r="W217" t="str">
        <v>--</v>
      </c>
      <c r="X217" t="str">
        <v>0.00</v>
      </c>
      <c r="Y217">
        <v>0</v>
      </c>
      <c r="Z217" t="str">
        <v>-4.38</v>
      </c>
      <c r="AA217" t="str">
        <v>-1.15</v>
      </c>
      <c r="AB217" t="str">
        <v>泰福-KY</v>
      </c>
      <c r="AC217" t="str">
        <v>上市生技醫療</v>
      </c>
      <c r="AD217" t="str">
        <v>免疫、癌症等領域生物相似藥及新藥研發</v>
      </c>
      <c r="AE217" t="str">
        <f t="array" ref="AE217:AH217">[1]!'6541.TW-CName,InvestorConferenceDate,DateofMeetingofShareHolders,TradingDate'</f>
        <v>泰福-KY</v>
      </c>
      <c r="AF217" t="str">
        <v>2022/08/24</v>
      </c>
      <c r="AG217" t="str">
        <v>2022/12/13</v>
      </c>
      <c r="AH217" t="str">
        <v>2022/12/22</v>
      </c>
    </row>
    <row r="218" spans="1:34" x14ac:dyDescent="0.3">
      <c r="A218" t="str">
        <f t="array" ref="A218:J218">[1]!'6550.TW-ID,Name,MarketValue,Capital,NetIncomeGrowthRate,OperIncomeGrowthRate,FinancialStatementsTime,TFXRatio,MonthlyNetSalesYoY,RevenueMonth'</f>
        <v>6550</v>
      </c>
      <c r="B218" t="str">
        <v>北極星藥業-KY</v>
      </c>
      <c r="C218" t="str">
        <v>404.3</v>
      </c>
      <c r="D218" t="str">
        <v>74.18</v>
      </c>
      <c r="E218" t="str">
        <v>-48.58</v>
      </c>
      <c r="F218" t="str">
        <v>-48.79</v>
      </c>
      <c r="G218" t="str">
        <v>2022/09</v>
      </c>
      <c r="H218" t="str">
        <v>-2.28</v>
      </c>
      <c r="I218" t="str">
        <v>-89.90</v>
      </c>
      <c r="J218" t="str">
        <v>2022/11</v>
      </c>
      <c r="K218" t="str">
        <f t="array" ref="K218:T218">[1]!'6550.TW-OperatingProfitRatio,Price,PriceChangeRatio,InOutRatioNumber,Value,YearReturn,MonthReturn,WeekReturn,FinanceBalanceDif,ChipsField2'</f>
        <v>-15061.08</v>
      </c>
      <c r="L218">
        <v>93</v>
      </c>
      <c r="M218">
        <v>3.22</v>
      </c>
      <c r="N218" t="str">
        <v>55.88%</v>
      </c>
      <c r="O218" t="str">
        <v>5.96億</v>
      </c>
      <c r="P218" t="str">
        <v>--</v>
      </c>
      <c r="Q218" t="str">
        <v>-19.83</v>
      </c>
      <c r="R218" t="str">
        <v>-8.37</v>
      </c>
      <c r="S218">
        <v>0</v>
      </c>
      <c r="T218">
        <v>0</v>
      </c>
      <c r="U218">
        <f t="array" ref="U218:AD218">[1]!'6550.TW-ChipsField3,ChipsField1,ChipsField25,CashAndStockDividend,CashDividendYieldRate,ProfitFourSeason,ProfitSingle,CName,ExchangeIndustry,CompanyPos'</f>
        <v>-27</v>
      </c>
      <c r="V218">
        <v>-311</v>
      </c>
      <c r="W218" t="str">
        <v>--</v>
      </c>
      <c r="X218" t="str">
        <v>0.00</v>
      </c>
      <c r="Y218">
        <v>0</v>
      </c>
      <c r="Z218" t="str">
        <v>-1.43</v>
      </c>
      <c r="AA218" t="str">
        <v>-0.41</v>
      </c>
      <c r="AB218" t="str">
        <v>北極星藥業-KY</v>
      </c>
      <c r="AC218" t="str">
        <v>上市生技醫療</v>
      </c>
      <c r="AD218" t="str">
        <v>聚焦標靶抗癌新藥研發</v>
      </c>
      <c r="AE218" t="str">
        <f t="array" ref="AE218:AH218">[1]!'6550.TW-CName,InvestorConferenceDate,DateofMeetingofShareHolders,TradingDate'</f>
        <v>北極星藥業-KY</v>
      </c>
      <c r="AF218" t="str">
        <v>2022/12/08</v>
      </c>
      <c r="AG218" t="str">
        <v>2022/06/02</v>
      </c>
      <c r="AH218" t="str">
        <v>2022/12/22</v>
      </c>
    </row>
    <row r="219" spans="1:34" x14ac:dyDescent="0.3">
      <c r="A219" t="str">
        <f t="array" ref="A219:J219">[1]!'6598.TW-ID,Name,MarketValue,Capital,NetIncomeGrowthRate,OperIncomeGrowthRate,FinancialStatementsTime,TFXRatio,MonthlyNetSalesYoY,RevenueMonth'</f>
        <v>6598</v>
      </c>
      <c r="B219" t="str">
        <v>ABC-KY</v>
      </c>
      <c r="C219" t="str">
        <v>24.4</v>
      </c>
      <c r="D219" t="str">
        <v>8.18</v>
      </c>
      <c r="E219" t="str">
        <v>-7.01</v>
      </c>
      <c r="F219" t="str">
        <v>-8.38</v>
      </c>
      <c r="G219" t="str">
        <v>2022/09</v>
      </c>
      <c r="H219" t="str">
        <v>81.53</v>
      </c>
      <c r="I219" t="str">
        <v>31.90</v>
      </c>
      <c r="J219" t="str">
        <v>2022/11</v>
      </c>
      <c r="K219" t="str">
        <f t="array" ref="K219:T219">[1]!'6598.TW-OperatingProfitRatio,Price,PriceChangeRatio,InOutRatioNumber,Value,YearReturn,MonthReturn,WeekReturn,FinanceBalanceDif,ChipsField2'</f>
        <v>-56.85</v>
      </c>
      <c r="L219">
        <v>29.85</v>
      </c>
      <c r="M219">
        <v>3.47</v>
      </c>
      <c r="N219" t="str">
        <v>67.32%</v>
      </c>
      <c r="O219" t="str">
        <v>768萬</v>
      </c>
      <c r="P219" t="str">
        <v>-32.92</v>
      </c>
      <c r="Q219" t="str">
        <v>+7.18</v>
      </c>
      <c r="R219" t="str">
        <v>-5.39</v>
      </c>
      <c r="S219">
        <v>-5</v>
      </c>
      <c r="T219">
        <v>0</v>
      </c>
      <c r="U219">
        <f t="array" ref="U219:AD219">[1]!'6598.TW-ChipsField3,ChipsField1,ChipsField25,CashAndStockDividend,CashDividendYieldRate,ProfitFourSeason,ProfitSingle,CName,ExchangeIndustry,CompanyPos'</f>
        <v>0</v>
      </c>
      <c r="V219">
        <v>20</v>
      </c>
      <c r="W219" t="str">
        <v>--</v>
      </c>
      <c r="X219" t="str">
        <v>0.00</v>
      </c>
      <c r="Y219">
        <v>0</v>
      </c>
      <c r="Z219" t="str">
        <v>-2.14</v>
      </c>
      <c r="AA219" t="str">
        <v>-0.54</v>
      </c>
      <c r="AB219" t="str">
        <v>ABC-KY</v>
      </c>
      <c r="AC219" t="str">
        <v>上市生技醫療</v>
      </c>
      <c r="AD219" t="str">
        <v>泛宏碁集團醫療檢測廠</v>
      </c>
      <c r="AE219" t="str">
        <f t="array" ref="AE219:AH219">[1]!'6598.TW-CName,InvestorConferenceDate,DateofMeetingofShareHolders,TradingDate'</f>
        <v>ABC-KY</v>
      </c>
      <c r="AF219" t="str">
        <v>2022/10/13</v>
      </c>
      <c r="AG219" t="str">
        <v>2022/06/13</v>
      </c>
      <c r="AH219" t="str">
        <v>2022/12/22</v>
      </c>
    </row>
    <row r="220" spans="1:34" x14ac:dyDescent="0.3">
      <c r="A220" t="str">
        <f t="array" ref="A220:J220">[1]!'6666.TW-ID,Name,MarketValue,Capital,NetIncomeGrowthRate,OperIncomeGrowthRate,FinancialStatementsTime,TFXRatio,MonthlyNetSalesYoY,RevenueMonth'</f>
        <v>6666</v>
      </c>
      <c r="B220" t="str">
        <v>羅麗芬-KY</v>
      </c>
      <c r="C220" t="str">
        <v>37.2</v>
      </c>
      <c r="D220" t="str">
        <v>4.74</v>
      </c>
      <c r="E220" t="str">
        <v>69.27</v>
      </c>
      <c r="F220" t="str">
        <v>40.71</v>
      </c>
      <c r="G220" t="str">
        <v>2022/09</v>
      </c>
      <c r="H220" t="str">
        <v>5.00</v>
      </c>
      <c r="I220" t="str">
        <v>-35.65</v>
      </c>
      <c r="J220" t="str">
        <v>2022/11</v>
      </c>
      <c r="K220" t="str">
        <f t="array" ref="K220:T220">[1]!'6666.TW-OperatingProfitRatio,Price,PriceChangeRatio,InOutRatioNumber,Value,YearReturn,MonthReturn,WeekReturn,FinanceBalanceDif,ChipsField2'</f>
        <v>8.18</v>
      </c>
      <c r="L220">
        <v>78.400000000000006</v>
      </c>
      <c r="M220">
        <v>0.64</v>
      </c>
      <c r="N220" t="str">
        <v>55.86%</v>
      </c>
      <c r="O220" t="str">
        <v>2024萬</v>
      </c>
      <c r="P220" t="str">
        <v>+17.21</v>
      </c>
      <c r="Q220" t="str">
        <v>+12.00</v>
      </c>
      <c r="R220" t="str">
        <v>-6.11</v>
      </c>
      <c r="S220">
        <v>-13</v>
      </c>
      <c r="T220">
        <v>0</v>
      </c>
      <c r="U220">
        <f t="array" ref="U220:AD220">[1]!'6666.TW-ChipsField3,ChipsField1,ChipsField25,CashAndStockDividend,CashDividendYieldRate,ProfitFourSeason,ProfitSingle,CName,ExchangeIndustry,CompanyPos'</f>
        <v>-15</v>
      </c>
      <c r="V220">
        <v>52</v>
      </c>
      <c r="W220" t="str">
        <v>2022/08/16</v>
      </c>
      <c r="X220" t="str">
        <v>1.50</v>
      </c>
      <c r="Y220">
        <v>1.91</v>
      </c>
      <c r="Z220" t="str">
        <v>2.16</v>
      </c>
      <c r="AA220" t="str">
        <v>0.23</v>
      </c>
      <c r="AB220" t="str">
        <v>羅麗芬-KY</v>
      </c>
      <c r="AC220" t="str">
        <v>上市生技醫療</v>
      </c>
      <c r="AD220" t="str">
        <v>銷售以面部類為主的大陸美妝品牌公司</v>
      </c>
      <c r="AE220" t="str">
        <f t="array" ref="AE220:AH220">[1]!'6666.TW-CName,InvestorConferenceDate,DateofMeetingofShareHolders,TradingDate'</f>
        <v>羅麗芬-KY</v>
      </c>
      <c r="AF220" t="str">
        <v>--</v>
      </c>
      <c r="AG220" t="str">
        <v>2022/06/02</v>
      </c>
      <c r="AH220" t="str">
        <v>2022/12/22</v>
      </c>
    </row>
    <row r="221" spans="1:34" x14ac:dyDescent="0.3">
      <c r="A221" t="str">
        <f t="array" ref="A221:J221">[1]!'6782.TW-ID,Name,MarketValue,Capital,NetIncomeGrowthRate,OperIncomeGrowthRate,FinancialStatementsTime,TFXRatio,MonthlyNetSalesYoY,RevenueMonth'</f>
        <v>6782</v>
      </c>
      <c r="B221" t="str">
        <v>視陽</v>
      </c>
      <c r="C221" t="str">
        <v>189.0</v>
      </c>
      <c r="D221" t="str">
        <v>6.30</v>
      </c>
      <c r="E221" t="str">
        <v>97.08</v>
      </c>
      <c r="F221" t="str">
        <v>115.65</v>
      </c>
      <c r="G221" t="str">
        <v>2022/09</v>
      </c>
      <c r="H221" t="str">
        <v>-11.45</v>
      </c>
      <c r="I221" t="str">
        <v>10.13</v>
      </c>
      <c r="J221" t="str">
        <v>2022/11</v>
      </c>
      <c r="K221" t="str">
        <f t="array" ref="K221:T221">[1]!'6782.TW-OperatingProfitRatio,Price,PriceChangeRatio,InOutRatioNumber,Value,YearReturn,MonthReturn,WeekReturn,FinanceBalanceDif,ChipsField2'</f>
        <v>26.57</v>
      </c>
      <c r="L221">
        <v>300</v>
      </c>
      <c r="M221">
        <v>-3.23</v>
      </c>
      <c r="N221" t="str">
        <v>23.60%</v>
      </c>
      <c r="O221" t="str">
        <v>5.01億</v>
      </c>
      <c r="P221" t="str">
        <v>--</v>
      </c>
      <c r="Q221" t="str">
        <v>--</v>
      </c>
      <c r="R221" t="str">
        <v>-13.79</v>
      </c>
      <c r="S221">
        <v>0</v>
      </c>
      <c r="T221">
        <v>0</v>
      </c>
      <c r="U221">
        <f t="array" ref="U221:AD221">[1]!'6782.TW-ChipsField3,ChipsField1,ChipsField25,CashAndStockDividend,CashDividendYieldRate,ProfitFourSeason,ProfitSingle,CName,ExchangeIndustry,CompanyPos'</f>
        <v>5</v>
      </c>
      <c r="V221">
        <v>27</v>
      </c>
      <c r="W221" t="str">
        <v>2022/07/27</v>
      </c>
      <c r="X221" t="str">
        <v>4.00</v>
      </c>
      <c r="Y221">
        <v>1.33</v>
      </c>
      <c r="Z221" t="str">
        <v>12.57</v>
      </c>
      <c r="AA221" t="str">
        <v>3.37</v>
      </c>
      <c r="AB221" t="str">
        <v>視陽</v>
      </c>
      <c r="AC221" t="str">
        <v>上市生技醫療</v>
      </c>
      <c r="AD221" t="str">
        <v>明基材轉投資，為亞洲最大矽水膠隱形眼鏡製造商</v>
      </c>
      <c r="AE221" t="str">
        <f t="array" ref="AE221:AH221">[1]!'6782.TW-CName,InvestorConferenceDate,DateofMeetingofShareHolders,TradingDate'</f>
        <v>視陽</v>
      </c>
      <c r="AF221" t="str">
        <v>--</v>
      </c>
      <c r="AG221" t="str">
        <v>2022/06/17</v>
      </c>
      <c r="AH221" t="str">
        <v>2022/12/22</v>
      </c>
    </row>
    <row r="222" spans="1:34" x14ac:dyDescent="0.3">
      <c r="A222" t="str">
        <f t="array" ref="A222:J222">[1]!'6796.TW-ID,Name,MarketValue,Capital,NetIncomeGrowthRate,OperIncomeGrowthRate,FinancialStatementsTime,TFXRatio,MonthlyNetSalesYoY,RevenueMonth'</f>
        <v>6796</v>
      </c>
      <c r="B222" t="str">
        <v>晉弘</v>
      </c>
      <c r="C222" t="str">
        <v>25.2</v>
      </c>
      <c r="D222" t="str">
        <v>3.32</v>
      </c>
      <c r="E222" t="str">
        <v>32.22</v>
      </c>
      <c r="F222" t="str">
        <v>-37.58</v>
      </c>
      <c r="G222" t="str">
        <v>2022/09</v>
      </c>
      <c r="H222" t="str">
        <v>9.56</v>
      </c>
      <c r="I222" t="str">
        <v>-0.77</v>
      </c>
      <c r="J222" t="str">
        <v>2022/11</v>
      </c>
      <c r="K222" t="str">
        <f t="array" ref="K222:T222">[1]!'6796.TW-OperatingProfitRatio,Price,PriceChangeRatio,InOutRatioNumber,Value,YearReturn,MonthReturn,WeekReturn,FinanceBalanceDif,ChipsField2'</f>
        <v>9.23</v>
      </c>
      <c r="L222">
        <v>75.900000000000006</v>
      </c>
      <c r="M222">
        <v>2.4300000000000002</v>
      </c>
      <c r="N222" t="str">
        <v>47.37%</v>
      </c>
      <c r="O222" t="str">
        <v>287萬</v>
      </c>
      <c r="P222" t="str">
        <v>--</v>
      </c>
      <c r="Q222" t="str">
        <v>-6.18</v>
      </c>
      <c r="R222" t="str">
        <v>-1.56</v>
      </c>
      <c r="S222">
        <v>0</v>
      </c>
      <c r="T222">
        <v>0</v>
      </c>
      <c r="U222">
        <f t="array" ref="U222:AD222">[1]!'6796.TW-ChipsField3,ChipsField1,ChipsField25,CashAndStockDividend,CashDividendYieldRate,ProfitFourSeason,ProfitSingle,CName,ExchangeIndustry,CompanyPos'</f>
        <v>0</v>
      </c>
      <c r="V222">
        <v>5</v>
      </c>
      <c r="W222" t="str">
        <v>2022/07/07</v>
      </c>
      <c r="X222" t="str">
        <v>1.60</v>
      </c>
      <c r="Y222">
        <v>2.11</v>
      </c>
      <c r="Z222" t="str">
        <v>2.58</v>
      </c>
      <c r="AA222" t="str">
        <v>0.69</v>
      </c>
      <c r="AB222" t="str">
        <v>晉弘</v>
      </c>
      <c r="AC222" t="str">
        <v>上市生技醫療</v>
      </c>
      <c r="AD222" t="str">
        <v>醫療影像診斷系統解決方案供應商</v>
      </c>
      <c r="AE222" t="str">
        <f t="array" ref="AE222:AH222">[1]!'6796.TW-CName,InvestorConferenceDate,DateofMeetingofShareHolders,TradingDate'</f>
        <v>晉弘</v>
      </c>
      <c r="AF222" t="str">
        <v>2022/12/02</v>
      </c>
      <c r="AG222" t="str">
        <v>2022/06/17</v>
      </c>
      <c r="AH222" t="str">
        <v>2022/12/22</v>
      </c>
    </row>
    <row r="223" spans="1:34" x14ac:dyDescent="0.3">
      <c r="A223" t="str">
        <f t="array" ref="A223:J223">[1]!'1802.TW-ID,Name,MarketValue,Capital,NetIncomeGrowthRate,OperIncomeGrowthRate,FinancialStatementsTime,TFXRatio,MonthlyNetSalesYoY,RevenueMonth'</f>
        <v>1802</v>
      </c>
      <c r="B223" t="str">
        <v>台玻</v>
      </c>
      <c r="C223" t="str">
        <v>615.1</v>
      </c>
      <c r="D223" t="str">
        <v>290.81</v>
      </c>
      <c r="E223" t="str">
        <v>-97.73</v>
      </c>
      <c r="F223" t="str">
        <v>-94.46</v>
      </c>
      <c r="G223" t="str">
        <v>2022/09</v>
      </c>
      <c r="H223" t="str">
        <v>0.90</v>
      </c>
      <c r="I223" t="str">
        <v>-14.42</v>
      </c>
      <c r="J223" t="str">
        <v>2022/11</v>
      </c>
      <c r="K223" t="str">
        <f t="array" ref="K223:T223">[1]!'1802.TW-OperatingProfitRatio,Price,PriceChangeRatio,InOutRatioNumber,Value,YearReturn,MonthReturn,WeekReturn,FinanceBalanceDif,ChipsField2'</f>
        <v>1.62</v>
      </c>
      <c r="L223">
        <v>21.15</v>
      </c>
      <c r="M223">
        <v>-0.24</v>
      </c>
      <c r="N223" t="str">
        <v>48.17%</v>
      </c>
      <c r="O223" t="str">
        <v>7.00億</v>
      </c>
      <c r="P223" t="str">
        <v>-11.32</v>
      </c>
      <c r="Q223" t="str">
        <v>-12.24</v>
      </c>
      <c r="R223" t="str">
        <v>-15.74</v>
      </c>
      <c r="S223">
        <v>935</v>
      </c>
      <c r="T223">
        <v>25954</v>
      </c>
      <c r="U223">
        <f t="array" ref="U223:AD223">[1]!'1802.TW-ChipsField3,ChipsField1,ChipsField25,CashAndStockDividend,CashDividendYieldRate,ProfitFourSeason,ProfitSingle,CName,ExchangeIndustry,CompanyPos'</f>
        <v>101</v>
      </c>
      <c r="V223">
        <v>-28578</v>
      </c>
      <c r="W223" t="str">
        <v>2022/06/28</v>
      </c>
      <c r="X223" t="str">
        <v>1.82</v>
      </c>
      <c r="Y223">
        <v>8.61</v>
      </c>
      <c r="Z223" t="str">
        <v>1.16</v>
      </c>
      <c r="AA223" t="str">
        <v>-0.52</v>
      </c>
      <c r="AB223" t="str">
        <v>台玻</v>
      </c>
      <c r="AC223" t="str">
        <v>上市玻璃陶瓷</v>
      </c>
      <c r="AD223" t="str">
        <v>兩岸前三大玻璃生產商</v>
      </c>
      <c r="AE223" t="str">
        <f t="array" ref="AE223:AH223">[1]!'1802.TW-CName,InvestorConferenceDate,DateofMeetingofShareHolders,TradingDate'</f>
        <v>台玻</v>
      </c>
      <c r="AF223" t="str">
        <v>2022/11/22</v>
      </c>
      <c r="AG223" t="str">
        <v>2022/06/09</v>
      </c>
      <c r="AH223" t="str">
        <v>2022/12/22</v>
      </c>
    </row>
    <row r="224" spans="1:34" x14ac:dyDescent="0.3">
      <c r="A224" t="str">
        <f t="array" ref="A224:J224">[1]!'1806.TW-ID,Name,MarketValue,Capital,NetIncomeGrowthRate,OperIncomeGrowthRate,FinancialStatementsTime,TFXRatio,MonthlyNetSalesYoY,RevenueMonth'</f>
        <v>1806</v>
      </c>
      <c r="B224" t="str">
        <v>冠軍</v>
      </c>
      <c r="C224" t="str">
        <v>35.5</v>
      </c>
      <c r="D224" t="str">
        <v>39.04</v>
      </c>
      <c r="E224" t="str">
        <v>-102.24</v>
      </c>
      <c r="F224" t="str">
        <v>831.00</v>
      </c>
      <c r="G224" t="str">
        <v>2022/09</v>
      </c>
      <c r="H224" t="str">
        <v>3.76</v>
      </c>
      <c r="I224" t="str">
        <v>-16.49</v>
      </c>
      <c r="J224" t="str">
        <v>2022/11</v>
      </c>
      <c r="K224" t="str">
        <f t="array" ref="K224:T224">[1]!'1806.TW-OperatingProfitRatio,Price,PriceChangeRatio,InOutRatioNumber,Value,YearReturn,MonthReturn,WeekReturn,FinanceBalanceDif,ChipsField2'</f>
        <v>8.02</v>
      </c>
      <c r="L224">
        <v>9.1</v>
      </c>
      <c r="M224">
        <v>0.11</v>
      </c>
      <c r="N224" t="str">
        <v>45.95%</v>
      </c>
      <c r="O224" t="str">
        <v>203萬</v>
      </c>
      <c r="P224" t="str">
        <v>-17.14</v>
      </c>
      <c r="Q224" t="str">
        <v>-1.09</v>
      </c>
      <c r="R224" t="str">
        <v>-2.67</v>
      </c>
      <c r="S224">
        <v>3</v>
      </c>
      <c r="T224">
        <v>0</v>
      </c>
      <c r="U224">
        <f t="array" ref="U224:AD224">[1]!'1806.TW-ChipsField3,ChipsField1,ChipsField25,CashAndStockDividend,CashDividendYieldRate,ProfitFourSeason,ProfitSingle,CName,ExchangeIndustry,CompanyPos'</f>
        <v>-2</v>
      </c>
      <c r="V224">
        <v>2</v>
      </c>
      <c r="W224" t="str">
        <v>2022/07/18</v>
      </c>
      <c r="X224" t="str">
        <v>1.00</v>
      </c>
      <c r="Y224">
        <v>10.99</v>
      </c>
      <c r="Z224" t="str">
        <v>0.05</v>
      </c>
      <c r="AA224" t="str">
        <v>0.14</v>
      </c>
      <c r="AB224" t="str">
        <v>冠軍</v>
      </c>
      <c r="AC224" t="str">
        <v>上市玻璃陶瓷</v>
      </c>
      <c r="AD224" t="str">
        <v>台灣最大磁磚廠商</v>
      </c>
      <c r="AE224" t="str">
        <f t="array" ref="AE224:AH224">[1]!'1806.TW-CName,InvestorConferenceDate,DateofMeetingofShareHolders,TradingDate'</f>
        <v>冠軍</v>
      </c>
      <c r="AF224" t="str">
        <v>2022/11/23</v>
      </c>
      <c r="AG224" t="str">
        <v>2022/06/22</v>
      </c>
      <c r="AH224" t="str">
        <v>2022/12/22</v>
      </c>
    </row>
    <row r="225" spans="1:34" x14ac:dyDescent="0.3">
      <c r="A225" t="str">
        <f t="array" ref="A225:J225">[1]!'1809.TW-ID,Name,MarketValue,Capital,NetIncomeGrowthRate,OperIncomeGrowthRate,FinancialStatementsTime,TFXRatio,MonthlyNetSalesYoY,RevenueMonth'</f>
        <v>1809</v>
      </c>
      <c r="B225" t="str">
        <v>中釉</v>
      </c>
      <c r="C225" t="str">
        <v>20.7</v>
      </c>
      <c r="D225" t="str">
        <v>16.70</v>
      </c>
      <c r="E225" t="str">
        <v>334.87</v>
      </c>
      <c r="F225" t="str">
        <v>-16.78</v>
      </c>
      <c r="G225" t="str">
        <v>2022/09</v>
      </c>
      <c r="H225" t="str">
        <v>-13.49</v>
      </c>
      <c r="I225" t="str">
        <v>-10.02</v>
      </c>
      <c r="J225" t="str">
        <v>2022/11</v>
      </c>
      <c r="K225" t="str">
        <f t="array" ref="K225:T225">[1]!'1809.TW-OperatingProfitRatio,Price,PriceChangeRatio,InOutRatioNumber,Value,YearReturn,MonthReturn,WeekReturn,FinanceBalanceDif,ChipsField2'</f>
        <v>0.61</v>
      </c>
      <c r="L225">
        <v>12.4</v>
      </c>
      <c r="M225">
        <v>1.64</v>
      </c>
      <c r="N225" t="str">
        <v>43.58%</v>
      </c>
      <c r="O225" t="str">
        <v>508萬</v>
      </c>
      <c r="P225" t="str">
        <v>-20.84</v>
      </c>
      <c r="Q225" t="str">
        <v>-7.46</v>
      </c>
      <c r="R225" t="str">
        <v>-6.06</v>
      </c>
      <c r="S225">
        <v>-22</v>
      </c>
      <c r="T225">
        <v>0</v>
      </c>
      <c r="U225">
        <f t="array" ref="U225:AD225">[1]!'1809.TW-ChipsField3,ChipsField1,ChipsField25,CashAndStockDividend,CashDividendYieldRate,ProfitFourSeason,ProfitSingle,CName,ExchangeIndustry,CompanyPos'</f>
        <v>0</v>
      </c>
      <c r="V225">
        <v>-2</v>
      </c>
      <c r="W225" t="str">
        <v>2022/07/26</v>
      </c>
      <c r="X225" t="str">
        <v>0.25</v>
      </c>
      <c r="Y225">
        <v>2.02</v>
      </c>
      <c r="Z225" t="str">
        <v>0.61</v>
      </c>
      <c r="AA225" t="str">
        <v>0.23</v>
      </c>
      <c r="AB225" t="str">
        <v>中釉</v>
      </c>
      <c r="AC225" t="str">
        <v>上市玻璃陶瓷</v>
      </c>
      <c r="AD225" t="str">
        <v>亞洲最大釉料廠</v>
      </c>
      <c r="AE225" t="str">
        <f t="array" ref="AE225:AH225">[1]!'1809.TW-CName,InvestorConferenceDate,DateofMeetingofShareHolders,TradingDate'</f>
        <v>中釉</v>
      </c>
      <c r="AF225" t="str">
        <v>2022/10/06</v>
      </c>
      <c r="AG225" t="str">
        <v>2022/06/21</v>
      </c>
      <c r="AH225" t="str">
        <v>2022/12/22</v>
      </c>
    </row>
    <row r="226" spans="1:34" x14ac:dyDescent="0.3">
      <c r="A226" t="str">
        <f t="array" ref="A226:J226">[1]!'1810.TW-ID,Name,MarketValue,Capital,NetIncomeGrowthRate,OperIncomeGrowthRate,FinancialStatementsTime,TFXRatio,MonthlyNetSalesYoY,RevenueMonth'</f>
        <v>1810</v>
      </c>
      <c r="B226" t="str">
        <v>和成</v>
      </c>
      <c r="C226" t="str">
        <v>54.3</v>
      </c>
      <c r="D226" t="str">
        <v>30.33</v>
      </c>
      <c r="E226" t="str">
        <v>-90.64</v>
      </c>
      <c r="F226" t="str">
        <v>285.43</v>
      </c>
      <c r="G226" t="str">
        <v>2022/09</v>
      </c>
      <c r="H226" t="str">
        <v>7.92</v>
      </c>
      <c r="I226" t="str">
        <v>-28.21</v>
      </c>
      <c r="J226" t="str">
        <v>2022/11</v>
      </c>
      <c r="K226" t="str">
        <f t="array" ref="K226:T226">[1]!'1810.TW-OperatingProfitRatio,Price,PriceChangeRatio,InOutRatioNumber,Value,YearReturn,MonthReturn,WeekReturn,FinanceBalanceDif,ChipsField2'</f>
        <v>2.98</v>
      </c>
      <c r="L226">
        <v>17.899999999999999</v>
      </c>
      <c r="M226">
        <v>0.56000000000000005</v>
      </c>
      <c r="N226" t="str">
        <v>49.12%</v>
      </c>
      <c r="O226" t="str">
        <v>1.74億</v>
      </c>
      <c r="P226" t="str">
        <v>+3.30</v>
      </c>
      <c r="Q226" t="str">
        <v>+29.24</v>
      </c>
      <c r="R226" t="str">
        <v>-10.95</v>
      </c>
      <c r="S226">
        <v>205</v>
      </c>
      <c r="T226">
        <v>0</v>
      </c>
      <c r="U226">
        <f t="array" ref="U226:AD226">[1]!'1810.TW-ChipsField3,ChipsField1,ChipsField25,CashAndStockDividend,CashDividendYieldRate,ProfitFourSeason,ProfitSingle,CName,ExchangeIndustry,CompanyPos'</f>
        <v>-2</v>
      </c>
      <c r="V226">
        <v>-2253</v>
      </c>
      <c r="W226" t="str">
        <v>2022/07/27</v>
      </c>
      <c r="X226" t="str">
        <v>0.20</v>
      </c>
      <c r="Y226">
        <v>1.1200000000000001</v>
      </c>
      <c r="Z226" t="str">
        <v>0.72</v>
      </c>
      <c r="AA226" t="str">
        <v>0.02</v>
      </c>
      <c r="AB226" t="str">
        <v>和成</v>
      </c>
      <c r="AC226" t="str">
        <v>上市玻璃陶瓷</v>
      </c>
      <c r="AD226" t="str">
        <v>台灣衛浴設備龍頭廠</v>
      </c>
      <c r="AE226" t="str">
        <f t="array" ref="AE226:AH226">[1]!'1810.TW-CName,InvestorConferenceDate,DateofMeetingofShareHolders,TradingDate'</f>
        <v>和成</v>
      </c>
      <c r="AF226" t="str">
        <v>2022/11/24</v>
      </c>
      <c r="AG226" t="str">
        <v>2022/06/27</v>
      </c>
      <c r="AH226" t="str">
        <v>2022/12/22</v>
      </c>
    </row>
    <row r="227" spans="1:34" x14ac:dyDescent="0.3">
      <c r="A227" t="str">
        <f t="array" ref="A227:J227">[1]!'1817.TW-ID,Name,MarketValue,Capital,NetIncomeGrowthRate,OperIncomeGrowthRate,FinancialStatementsTime,TFXRatio,MonthlyNetSalesYoY,RevenueMonth'</f>
        <v>1817</v>
      </c>
      <c r="B227" t="str">
        <v>凱撒衛</v>
      </c>
      <c r="C227" t="str">
        <v>27.4</v>
      </c>
      <c r="D227" t="str">
        <v>7.26</v>
      </c>
      <c r="E227" t="str">
        <v>33.97</v>
      </c>
      <c r="F227" t="str">
        <v>30.47</v>
      </c>
      <c r="G227" t="str">
        <v>2022/09</v>
      </c>
      <c r="H227" t="str">
        <v>23.21</v>
      </c>
      <c r="I227" t="str">
        <v>6.62</v>
      </c>
      <c r="J227" t="str">
        <v>2022/11</v>
      </c>
      <c r="K227" t="str">
        <f t="array" ref="K227:T227">[1]!'1817.TW-OperatingProfitRatio,Price,PriceChangeRatio,InOutRatioNumber,Value,YearReturn,MonthReturn,WeekReturn,FinanceBalanceDif,ChipsField2'</f>
        <v>13.53</v>
      </c>
      <c r="L227">
        <v>37.75</v>
      </c>
      <c r="M227">
        <v>-0.13</v>
      </c>
      <c r="N227" t="str">
        <v>27.42%</v>
      </c>
      <c r="O227" t="str">
        <v>250萬</v>
      </c>
      <c r="P227" t="str">
        <v>+8.53</v>
      </c>
      <c r="Q227" t="str">
        <v>+7.55</v>
      </c>
      <c r="R227" t="str">
        <v>+1.21</v>
      </c>
      <c r="S227">
        <v>0</v>
      </c>
      <c r="T227">
        <v>0</v>
      </c>
      <c r="U227">
        <f t="array" ref="U227:AD227">[1]!'1817.TW-ChipsField3,ChipsField1,ChipsField25,CashAndStockDividend,CashDividendYieldRate,ProfitFourSeason,ProfitSingle,CName,ExchangeIndustry,CompanyPos'</f>
        <v>0</v>
      </c>
      <c r="V227">
        <v>3</v>
      </c>
      <c r="W227" t="str">
        <v>2022/06/30</v>
      </c>
      <c r="X227" t="str">
        <v>2.00</v>
      </c>
      <c r="Y227">
        <v>5.3</v>
      </c>
      <c r="Z227" t="str">
        <v>3.81</v>
      </c>
      <c r="AA227" t="str">
        <v>1.14</v>
      </c>
      <c r="AB227" t="str">
        <v>凱撒衛</v>
      </c>
      <c r="AC227" t="str">
        <v>上市玻璃陶瓷</v>
      </c>
      <c r="AD227" t="str">
        <v>在越南生產回銷台灣之國內第3大衛浴設備大廠</v>
      </c>
      <c r="AE227" t="str">
        <f t="array" ref="AE227:AH227">[1]!'1817.TW-CName,InvestorConferenceDate,DateofMeetingofShareHolders,TradingDate'</f>
        <v>凱撒衛</v>
      </c>
      <c r="AF227" t="str">
        <v>2022/12/05</v>
      </c>
      <c r="AG227" t="str">
        <v>2022/05/26</v>
      </c>
      <c r="AH227" t="str">
        <v>2022/12/22</v>
      </c>
    </row>
    <row r="228" spans="1:34" x14ac:dyDescent="0.3">
      <c r="A228" t="str">
        <f t="array" ref="A228:J228">[1]!'1903.TW-ID,Name,MarketValue,Capital,NetIncomeGrowthRate,OperIncomeGrowthRate,FinancialStatementsTime,TFXRatio,MonthlyNetSalesYoY,RevenueMonth'</f>
        <v>1903</v>
      </c>
      <c r="B228" t="str">
        <v>士紙</v>
      </c>
      <c r="C228" t="str">
        <v>129.1</v>
      </c>
      <c r="D228" t="str">
        <v>26.00</v>
      </c>
      <c r="E228" t="str">
        <v>122.91</v>
      </c>
      <c r="F228" t="str">
        <v>-5851.66</v>
      </c>
      <c r="G228" t="str">
        <v>2022/09</v>
      </c>
      <c r="H228" t="str">
        <v>14.63</v>
      </c>
      <c r="I228" t="str">
        <v>-9.23</v>
      </c>
      <c r="J228" t="str">
        <v>2022/11</v>
      </c>
      <c r="K228" t="str">
        <f t="array" ref="K228:T228">[1]!'1903.TW-OperatingProfitRatio,Price,PriceChangeRatio,InOutRatioNumber,Value,YearReturn,MonthReturn,WeekReturn,FinanceBalanceDif,ChipsField2'</f>
        <v>-57.36</v>
      </c>
      <c r="L228">
        <v>49.65</v>
      </c>
      <c r="M228">
        <v>0.1</v>
      </c>
      <c r="N228" t="str">
        <v>41.38%</v>
      </c>
      <c r="O228" t="str">
        <v>154萬</v>
      </c>
      <c r="P228" t="str">
        <v>-23.85</v>
      </c>
      <c r="Q228" t="str">
        <v>-0.50</v>
      </c>
      <c r="R228" t="str">
        <v>-1.68</v>
      </c>
      <c r="S228">
        <v>0</v>
      </c>
      <c r="T228">
        <v>0</v>
      </c>
      <c r="U228">
        <f t="array" ref="U228:AD228">[1]!'1903.TW-ChipsField3,ChipsField1,ChipsField25,CashAndStockDividend,CashDividendYieldRate,ProfitFourSeason,ProfitSingle,CName,ExchangeIndustry,CompanyPos'</f>
        <v>0</v>
      </c>
      <c r="V228">
        <v>-4</v>
      </c>
      <c r="W228" t="str">
        <v>--</v>
      </c>
      <c r="X228" t="str">
        <v>0.00</v>
      </c>
      <c r="Y228">
        <v>0</v>
      </c>
      <c r="Z228" t="str">
        <v>0.85</v>
      </c>
      <c r="AA228" t="str">
        <v>1.20</v>
      </c>
      <c r="AB228" t="str">
        <v>士紙</v>
      </c>
      <c r="AC228" t="str">
        <v>上市造紙</v>
      </c>
      <c r="AD228" t="str">
        <v>轉型為濕紙巾製造商</v>
      </c>
      <c r="AE228" t="str">
        <f t="array" ref="AE228:AH228">[1]!'1903.TW-CName,InvestorConferenceDate,DateofMeetingofShareHolders,TradingDate'</f>
        <v>士紙</v>
      </c>
      <c r="AF228" t="str">
        <v>2022/12/29</v>
      </c>
      <c r="AG228" t="str">
        <v>2022/06/14</v>
      </c>
      <c r="AH228" t="str">
        <v>2022/12/22</v>
      </c>
    </row>
    <row r="229" spans="1:34" x14ac:dyDescent="0.3">
      <c r="A229" t="str">
        <f t="array" ref="A229:J229">[1]!'1904.TW-ID,Name,MarketValue,Capital,NetIncomeGrowthRate,OperIncomeGrowthRate,FinancialStatementsTime,TFXRatio,MonthlyNetSalesYoY,RevenueMonth'</f>
        <v>1904</v>
      </c>
      <c r="B229" t="str">
        <v>正隆</v>
      </c>
      <c r="C229" t="str">
        <v>304.2</v>
      </c>
      <c r="D229" t="str">
        <v>110.83</v>
      </c>
      <c r="E229" t="str">
        <v>-24.89</v>
      </c>
      <c r="F229" t="str">
        <v>-65.14</v>
      </c>
      <c r="G229" t="str">
        <v>2022/09</v>
      </c>
      <c r="H229" t="str">
        <v>5.18</v>
      </c>
      <c r="I229" t="str">
        <v>-13.99</v>
      </c>
      <c r="J229" t="str">
        <v>2022/11</v>
      </c>
      <c r="K229" t="str">
        <f t="array" ref="K229:T229">[1]!'1904.TW-OperatingProfitRatio,Price,PriceChangeRatio,InOutRatioNumber,Value,YearReturn,MonthReturn,WeekReturn,FinanceBalanceDif,ChipsField2'</f>
        <v>3.83</v>
      </c>
      <c r="L229">
        <v>27.45</v>
      </c>
      <c r="M229">
        <v>1.1000000000000001</v>
      </c>
      <c r="N229" t="str">
        <v>43.13%</v>
      </c>
      <c r="O229" t="str">
        <v>1417萬</v>
      </c>
      <c r="P229" t="str">
        <v>-14.05</v>
      </c>
      <c r="Q229" t="str">
        <v>+0.73</v>
      </c>
      <c r="R229" t="str">
        <v>-0.72</v>
      </c>
      <c r="S229">
        <v>-7</v>
      </c>
      <c r="T229">
        <v>0</v>
      </c>
      <c r="U229">
        <f t="array" ref="U229:AD229">[1]!'1904.TW-ChipsField3,ChipsField1,ChipsField25,CashAndStockDividend,CashDividendYieldRate,ProfitFourSeason,ProfitSingle,CName,ExchangeIndustry,CompanyPos'</f>
        <v>-20</v>
      </c>
      <c r="V229">
        <v>-71</v>
      </c>
      <c r="W229" t="str">
        <v>2022/06/28</v>
      </c>
      <c r="X229" t="str">
        <v>1.90</v>
      </c>
      <c r="Y229">
        <v>6.92</v>
      </c>
      <c r="Z229" t="str">
        <v>2.71</v>
      </c>
      <c r="AA229" t="str">
        <v>0.20</v>
      </c>
      <c r="AB229" t="str">
        <v>正隆</v>
      </c>
      <c r="AC229" t="str">
        <v>上市造紙</v>
      </c>
      <c r="AD229" t="str">
        <v>台灣最大工業用紙生產商</v>
      </c>
      <c r="AE229" t="str">
        <f t="array" ref="AE229:AH229">[1]!'1904.TW-CName,InvestorConferenceDate,DateofMeetingofShareHolders,TradingDate'</f>
        <v>正隆</v>
      </c>
      <c r="AF229" t="str">
        <v>2022/08/19</v>
      </c>
      <c r="AG229" t="str">
        <v>2022/06/10</v>
      </c>
      <c r="AH229" t="str">
        <v>2022/12/22</v>
      </c>
    </row>
    <row r="230" spans="1:34" x14ac:dyDescent="0.3">
      <c r="A230" t="str">
        <f t="array" ref="A230:J230">[1]!'1905.TW-ID,Name,MarketValue,Capital,NetIncomeGrowthRate,OperIncomeGrowthRate,FinancialStatementsTime,TFXRatio,MonthlyNetSalesYoY,RevenueMonth'</f>
        <v>1905</v>
      </c>
      <c r="B230" t="str">
        <v>華紙</v>
      </c>
      <c r="C230" t="str">
        <v>182.5</v>
      </c>
      <c r="D230" t="str">
        <v>110.28</v>
      </c>
      <c r="E230" t="str">
        <v>-32.17</v>
      </c>
      <c r="F230" t="str">
        <v>-75.74</v>
      </c>
      <c r="G230" t="str">
        <v>2022/09</v>
      </c>
      <c r="H230" t="str">
        <v>-7.53</v>
      </c>
      <c r="I230" t="str">
        <v>3.54</v>
      </c>
      <c r="J230" t="str">
        <v>2022/11</v>
      </c>
      <c r="K230" t="str">
        <f t="array" ref="K230:T230">[1]!'1905.TW-OperatingProfitRatio,Price,PriceChangeRatio,InOutRatioNumber,Value,YearReturn,MonthReturn,WeekReturn,FinanceBalanceDif,ChipsField2'</f>
        <v>0.79</v>
      </c>
      <c r="L230">
        <v>16.55</v>
      </c>
      <c r="M230">
        <v>1.85</v>
      </c>
      <c r="N230" t="str">
        <v>56.10%</v>
      </c>
      <c r="O230" t="str">
        <v>1298萬</v>
      </c>
      <c r="P230" t="str">
        <v>-28.12</v>
      </c>
      <c r="Q230" t="str">
        <v>-3.78</v>
      </c>
      <c r="R230" t="str">
        <v>-1.19</v>
      </c>
      <c r="S230">
        <v>-61</v>
      </c>
      <c r="T230">
        <v>0</v>
      </c>
      <c r="U230">
        <f t="array" ref="U230:AD230">[1]!'1905.TW-ChipsField3,ChipsField1,ChipsField25,CashAndStockDividend,CashDividendYieldRate,ProfitFourSeason,ProfitSingle,CName,ExchangeIndustry,CompanyPos'</f>
        <v>-29</v>
      </c>
      <c r="V230">
        <v>-63</v>
      </c>
      <c r="W230" t="str">
        <v>2022/07/14</v>
      </c>
      <c r="X230" t="str">
        <v>0.41</v>
      </c>
      <c r="Y230">
        <v>2.48</v>
      </c>
      <c r="Z230" t="str">
        <v>0.21</v>
      </c>
      <c r="AA230" t="str">
        <v>0.26</v>
      </c>
      <c r="AB230" t="str">
        <v>華紙</v>
      </c>
      <c r="AC230" t="str">
        <v>上市造紙</v>
      </c>
      <c r="AD230" t="str">
        <v>紙漿及文化用紙一貫廠，亦為永豐餘子公司</v>
      </c>
      <c r="AE230" t="str">
        <f t="array" ref="AE230:AH230">[1]!'1905.TW-CName,InvestorConferenceDate,DateofMeetingofShareHolders,TradingDate'</f>
        <v>華紙</v>
      </c>
      <c r="AF230" t="str">
        <v>2022/11/14</v>
      </c>
      <c r="AG230" t="str">
        <v>2022/06/17</v>
      </c>
      <c r="AH230" t="str">
        <v>2022/12/22</v>
      </c>
    </row>
    <row r="231" spans="1:34" x14ac:dyDescent="0.3">
      <c r="A231" t="str">
        <f t="array" ref="A231:J231">[1]!'1906.TW-ID,Name,MarketValue,Capital,NetIncomeGrowthRate,OperIncomeGrowthRate,FinancialStatementsTime,TFXRatio,MonthlyNetSalesYoY,RevenueMonth'</f>
        <v>1906</v>
      </c>
      <c r="B231" t="str">
        <v>寶隆</v>
      </c>
      <c r="C231" t="str">
        <v>25.4</v>
      </c>
      <c r="D231" t="str">
        <v>15.10</v>
      </c>
      <c r="E231" t="str">
        <v>192.96</v>
      </c>
      <c r="F231" t="str">
        <v>144.40</v>
      </c>
      <c r="G231" t="str">
        <v>2022/09</v>
      </c>
      <c r="H231" t="str">
        <v>10.14</v>
      </c>
      <c r="I231" t="str">
        <v>1.43</v>
      </c>
      <c r="J231" t="str">
        <v>2022/11</v>
      </c>
      <c r="K231" t="str">
        <f t="array" ref="K231:T231">[1]!'1906.TW-OperatingProfitRatio,Price,PriceChangeRatio,InOutRatioNumber,Value,YearReturn,MonthReturn,WeekReturn,FinanceBalanceDif,ChipsField2'</f>
        <v>0.16</v>
      </c>
      <c r="L231">
        <v>16.8</v>
      </c>
      <c r="M231">
        <v>1.82</v>
      </c>
      <c r="N231" t="str">
        <v>60.92%</v>
      </c>
      <c r="O231" t="str">
        <v>156萬</v>
      </c>
      <c r="P231" t="str">
        <v>-14.62</v>
      </c>
      <c r="Q231" t="str">
        <v>+2.13</v>
      </c>
      <c r="R231" t="str">
        <v>0.00</v>
      </c>
      <c r="S231">
        <v>0</v>
      </c>
      <c r="T231">
        <v>0</v>
      </c>
      <c r="U231">
        <f t="array" ref="U231:AD231">[1]!'1906.TW-ChipsField3,ChipsField1,ChipsField25,CashAndStockDividend,CashDividendYieldRate,ProfitFourSeason,ProfitSingle,CName,ExchangeIndustry,CompanyPos'</f>
        <v>0</v>
      </c>
      <c r="V231">
        <v>1</v>
      </c>
      <c r="W231" t="str">
        <v>2022/07/07</v>
      </c>
      <c r="X231" t="str">
        <v>0.60</v>
      </c>
      <c r="Y231">
        <v>3.57</v>
      </c>
      <c r="Z231" t="str">
        <v>3.22</v>
      </c>
      <c r="AA231" t="str">
        <v>0.38</v>
      </c>
      <c r="AB231" t="str">
        <v>寶隆</v>
      </c>
      <c r="AC231" t="str">
        <v>上市造紙</v>
      </c>
      <c r="AD231" t="str">
        <v>榮成轉投資之工業用紙代銷商</v>
      </c>
      <c r="AE231" t="str">
        <f t="array" ref="AE231:AH231">[1]!'1906.TW-CName,InvestorConferenceDate,DateofMeetingofShareHolders,TradingDate'</f>
        <v>寶隆</v>
      </c>
      <c r="AF231" t="str">
        <v>2022/08/26</v>
      </c>
      <c r="AG231" t="str">
        <v>2022/06/06</v>
      </c>
      <c r="AH231" t="str">
        <v>2022/12/22</v>
      </c>
    </row>
    <row r="232" spans="1:34" x14ac:dyDescent="0.3">
      <c r="A232" t="str">
        <f t="array" ref="A232:J232">[1]!'1907.TW-ID,Name,MarketValue,Capital,NetIncomeGrowthRate,OperIncomeGrowthRate,FinancialStatementsTime,TFXRatio,MonthlyNetSalesYoY,RevenueMonth'</f>
        <v>1907</v>
      </c>
      <c r="B232" t="str">
        <v>永豐餘</v>
      </c>
      <c r="C232" t="str">
        <v>410.9</v>
      </c>
      <c r="D232" t="str">
        <v>166.04</v>
      </c>
      <c r="E232" t="str">
        <v>-59.69</v>
      </c>
      <c r="F232" t="str">
        <v>-84.10</v>
      </c>
      <c r="G232" t="str">
        <v>2022/09</v>
      </c>
      <c r="H232" t="str">
        <v>-3.97</v>
      </c>
      <c r="I232" t="str">
        <v>-9.73</v>
      </c>
      <c r="J232" t="str">
        <v>2022/11</v>
      </c>
      <c r="K232" t="str">
        <f t="array" ref="K232:T232">[1]!'1907.TW-OperatingProfitRatio,Price,PriceChangeRatio,InOutRatioNumber,Value,YearReturn,MonthReturn,WeekReturn,FinanceBalanceDif,ChipsField2'</f>
        <v>1.91</v>
      </c>
      <c r="L232">
        <v>24.75</v>
      </c>
      <c r="M232">
        <v>2.48</v>
      </c>
      <c r="N232" t="str">
        <v>74.58%</v>
      </c>
      <c r="O232" t="str">
        <v>3704萬</v>
      </c>
      <c r="P232" t="str">
        <v>-21.94</v>
      </c>
      <c r="Q232" t="str">
        <v>-10.33</v>
      </c>
      <c r="R232" t="str">
        <v>-1.39</v>
      </c>
      <c r="S232">
        <v>101</v>
      </c>
      <c r="T232">
        <v>0</v>
      </c>
      <c r="U232">
        <f t="array" ref="U232:AD232">[1]!'1907.TW-ChipsField3,ChipsField1,ChipsField25,CashAndStockDividend,CashDividendYieldRate,ProfitFourSeason,ProfitSingle,CName,ExchangeIndustry,CompanyPos'</f>
        <v>-147</v>
      </c>
      <c r="V232">
        <v>-208</v>
      </c>
      <c r="W232" t="str">
        <v>2022/07/15</v>
      </c>
      <c r="X232" t="str">
        <v>1.50</v>
      </c>
      <c r="Y232">
        <v>6.06</v>
      </c>
      <c r="Z232" t="str">
        <v>1.73</v>
      </c>
      <c r="AA232" t="str">
        <v>0.88</v>
      </c>
      <c r="AB232" t="str">
        <v>永豐餘</v>
      </c>
      <c r="AC232" t="str">
        <v>上市造紙</v>
      </c>
      <c r="AD232" t="str">
        <v>台灣第一大造紙集團</v>
      </c>
      <c r="AE232" t="str">
        <f t="array" ref="AE232:AH232">[1]!'1907.TW-CName,InvestorConferenceDate,DateofMeetingofShareHolders,TradingDate'</f>
        <v>永豐餘</v>
      </c>
      <c r="AF232" t="str">
        <v>2022/11/14</v>
      </c>
      <c r="AG232" t="str">
        <v>2022/06/23</v>
      </c>
      <c r="AH232" t="str">
        <v>2022/12/22</v>
      </c>
    </row>
    <row r="233" spans="1:34" x14ac:dyDescent="0.3">
      <c r="A233" t="str">
        <f t="array" ref="A233:J233">[1]!'1909.TW-ID,Name,MarketValue,Capital,NetIncomeGrowthRate,OperIncomeGrowthRate,FinancialStatementsTime,TFXRatio,MonthlyNetSalesYoY,RevenueMonth'</f>
        <v>1909</v>
      </c>
      <c r="B233" t="str">
        <v>榮成</v>
      </c>
      <c r="C233" t="str">
        <v>207.1</v>
      </c>
      <c r="D233" t="str">
        <v>132.77</v>
      </c>
      <c r="E233" t="str">
        <v>-110.21</v>
      </c>
      <c r="F233" t="str">
        <v>-101.64</v>
      </c>
      <c r="G233" t="str">
        <v>2022/09</v>
      </c>
      <c r="H233" t="str">
        <v>-7.46</v>
      </c>
      <c r="I233" t="str">
        <v>-18.26</v>
      </c>
      <c r="J233" t="str">
        <v>2022/11</v>
      </c>
      <c r="K233" t="str">
        <f t="array" ref="K233:T233">[1]!'1909.TW-OperatingProfitRatio,Price,PriceChangeRatio,InOutRatioNumber,Value,YearReturn,MonthReturn,WeekReturn,FinanceBalanceDif,ChipsField2'</f>
        <v>-0.14</v>
      </c>
      <c r="L233">
        <v>15.6</v>
      </c>
      <c r="M233">
        <v>3.31</v>
      </c>
      <c r="N233" t="str">
        <v>56.81%</v>
      </c>
      <c r="O233" t="str">
        <v>1.05億</v>
      </c>
      <c r="P233" t="str">
        <v>-29.31</v>
      </c>
      <c r="Q233" t="str">
        <v>-3.70</v>
      </c>
      <c r="R233" t="str">
        <v>+0.32</v>
      </c>
      <c r="S233">
        <v>-37</v>
      </c>
      <c r="T233">
        <v>0</v>
      </c>
      <c r="U233">
        <f t="array" ref="U233:AD233">[1]!'1909.TW-ChipsField3,ChipsField1,ChipsField25,CashAndStockDividend,CashDividendYieldRate,ProfitFourSeason,ProfitSingle,CName,ExchangeIndustry,CompanyPos'</f>
        <v>-39</v>
      </c>
      <c r="V233">
        <v>91</v>
      </c>
      <c r="W233" t="str">
        <v>2022/07/05</v>
      </c>
      <c r="X233" t="str">
        <v>1.20</v>
      </c>
      <c r="Y233">
        <v>7.69</v>
      </c>
      <c r="Z233" t="str">
        <v>0.21</v>
      </c>
      <c r="AA233" t="str">
        <v>-0.38</v>
      </c>
      <c r="AB233" t="str">
        <v>榮成</v>
      </c>
      <c r="AC233" t="str">
        <v>上市造紙</v>
      </c>
      <c r="AD233" t="str">
        <v>國內前三大工業用紙生產商</v>
      </c>
      <c r="AE233" t="str">
        <f t="array" ref="AE233:AH233">[1]!'1909.TW-CName,InvestorConferenceDate,DateofMeetingofShareHolders,TradingDate'</f>
        <v>榮成</v>
      </c>
      <c r="AF233" t="str">
        <v>2022/08/26</v>
      </c>
      <c r="AG233" t="str">
        <v>2022/06/08</v>
      </c>
      <c r="AH233" t="str">
        <v>2022/12/22</v>
      </c>
    </row>
    <row r="234" spans="1:34" x14ac:dyDescent="0.3">
      <c r="A234" t="str">
        <f t="array" ref="A234:J234">[1]!'6790.TW-ID,Name,MarketValue,Capital,NetIncomeGrowthRate,OperIncomeGrowthRate,FinancialStatementsTime,TFXRatio,MonthlyNetSalesYoY,RevenueMonth'</f>
        <v>6790</v>
      </c>
      <c r="B234" t="str">
        <v>永豐實</v>
      </c>
      <c r="C234" t="str">
        <v>95.1</v>
      </c>
      <c r="D234" t="str">
        <v>26.71</v>
      </c>
      <c r="E234" t="str">
        <v>-33.41</v>
      </c>
      <c r="F234" t="str">
        <v>-24.75</v>
      </c>
      <c r="G234" t="str">
        <v>2022/09</v>
      </c>
      <c r="H234" t="str">
        <v>5.90</v>
      </c>
      <c r="I234" t="str">
        <v>6.61</v>
      </c>
      <c r="J234" t="str">
        <v>2022/11</v>
      </c>
      <c r="K234" t="str">
        <f t="array" ref="K234:T234">[1]!'6790.TW-OperatingProfitRatio,Price,PriceChangeRatio,InOutRatioNumber,Value,YearReturn,MonthReturn,WeekReturn,FinanceBalanceDif,ChipsField2'</f>
        <v>9.90</v>
      </c>
      <c r="L234">
        <v>35.6</v>
      </c>
      <c r="M234">
        <v>-0.42</v>
      </c>
      <c r="N234" t="str">
        <v>52.00%</v>
      </c>
      <c r="O234" t="str">
        <v>89.3萬</v>
      </c>
      <c r="P234" t="str">
        <v>-21.08</v>
      </c>
      <c r="Q234" t="str">
        <v>-0.14</v>
      </c>
      <c r="R234" t="str">
        <v>-2.47</v>
      </c>
      <c r="S234">
        <v>-2</v>
      </c>
      <c r="T234">
        <v>0</v>
      </c>
      <c r="U234">
        <f t="array" ref="U234:AD234">[1]!'6790.TW-ChipsField3,ChipsField1,ChipsField25,CashAndStockDividend,CashDividendYieldRate,ProfitFourSeason,ProfitSingle,CName,ExchangeIndustry,CompanyPos'</f>
        <v>-3</v>
      </c>
      <c r="V234">
        <v>0</v>
      </c>
      <c r="W234" t="str">
        <v>2022/07/04</v>
      </c>
      <c r="X234" t="str">
        <v>3.00</v>
      </c>
      <c r="Y234">
        <v>8.43</v>
      </c>
      <c r="Z234" t="str">
        <v>2.98</v>
      </c>
      <c r="AA234" t="str">
        <v>0.56</v>
      </c>
      <c r="AB234" t="str">
        <v>永豐實</v>
      </c>
      <c r="AC234" t="str">
        <v>上市造紙</v>
      </c>
      <c r="AD234" t="str">
        <v>台灣家庭用紙龍頭製造商，為永豐餘旗下子公司</v>
      </c>
      <c r="AE234" t="str">
        <f t="array" ref="AE234:AH234">[1]!'6790.TW-CName,InvestorConferenceDate,DateofMeetingofShareHolders,TradingDate'</f>
        <v>永豐實</v>
      </c>
      <c r="AF234" t="str">
        <v>2022/11/24</v>
      </c>
      <c r="AG234" t="str">
        <v>2022/06/15</v>
      </c>
      <c r="AH234" t="str">
        <v>2022/12/22</v>
      </c>
    </row>
    <row r="235" spans="1:34" x14ac:dyDescent="0.3">
      <c r="A235" t="str">
        <f t="array" ref="A235:J235">[1]!'2002.TW-ID,Name,MarketValue,Capital,NetIncomeGrowthRate,OperIncomeGrowthRate,FinancialStatementsTime,TFXRatio,MonthlyNetSalesYoY,RevenueMonth'</f>
        <v>2002</v>
      </c>
      <c r="B235" t="str">
        <v>中鋼</v>
      </c>
      <c r="C235" t="str">
        <v>4822.7</v>
      </c>
      <c r="D235" t="str">
        <v>1573.49</v>
      </c>
      <c r="E235" t="str">
        <v>-52.14</v>
      </c>
      <c r="F235" t="str">
        <v>-56.55</v>
      </c>
      <c r="G235" t="str">
        <v>2022/09</v>
      </c>
      <c r="H235" t="str">
        <v>-1.14</v>
      </c>
      <c r="I235" t="str">
        <v>-29.29</v>
      </c>
      <c r="J235" t="str">
        <v>2022/11</v>
      </c>
      <c r="K235" t="str">
        <f t="array" ref="K235:T235">[1]!'2002.TW-OperatingProfitRatio,Price,PriceChangeRatio,InOutRatioNumber,Value,YearReturn,MonthReturn,WeekReturn,FinanceBalanceDif,ChipsField2'</f>
        <v>7.13</v>
      </c>
      <c r="L235">
        <v>30.65</v>
      </c>
      <c r="M235">
        <v>3.2</v>
      </c>
      <c r="N235" t="str">
        <v>69.52%</v>
      </c>
      <c r="O235" t="str">
        <v>47.7億</v>
      </c>
      <c r="P235" t="str">
        <v>-4.71</v>
      </c>
      <c r="Q235" t="str">
        <v>+5.69</v>
      </c>
      <c r="R235" t="str">
        <v>+5.51</v>
      </c>
      <c r="S235">
        <v>-248</v>
      </c>
      <c r="T235">
        <v>-52985</v>
      </c>
      <c r="U235">
        <f t="array" ref="U235:AD235">[1]!'2002.TW-ChipsField3,ChipsField1,ChipsField25,CashAndStockDividend,CashDividendYieldRate,ProfitFourSeason,ProfitSingle,CName,ExchangeIndustry,CompanyPos'</f>
        <v>-150</v>
      </c>
      <c r="V235">
        <v>89148</v>
      </c>
      <c r="W235" t="str">
        <v>2022/07/26</v>
      </c>
      <c r="X235" t="str">
        <v>3.10</v>
      </c>
      <c r="Y235">
        <v>10.11</v>
      </c>
      <c r="Z235" t="str">
        <v>2.62</v>
      </c>
      <c r="AA235" t="str">
        <v>0.12</v>
      </c>
      <c r="AB235" t="str">
        <v>中鋼</v>
      </c>
      <c r="AC235" t="str">
        <v>上市鋼鐵</v>
      </c>
      <c r="AD235" t="str">
        <v>台灣最大設有高爐的一貫作業鋼廠</v>
      </c>
      <c r="AE235" t="str">
        <f t="array" ref="AE235:AH235">[1]!'2002.TW-CName,InvestorConferenceDate,DateofMeetingofShareHolders,TradingDate'</f>
        <v>中鋼</v>
      </c>
      <c r="AF235" t="str">
        <v>2022/12/21</v>
      </c>
      <c r="AG235" t="str">
        <v>2022/06/17</v>
      </c>
      <c r="AH235" t="str">
        <v>2022/12/22</v>
      </c>
    </row>
    <row r="236" spans="1:34" x14ac:dyDescent="0.3">
      <c r="A236" t="str">
        <f t="array" ref="A236:J236">[1]!'2006.TW-ID,Name,MarketValue,Capital,NetIncomeGrowthRate,OperIncomeGrowthRate,FinancialStatementsTime,TFXRatio,MonthlyNetSalesYoY,RevenueMonth'</f>
        <v>2006</v>
      </c>
      <c r="B236" t="str">
        <v>東和鋼鐵</v>
      </c>
      <c r="C236" t="str">
        <v>384.8</v>
      </c>
      <c r="D236" t="str">
        <v>73.02</v>
      </c>
      <c r="E236" t="str">
        <v>-27.74</v>
      </c>
      <c r="F236" t="str">
        <v>-25.47</v>
      </c>
      <c r="G236" t="str">
        <v>2022/09</v>
      </c>
      <c r="H236" t="str">
        <v>-7.57</v>
      </c>
      <c r="I236" t="str">
        <v>-19.59</v>
      </c>
      <c r="J236" t="str">
        <v>2022/11</v>
      </c>
      <c r="K236" t="str">
        <f t="array" ref="K236:T236">[1]!'2006.TW-OperatingProfitRatio,Price,PriceChangeRatio,InOutRatioNumber,Value,YearReturn,MonthReturn,WeekReturn,FinanceBalanceDif,ChipsField2'</f>
        <v>8.50</v>
      </c>
      <c r="L236">
        <v>52.7</v>
      </c>
      <c r="M236">
        <v>3.33</v>
      </c>
      <c r="N236" t="str">
        <v>71.17%</v>
      </c>
      <c r="O236" t="str">
        <v>2.60億</v>
      </c>
      <c r="P236" t="str">
        <v>-16.71</v>
      </c>
      <c r="Q236" t="str">
        <v>+1.74</v>
      </c>
      <c r="R236" t="str">
        <v>+1.15</v>
      </c>
      <c r="S236">
        <v>-130</v>
      </c>
      <c r="T236">
        <v>-2187</v>
      </c>
      <c r="U236">
        <f t="array" ref="U236:AD236">[1]!'2006.TW-ChipsField3,ChipsField1,ChipsField25,CashAndStockDividend,CashDividendYieldRate,ProfitFourSeason,ProfitSingle,CName,ExchangeIndustry,CompanyPos'</f>
        <v>-88</v>
      </c>
      <c r="V236">
        <v>2433</v>
      </c>
      <c r="W236" t="str">
        <v>2022/03/25</v>
      </c>
      <c r="X236" t="str">
        <v>6.40</v>
      </c>
      <c r="Y236">
        <v>12.14</v>
      </c>
      <c r="Z236" t="str">
        <v>5.89</v>
      </c>
      <c r="AA236" t="str">
        <v>0.74</v>
      </c>
      <c r="AB236" t="str">
        <v>東和鋼鐵</v>
      </c>
      <c r="AC236" t="str">
        <v>上市鋼鐵</v>
      </c>
      <c r="AD236" t="str">
        <v>台灣最大型鋼廠及三大鋼筋廠之一</v>
      </c>
      <c r="AE236" t="str">
        <f t="array" ref="AE236:AH236">[1]!'2006.TW-CName,InvestorConferenceDate,DateofMeetingofShareHolders,TradingDate'</f>
        <v>東和鋼鐵</v>
      </c>
      <c r="AF236" t="str">
        <v>2022/12/20</v>
      </c>
      <c r="AG236" t="str">
        <v>2022/05/27</v>
      </c>
      <c r="AH236" t="str">
        <v>2022/12/22</v>
      </c>
    </row>
    <row r="237" spans="1:34" x14ac:dyDescent="0.3">
      <c r="A237" t="str">
        <f t="array" ref="A237:J237">[1]!'2007.TW-ID,Name,MarketValue,Capital,NetIncomeGrowthRate,OperIncomeGrowthRate,FinancialStatementsTime,TFXRatio,MonthlyNetSalesYoY,RevenueMonth'</f>
        <v>2007</v>
      </c>
      <c r="B237" t="str">
        <v>燁興</v>
      </c>
      <c r="C237" t="str">
        <v>66.6</v>
      </c>
      <c r="D237" t="str">
        <v>53.07</v>
      </c>
      <c r="E237" t="str">
        <v>-1324.27</v>
      </c>
      <c r="F237" t="str">
        <v>-130.09</v>
      </c>
      <c r="G237" t="str">
        <v>2022/09</v>
      </c>
      <c r="H237" t="str">
        <v>12.50</v>
      </c>
      <c r="I237" t="str">
        <v>-21.08</v>
      </c>
      <c r="J237" t="str">
        <v>2022/11</v>
      </c>
      <c r="K237" t="str">
        <f t="array" ref="K237:T237">[1]!'2007.TW-OperatingProfitRatio,Price,PriceChangeRatio,InOutRatioNumber,Value,YearReturn,MonthReturn,WeekReturn,FinanceBalanceDif,ChipsField2'</f>
        <v>-1.65</v>
      </c>
      <c r="L237">
        <v>12.55</v>
      </c>
      <c r="M237">
        <v>5.46</v>
      </c>
      <c r="N237" t="str">
        <v>54.39%</v>
      </c>
      <c r="O237" t="str">
        <v>1.76億</v>
      </c>
      <c r="P237" t="str">
        <v>-42.69</v>
      </c>
      <c r="Q237" t="str">
        <v>+24.26</v>
      </c>
      <c r="R237" t="str">
        <v>+14.09</v>
      </c>
      <c r="S237">
        <v>-245</v>
      </c>
      <c r="T237">
        <v>0</v>
      </c>
      <c r="U237">
        <f t="array" ref="U237:AD237">[1]!'2007.TW-ChipsField3,ChipsField1,ChipsField25,CashAndStockDividend,CashDividendYieldRate,ProfitFourSeason,ProfitSingle,CName,ExchangeIndustry,CompanyPos'</f>
        <v>-26</v>
      </c>
      <c r="V237">
        <v>79</v>
      </c>
      <c r="W237" t="str">
        <v>--</v>
      </c>
      <c r="X237" t="str">
        <v>0.00</v>
      </c>
      <c r="Y237">
        <v>0</v>
      </c>
      <c r="Z237" t="str">
        <v>-0.89</v>
      </c>
      <c r="AA237" t="str">
        <v>-0.52</v>
      </c>
      <c r="AB237" t="str">
        <v>燁興</v>
      </c>
      <c r="AC237" t="str">
        <v>上市鋼鐵</v>
      </c>
      <c r="AD237" t="str">
        <v>台灣不鏽鋼線材盤元大廠之一</v>
      </c>
      <c r="AE237" t="str">
        <f t="array" ref="AE237:AH237">[1]!'2007.TW-CName,InvestorConferenceDate,DateofMeetingofShareHolders,TradingDate'</f>
        <v>燁興</v>
      </c>
      <c r="AF237" t="str">
        <v>2022/11/23</v>
      </c>
      <c r="AG237" t="str">
        <v>2022/06/22</v>
      </c>
      <c r="AH237" t="str">
        <v>2022/12/22</v>
      </c>
    </row>
    <row r="238" spans="1:34" x14ac:dyDescent="0.3">
      <c r="A238" t="str">
        <f t="array" ref="A238:J238">[1]!'2008.TW-ID,Name,MarketValue,Capital,NetIncomeGrowthRate,OperIncomeGrowthRate,FinancialStatementsTime,TFXRatio,MonthlyNetSalesYoY,RevenueMonth'</f>
        <v>2008</v>
      </c>
      <c r="B238" t="str">
        <v>高興昌</v>
      </c>
      <c r="C238" t="str">
        <v>35.8</v>
      </c>
      <c r="D238" t="str">
        <v>20.09</v>
      </c>
      <c r="E238" t="str">
        <v>55.40</v>
      </c>
      <c r="F238" t="str">
        <v>22.75</v>
      </c>
      <c r="G238" t="str">
        <v>2022/09</v>
      </c>
      <c r="H238" t="str">
        <v>26.82</v>
      </c>
      <c r="I238" t="str">
        <v>41.37</v>
      </c>
      <c r="J238" t="str">
        <v>2022/11</v>
      </c>
      <c r="K238" t="str">
        <f t="array" ref="K238:T238">[1]!'2008.TW-OperatingProfitRatio,Price,PriceChangeRatio,InOutRatioNumber,Value,YearReturn,MonthReturn,WeekReturn,FinanceBalanceDif,ChipsField2'</f>
        <v>5.29</v>
      </c>
      <c r="L238">
        <v>17.8</v>
      </c>
      <c r="M238">
        <v>-0.56000000000000005</v>
      </c>
      <c r="N238" t="str">
        <v>25.18%</v>
      </c>
      <c r="O238" t="str">
        <v>250萬</v>
      </c>
      <c r="P238" t="str">
        <v>-11.66</v>
      </c>
      <c r="Q238" t="str">
        <v>+5.33</v>
      </c>
      <c r="R238" t="str">
        <v>+3.49</v>
      </c>
      <c r="S238">
        <v>-8</v>
      </c>
      <c r="T238">
        <v>0</v>
      </c>
      <c r="U238">
        <f t="array" ref="U238:AD238">[1]!'2008.TW-ChipsField3,ChipsField1,ChipsField25,CashAndStockDividend,CashDividendYieldRate,ProfitFourSeason,ProfitSingle,CName,ExchangeIndustry,CompanyPos'</f>
        <v>-2</v>
      </c>
      <c r="V238">
        <v>-10</v>
      </c>
      <c r="W238" t="str">
        <v>--</v>
      </c>
      <c r="X238" t="str">
        <v>0.00</v>
      </c>
      <c r="Y238">
        <v>0</v>
      </c>
      <c r="Z238" t="str">
        <v>0.36</v>
      </c>
      <c r="AA238" t="str">
        <v>0.26</v>
      </c>
      <c r="AB238" t="str">
        <v>高興昌</v>
      </c>
      <c r="AC238" t="str">
        <v>上市鋼鐵</v>
      </c>
      <c r="AD238" t="str">
        <v>台灣製管專業製造廠商</v>
      </c>
      <c r="AE238" t="str">
        <f t="array" ref="AE238:AH238">[1]!'2008.TW-CName,InvestorConferenceDate,DateofMeetingofShareHolders,TradingDate'</f>
        <v>高興昌</v>
      </c>
      <c r="AF238" t="str">
        <v>2022/10/21</v>
      </c>
      <c r="AG238" t="str">
        <v>2022/06/23</v>
      </c>
      <c r="AH238" t="str">
        <v>2022/12/22</v>
      </c>
    </row>
    <row r="239" spans="1:34" x14ac:dyDescent="0.3">
      <c r="A239" t="str">
        <f t="array" ref="A239:J239">[1]!'2009.TW-ID,Name,MarketValue,Capital,NetIncomeGrowthRate,OperIncomeGrowthRate,FinancialStatementsTime,TFXRatio,MonthlyNetSalesYoY,RevenueMonth'</f>
        <v>2009</v>
      </c>
      <c r="B239" t="str">
        <v>第一銅</v>
      </c>
      <c r="C239" t="str">
        <v>114.0</v>
      </c>
      <c r="D239" t="str">
        <v>35.96</v>
      </c>
      <c r="E239" t="str">
        <v>-55.05</v>
      </c>
      <c r="F239" t="str">
        <v>-152.54</v>
      </c>
      <c r="G239" t="str">
        <v>2022/09</v>
      </c>
      <c r="H239" t="str">
        <v>1.83</v>
      </c>
      <c r="I239" t="str">
        <v>-22.74</v>
      </c>
      <c r="J239" t="str">
        <v>2022/11</v>
      </c>
      <c r="K239" t="str">
        <f t="array" ref="K239:T239">[1]!'2009.TW-OperatingProfitRatio,Price,PriceChangeRatio,InOutRatioNumber,Value,YearReturn,MonthReturn,WeekReturn,FinanceBalanceDif,ChipsField2'</f>
        <v>-5.12</v>
      </c>
      <c r="L239">
        <v>31.7</v>
      </c>
      <c r="M239">
        <v>2.59</v>
      </c>
      <c r="N239" t="str">
        <v>57.12%</v>
      </c>
      <c r="O239" t="str">
        <v>1.98億</v>
      </c>
      <c r="P239" t="str">
        <v>-23.68</v>
      </c>
      <c r="Q239" t="str">
        <v>-0.31</v>
      </c>
      <c r="R239" t="str">
        <v>-1.25</v>
      </c>
      <c r="S239">
        <v>-2</v>
      </c>
      <c r="T239">
        <v>0</v>
      </c>
      <c r="U239">
        <f t="array" ref="U239:AD239">[1]!'2009.TW-ChipsField3,ChipsField1,ChipsField25,CashAndStockDividend,CashDividendYieldRate,ProfitFourSeason,ProfitSingle,CName,ExchangeIndustry,CompanyPos'</f>
        <v>-8</v>
      </c>
      <c r="V239">
        <v>508</v>
      </c>
      <c r="W239" t="str">
        <v>2022/07/14</v>
      </c>
      <c r="X239" t="str">
        <v>1.00</v>
      </c>
      <c r="Y239">
        <v>3.15</v>
      </c>
      <c r="Z239" t="str">
        <v>0.58</v>
      </c>
      <c r="AA239" t="str">
        <v>0.49</v>
      </c>
      <c r="AB239" t="str">
        <v>第一銅</v>
      </c>
      <c r="AC239" t="str">
        <v>上市鋼鐵</v>
      </c>
      <c r="AD239" t="str">
        <v>台灣銅產品線最完整的企業</v>
      </c>
      <c r="AE239" t="str">
        <f t="array" ref="AE239:AH239">[1]!'2009.TW-CName,InvestorConferenceDate,DateofMeetingofShareHolders,TradingDate'</f>
        <v>第一銅</v>
      </c>
      <c r="AF239" t="str">
        <v>2022/11/17</v>
      </c>
      <c r="AG239" t="str">
        <v>2022/06/23</v>
      </c>
      <c r="AH239" t="str">
        <v>2022/12/22</v>
      </c>
    </row>
    <row r="240" spans="1:34" x14ac:dyDescent="0.3">
      <c r="A240" t="str">
        <f t="array" ref="A240:J240">[1]!'2010.TW-ID,Name,MarketValue,Capital,NetIncomeGrowthRate,OperIncomeGrowthRate,FinancialStatementsTime,TFXRatio,MonthlyNetSalesYoY,RevenueMonth'</f>
        <v>2010</v>
      </c>
      <c r="B240" t="str">
        <v>春源</v>
      </c>
      <c r="C240" t="str">
        <v>104.6</v>
      </c>
      <c r="D240" t="str">
        <v>64.77</v>
      </c>
      <c r="E240" t="str">
        <v>-49.80</v>
      </c>
      <c r="F240" t="str">
        <v>-51.75</v>
      </c>
      <c r="G240" t="str">
        <v>2022/09</v>
      </c>
      <c r="H240" t="str">
        <v>-2.70</v>
      </c>
      <c r="I240" t="str">
        <v>-23.15</v>
      </c>
      <c r="J240" t="str">
        <v>2022/11</v>
      </c>
      <c r="K240" t="str">
        <f t="array" ref="K240:T240">[1]!'2010.TW-OperatingProfitRatio,Price,PriceChangeRatio,InOutRatioNumber,Value,YearReturn,MonthReturn,WeekReturn,FinanceBalanceDif,ChipsField2'</f>
        <v>2.88</v>
      </c>
      <c r="L240">
        <v>16.149999999999999</v>
      </c>
      <c r="M240">
        <v>1.25</v>
      </c>
      <c r="N240" t="str">
        <v>44.12%</v>
      </c>
      <c r="O240" t="str">
        <v>2021萬</v>
      </c>
      <c r="P240" t="str">
        <v>-34.43</v>
      </c>
      <c r="Q240" t="str">
        <v>+4.53</v>
      </c>
      <c r="R240" t="str">
        <v>-0.62</v>
      </c>
      <c r="S240">
        <v>38</v>
      </c>
      <c r="T240">
        <v>0</v>
      </c>
      <c r="U240">
        <f t="array" ref="U240:AD240">[1]!'2010.TW-ChipsField3,ChipsField1,ChipsField25,CashAndStockDividend,CashDividendYieldRate,ProfitFourSeason,ProfitSingle,CName,ExchangeIndustry,CompanyPos'</f>
        <v>0</v>
      </c>
      <c r="V240">
        <v>266</v>
      </c>
      <c r="W240" t="str">
        <v>2022/04/21</v>
      </c>
      <c r="X240" t="str">
        <v>1.30</v>
      </c>
      <c r="Y240">
        <v>8.0500000000000007</v>
      </c>
      <c r="Z240" t="str">
        <v>1.17</v>
      </c>
      <c r="AA240" t="str">
        <v>0.12</v>
      </c>
      <c r="AB240" t="str">
        <v>春源</v>
      </c>
      <c r="AC240" t="str">
        <v>上市鋼鐵</v>
      </c>
      <c r="AD240" t="str">
        <v>台灣最具規模鋼鐵裁剪及通路業者</v>
      </c>
      <c r="AE240" t="str">
        <f t="array" ref="AE240:AH240">[1]!'2010.TW-CName,InvestorConferenceDate,DateofMeetingofShareHolders,TradingDate'</f>
        <v>春源</v>
      </c>
      <c r="AF240" t="str">
        <v>2022/10/04</v>
      </c>
      <c r="AG240" t="str">
        <v>2022/06/23</v>
      </c>
      <c r="AH240" t="str">
        <v>2022/12/22</v>
      </c>
    </row>
    <row r="241" spans="1:34" x14ac:dyDescent="0.3">
      <c r="A241" t="str">
        <f t="array" ref="A241:J241">[1]!'2012.TW-ID,Name,MarketValue,Capital,NetIncomeGrowthRate,OperIncomeGrowthRate,FinancialStatementsTime,TFXRatio,MonthlyNetSalesYoY,RevenueMonth'</f>
        <v>2012</v>
      </c>
      <c r="B241" t="str">
        <v>春雨</v>
      </c>
      <c r="C241" t="str">
        <v>72.2</v>
      </c>
      <c r="D241" t="str">
        <v>30.22</v>
      </c>
      <c r="E241" t="str">
        <v>-24.10</v>
      </c>
      <c r="F241" t="str">
        <v>-11.65</v>
      </c>
      <c r="G241" t="str">
        <v>2022/09</v>
      </c>
      <c r="H241" t="str">
        <v>4.50</v>
      </c>
      <c r="I241" t="str">
        <v>-29.58</v>
      </c>
      <c r="J241" t="str">
        <v>2022/11</v>
      </c>
      <c r="K241" t="str">
        <f t="array" ref="K241:T241">[1]!'2012.TW-OperatingProfitRatio,Price,PriceChangeRatio,InOutRatioNumber,Value,YearReturn,MonthReturn,WeekReturn,FinanceBalanceDif,ChipsField2'</f>
        <v>8.27</v>
      </c>
      <c r="L241">
        <v>23.9</v>
      </c>
      <c r="M241">
        <v>0.21</v>
      </c>
      <c r="N241" t="str">
        <v>24.84%</v>
      </c>
      <c r="O241" t="str">
        <v>379萬</v>
      </c>
      <c r="P241" t="str">
        <v>-15.91</v>
      </c>
      <c r="Q241" t="str">
        <v>+6.86</v>
      </c>
      <c r="R241" t="str">
        <v>+3.02</v>
      </c>
      <c r="S241">
        <v>23</v>
      </c>
      <c r="T241">
        <v>0</v>
      </c>
      <c r="U241">
        <f t="array" ref="U241:AD241">[1]!'2012.TW-ChipsField3,ChipsField1,ChipsField25,CashAndStockDividend,CashDividendYieldRate,ProfitFourSeason,ProfitSingle,CName,ExchangeIndustry,CompanyPos'</f>
        <v>1</v>
      </c>
      <c r="V241">
        <v>12</v>
      </c>
      <c r="W241" t="str">
        <v>2022/12/07</v>
      </c>
      <c r="X241" t="str">
        <v>0.50</v>
      </c>
      <c r="Y241">
        <v>6.28</v>
      </c>
      <c r="Z241" t="str">
        <v>2.16</v>
      </c>
      <c r="AA241" t="str">
        <v>0.44</v>
      </c>
      <c r="AB241" t="str">
        <v>春雨</v>
      </c>
      <c r="AC241" t="str">
        <v>上市鋼鐵</v>
      </c>
      <c r="AD241" t="str">
        <v>主要外銷歐美及東南亞的線材螺絲廠</v>
      </c>
      <c r="AE241" t="str">
        <f t="array" ref="AE241:AH241">[1]!'2012.TW-CName,InvestorConferenceDate,DateofMeetingofShareHolders,TradingDate'</f>
        <v>春雨</v>
      </c>
      <c r="AF241" t="str">
        <v>2022/11/29</v>
      </c>
      <c r="AG241" t="str">
        <v>2022/06/22</v>
      </c>
      <c r="AH241" t="str">
        <v>2022/12/22</v>
      </c>
    </row>
    <row r="242" spans="1:34" x14ac:dyDescent="0.3">
      <c r="A242" t="str">
        <f t="array" ref="A242:J242">[1]!'2013.TW-ID,Name,MarketValue,Capital,NetIncomeGrowthRate,OperIncomeGrowthRate,FinancialStatementsTime,TFXRatio,MonthlyNetSalesYoY,RevenueMonth'</f>
        <v>2013</v>
      </c>
      <c r="B242" t="str">
        <v>中鋼構</v>
      </c>
      <c r="C242" t="str">
        <v>119.6</v>
      </c>
      <c r="D242" t="str">
        <v>20.00</v>
      </c>
      <c r="E242" t="str">
        <v>24.32</v>
      </c>
      <c r="F242" t="str">
        <v>28.70</v>
      </c>
      <c r="G242" t="str">
        <v>2022/09</v>
      </c>
      <c r="H242" t="str">
        <v>-8.76</v>
      </c>
      <c r="I242" t="str">
        <v>10.08</v>
      </c>
      <c r="J242" t="str">
        <v>2022/11</v>
      </c>
      <c r="K242" t="str">
        <f t="array" ref="K242:T242">[1]!'2013.TW-OperatingProfitRatio,Price,PriceChangeRatio,InOutRatioNumber,Value,YearReturn,MonthReturn,WeekReturn,FinanceBalanceDif,ChipsField2'</f>
        <v>2.12</v>
      </c>
      <c r="L242">
        <v>59.8</v>
      </c>
      <c r="M242">
        <v>0.67</v>
      </c>
      <c r="N242" t="str">
        <v>59.16%</v>
      </c>
      <c r="O242" t="str">
        <v>2685萬</v>
      </c>
      <c r="P242" t="str">
        <v>-1.40</v>
      </c>
      <c r="Q242" t="str">
        <v>+4.91</v>
      </c>
      <c r="R242" t="str">
        <v>+2.40</v>
      </c>
      <c r="S242">
        <v>-1</v>
      </c>
      <c r="T242">
        <v>0</v>
      </c>
      <c r="U242">
        <f t="array" ref="U242:AD242">[1]!'2013.TW-ChipsField3,ChipsField1,ChipsField25,CashAndStockDividend,CashDividendYieldRate,ProfitFourSeason,ProfitSingle,CName,ExchangeIndustry,CompanyPos'</f>
        <v>-8</v>
      </c>
      <c r="V242">
        <v>220</v>
      </c>
      <c r="W242" t="str">
        <v>2022/07/21</v>
      </c>
      <c r="X242" t="str">
        <v>2.00</v>
      </c>
      <c r="Y242">
        <v>3.34</v>
      </c>
      <c r="Z242" t="str">
        <v>2.83</v>
      </c>
      <c r="AA242" t="str">
        <v>0.72</v>
      </c>
      <c r="AB242" t="str">
        <v>中鋼構</v>
      </c>
      <c r="AC242" t="str">
        <v>上市鋼鐵</v>
      </c>
      <c r="AD242" t="str">
        <v>中鋼集團旗下，台灣最大鋼結構廠</v>
      </c>
      <c r="AE242" t="str">
        <f t="array" ref="AE242:AH242">[1]!'2013.TW-CName,InvestorConferenceDate,DateofMeetingofShareHolders,TradingDate'</f>
        <v>中鋼構</v>
      </c>
      <c r="AF242" t="str">
        <v>2022/12/21</v>
      </c>
      <c r="AG242" t="str">
        <v>2022/06/22</v>
      </c>
      <c r="AH242" t="str">
        <v>2022/12/22</v>
      </c>
    </row>
    <row r="243" spans="1:34" x14ac:dyDescent="0.3">
      <c r="A243" t="str">
        <f t="array" ref="A243:J243">[1]!'2014.TW-ID,Name,MarketValue,Capital,NetIncomeGrowthRate,OperIncomeGrowthRate,FinancialStatementsTime,TFXRatio,MonthlyNetSalesYoY,RevenueMonth'</f>
        <v>2014</v>
      </c>
      <c r="B243" t="str">
        <v>中鴻</v>
      </c>
      <c r="C243" t="str">
        <v>391.9</v>
      </c>
      <c r="D243" t="str">
        <v>143.55</v>
      </c>
      <c r="E243" t="str">
        <v>-98.98</v>
      </c>
      <c r="F243" t="str">
        <v>-113.27</v>
      </c>
      <c r="G243" t="str">
        <v>2022/09</v>
      </c>
      <c r="H243" t="str">
        <v>7.54</v>
      </c>
      <c r="I243" t="str">
        <v>-38.22</v>
      </c>
      <c r="J243" t="str">
        <v>2022/11</v>
      </c>
      <c r="K243" t="str">
        <f t="array" ref="K243:T243">[1]!'2014.TW-OperatingProfitRatio,Price,PriceChangeRatio,InOutRatioNumber,Value,YearReturn,MonthReturn,WeekReturn,FinanceBalanceDif,ChipsField2'</f>
        <v>-1.97</v>
      </c>
      <c r="L243">
        <v>27.3</v>
      </c>
      <c r="M243">
        <v>0.74</v>
      </c>
      <c r="N243" t="str">
        <v>42.86%</v>
      </c>
      <c r="O243" t="str">
        <v>22.2億</v>
      </c>
      <c r="P243" t="str">
        <v>-32.10</v>
      </c>
      <c r="Q243" t="str">
        <v>+14.47</v>
      </c>
      <c r="R243" t="str">
        <v>+5.41</v>
      </c>
      <c r="S243">
        <v>5341</v>
      </c>
      <c r="T243">
        <v>-17893</v>
      </c>
      <c r="U243">
        <f t="array" ref="U243:AD243">[1]!'2014.TW-ChipsField3,ChipsField1,ChipsField25,CashAndStockDividend,CashDividendYieldRate,ProfitFourSeason,ProfitSingle,CName,ExchangeIndustry,CompanyPos'</f>
        <v>1133</v>
      </c>
      <c r="V243">
        <v>10566</v>
      </c>
      <c r="W243" t="str">
        <v>2022/07/26</v>
      </c>
      <c r="X243" t="str">
        <v>2.80</v>
      </c>
      <c r="Y243">
        <v>10.26</v>
      </c>
      <c r="Z243" t="str">
        <v>0.67</v>
      </c>
      <c r="AA243" t="str">
        <v>-0.78</v>
      </c>
      <c r="AB243" t="str">
        <v>中鴻</v>
      </c>
      <c r="AC243" t="str">
        <v>上市鋼鐵</v>
      </c>
      <c r="AD243" t="str">
        <v>中鋼集團旗下，熱軋產品大廠</v>
      </c>
      <c r="AE243" t="str">
        <f t="array" ref="AE243:AH243">[1]!'2014.TW-CName,InvestorConferenceDate,DateofMeetingofShareHolders,TradingDate'</f>
        <v>中鴻</v>
      </c>
      <c r="AF243" t="str">
        <v>2022/12/20</v>
      </c>
      <c r="AG243" t="str">
        <v>2022/06/24</v>
      </c>
      <c r="AH243" t="str">
        <v>2022/12/22</v>
      </c>
    </row>
    <row r="244" spans="1:34" x14ac:dyDescent="0.3">
      <c r="A244" t="str">
        <f t="array" ref="A244:J244">[1]!'2015.TW-ID,Name,MarketValue,Capital,NetIncomeGrowthRate,OperIncomeGrowthRate,FinancialStatementsTime,TFXRatio,MonthlyNetSalesYoY,RevenueMonth'</f>
        <v>2015</v>
      </c>
      <c r="B244" t="str">
        <v>豐興</v>
      </c>
      <c r="C244" t="str">
        <v>376.3</v>
      </c>
      <c r="D244" t="str">
        <v>58.16</v>
      </c>
      <c r="E244" t="str">
        <v>-16.04</v>
      </c>
      <c r="F244" t="str">
        <v>-23.35</v>
      </c>
      <c r="G244" t="str">
        <v>2022/09</v>
      </c>
      <c r="H244" t="str">
        <v>25.21</v>
      </c>
      <c r="I244" t="str">
        <v>-16.44</v>
      </c>
      <c r="J244" t="str">
        <v>2022/11</v>
      </c>
      <c r="K244" t="str">
        <f t="array" ref="K244:T244">[1]!'2015.TW-OperatingProfitRatio,Price,PriceChangeRatio,InOutRatioNumber,Value,YearReturn,MonthReturn,WeekReturn,FinanceBalanceDif,ChipsField2'</f>
        <v>8.49</v>
      </c>
      <c r="L244">
        <v>64.7</v>
      </c>
      <c r="M244">
        <v>1.0900000000000001</v>
      </c>
      <c r="N244" t="str">
        <v>35.87%</v>
      </c>
      <c r="O244" t="str">
        <v>594萬</v>
      </c>
      <c r="P244" t="str">
        <v>-20.35</v>
      </c>
      <c r="Q244" t="str">
        <v>+4.69</v>
      </c>
      <c r="R244" t="str">
        <v>-4.15</v>
      </c>
      <c r="S244">
        <v>1</v>
      </c>
      <c r="T244">
        <v>30</v>
      </c>
      <c r="U244">
        <f t="array" ref="U244:AD244">[1]!'2015.TW-ChipsField3,ChipsField1,ChipsField25,CashAndStockDividend,CashDividendYieldRate,ProfitFourSeason,ProfitSingle,CName,ExchangeIndustry,CompanyPos'</f>
        <v>-13</v>
      </c>
      <c r="V244">
        <v>-9</v>
      </c>
      <c r="W244" t="str">
        <v>2022/04/07</v>
      </c>
      <c r="X244" t="str">
        <v>5.00</v>
      </c>
      <c r="Y244">
        <v>7.73</v>
      </c>
      <c r="Z244" t="str">
        <v>6.16</v>
      </c>
      <c r="AA244" t="str">
        <v>1.01</v>
      </c>
      <c r="AB244" t="str">
        <v>豐興</v>
      </c>
      <c r="AC244" t="str">
        <v>上市鋼鐵</v>
      </c>
      <c r="AD244" t="str">
        <v>台灣三大鋼筋廠之一，位於台中</v>
      </c>
      <c r="AE244" t="str">
        <f t="array" ref="AE244:AH244">[1]!'2015.TW-CName,InvestorConferenceDate,DateofMeetingofShareHolders,TradingDate'</f>
        <v>豐興</v>
      </c>
      <c r="AF244" t="str">
        <v>2022/10/28</v>
      </c>
      <c r="AG244" t="str">
        <v>2022/06/09</v>
      </c>
      <c r="AH244" t="str">
        <v>2022/12/22</v>
      </c>
    </row>
    <row r="245" spans="1:34" x14ac:dyDescent="0.3">
      <c r="A245" t="str">
        <f t="array" ref="A245:J245">[1]!'2017.TW-ID,Name,MarketValue,Capital,NetIncomeGrowthRate,OperIncomeGrowthRate,FinancialStatementsTime,TFXRatio,MonthlyNetSalesYoY,RevenueMonth'</f>
        <v>2017</v>
      </c>
      <c r="B245" t="str">
        <v>官田鋼</v>
      </c>
      <c r="C245" t="str">
        <v>52.0</v>
      </c>
      <c r="D245" t="str">
        <v>36.24</v>
      </c>
      <c r="E245" t="str">
        <v>-31.55</v>
      </c>
      <c r="F245" t="str">
        <v>-23.05</v>
      </c>
      <c r="G245" t="str">
        <v>2022/09</v>
      </c>
      <c r="H245" t="str">
        <v>-16.76</v>
      </c>
      <c r="I245" t="str">
        <v>-37.40</v>
      </c>
      <c r="J245" t="str">
        <v>2022/11</v>
      </c>
      <c r="K245" t="str">
        <f t="array" ref="K245:T245">[1]!'2017.TW-OperatingProfitRatio,Price,PriceChangeRatio,InOutRatioNumber,Value,YearReturn,MonthReturn,WeekReturn,FinanceBalanceDif,ChipsField2'</f>
        <v>11.35</v>
      </c>
      <c r="L245">
        <v>14.35</v>
      </c>
      <c r="M245">
        <v>-0.35</v>
      </c>
      <c r="N245" t="str">
        <v>38.87%</v>
      </c>
      <c r="O245" t="str">
        <v>2353萬</v>
      </c>
      <c r="P245" t="str">
        <v>-23.09</v>
      </c>
      <c r="Q245" t="str">
        <v>+12.55</v>
      </c>
      <c r="R245" t="str">
        <v>+4.36</v>
      </c>
      <c r="S245">
        <v>347</v>
      </c>
      <c r="T245">
        <v>0</v>
      </c>
      <c r="U245">
        <f t="array" ref="U245:AD245">[1]!'2017.TW-ChipsField3,ChipsField1,ChipsField25,CashAndStockDividend,CashDividendYieldRate,ProfitFourSeason,ProfitSingle,CName,ExchangeIndustry,CompanyPos'</f>
        <v>-9</v>
      </c>
      <c r="V245">
        <v>-139</v>
      </c>
      <c r="W245" t="str">
        <v>2022/07/14</v>
      </c>
      <c r="X245" t="str">
        <v>1.20</v>
      </c>
      <c r="Y245">
        <v>8.36</v>
      </c>
      <c r="Z245" t="str">
        <v>1.12</v>
      </c>
      <c r="AA245" t="str">
        <v>0.27</v>
      </c>
      <c r="AB245" t="str">
        <v>官田鋼</v>
      </c>
      <c r="AC245" t="str">
        <v>上市鋼鐵</v>
      </c>
      <c r="AD245" t="str">
        <v>台灣盤元及鐵絲大廠</v>
      </c>
      <c r="AE245" t="str">
        <f t="array" ref="AE245:AH245">[1]!'2017.TW-CName,InvestorConferenceDate,DateofMeetingofShareHolders,TradingDate'</f>
        <v>官田鋼</v>
      </c>
      <c r="AF245" t="str">
        <v>2022/12/06</v>
      </c>
      <c r="AG245" t="str">
        <v>2022/05/26</v>
      </c>
      <c r="AH245" t="str">
        <v>2022/12/22</v>
      </c>
    </row>
    <row r="246" spans="1:34" x14ac:dyDescent="0.3">
      <c r="A246" t="str">
        <f t="array" ref="A246:J246">[1]!'2020.TW-ID,Name,MarketValue,Capital,NetIncomeGrowthRate,OperIncomeGrowthRate,FinancialStatementsTime,TFXRatio,MonthlyNetSalesYoY,RevenueMonth'</f>
        <v>2020</v>
      </c>
      <c r="B246" t="str">
        <v>美亞</v>
      </c>
      <c r="C246" t="str">
        <v>52.6</v>
      </c>
      <c r="D246" t="str">
        <v>22.25</v>
      </c>
      <c r="E246" t="str">
        <v>-71.30</v>
      </c>
      <c r="F246" t="str">
        <v>-63.67</v>
      </c>
      <c r="G246" t="str">
        <v>2022/09</v>
      </c>
      <c r="H246" t="str">
        <v>-2.18</v>
      </c>
      <c r="I246" t="str">
        <v>4.84</v>
      </c>
      <c r="J246" t="str">
        <v>2022/11</v>
      </c>
      <c r="K246" t="str">
        <f t="array" ref="K246:T246">[1]!'2020.TW-OperatingProfitRatio,Price,PriceChangeRatio,InOutRatioNumber,Value,YearReturn,MonthReturn,WeekReturn,FinanceBalanceDif,ChipsField2'</f>
        <v>3.41</v>
      </c>
      <c r="L246">
        <v>23.65</v>
      </c>
      <c r="M246">
        <v>0.42</v>
      </c>
      <c r="N246" t="str">
        <v>30.98%</v>
      </c>
      <c r="O246" t="str">
        <v>443萬</v>
      </c>
      <c r="P246" t="str">
        <v>-18.56</v>
      </c>
      <c r="Q246" t="str">
        <v>+1.72</v>
      </c>
      <c r="R246" t="str">
        <v>-0.21</v>
      </c>
      <c r="S246">
        <v>33</v>
      </c>
      <c r="T246">
        <v>0</v>
      </c>
      <c r="U246">
        <f t="array" ref="U246:AD246">[1]!'2020.TW-ChipsField3,ChipsField1,ChipsField25,CashAndStockDividend,CashDividendYieldRate,ProfitFourSeason,ProfitSingle,CName,ExchangeIndustry,CompanyPos'</f>
        <v>-15</v>
      </c>
      <c r="V246">
        <v>24</v>
      </c>
      <c r="W246" t="str">
        <v>2022/06/16</v>
      </c>
      <c r="X246" t="str">
        <v>3.00</v>
      </c>
      <c r="Y246">
        <v>12.68</v>
      </c>
      <c r="Z246" t="str">
        <v>1.29</v>
      </c>
      <c r="AA246" t="str">
        <v>-0.17</v>
      </c>
      <c r="AB246" t="str">
        <v>美亞</v>
      </c>
      <c r="AC246" t="str">
        <v>上市鋼鐵</v>
      </c>
      <c r="AD246" t="str">
        <v>台灣第一家鋼管專業製造廠</v>
      </c>
      <c r="AE246" t="str">
        <f t="array" ref="AE246:AH246">[1]!'2020.TW-CName,InvestorConferenceDate,DateofMeetingofShareHolders,TradingDate'</f>
        <v>美亞</v>
      </c>
      <c r="AF246" t="str">
        <v>2022/12/21</v>
      </c>
      <c r="AG246" t="str">
        <v>2022/06/14</v>
      </c>
      <c r="AH246" t="str">
        <v>2022/12/22</v>
      </c>
    </row>
    <row r="247" spans="1:34" x14ac:dyDescent="0.3">
      <c r="A247" t="str">
        <f t="array" ref="A247:J247">[1]!'2022.TW-ID,Name,MarketValue,Capital,NetIncomeGrowthRate,OperIncomeGrowthRate,FinancialStatementsTime,TFXRatio,MonthlyNetSalesYoY,RevenueMonth'</f>
        <v>2022</v>
      </c>
      <c r="B247" t="str">
        <v>聚亨</v>
      </c>
      <c r="C247" t="str">
        <v>42.1</v>
      </c>
      <c r="D247" t="str">
        <v>47.98</v>
      </c>
      <c r="E247" t="str">
        <v>-110.78</v>
      </c>
      <c r="F247" t="str">
        <v>-85.83</v>
      </c>
      <c r="G247" t="str">
        <v>2022/09</v>
      </c>
      <c r="H247" t="str">
        <v>-2.76</v>
      </c>
      <c r="I247" t="str">
        <v>29.79</v>
      </c>
      <c r="J247" t="str">
        <v>2022/11</v>
      </c>
      <c r="K247" t="str">
        <f t="array" ref="K247:T247">[1]!'2022.TW-OperatingProfitRatio,Price,PriceChangeRatio,InOutRatioNumber,Value,YearReturn,MonthReturn,WeekReturn,FinanceBalanceDif,ChipsField2'</f>
        <v>1.66</v>
      </c>
      <c r="L247">
        <v>8.77</v>
      </c>
      <c r="M247">
        <v>0.23</v>
      </c>
      <c r="N247" t="str">
        <v>41.67%</v>
      </c>
      <c r="O247" t="str">
        <v>1310萬</v>
      </c>
      <c r="P247" t="str">
        <v>-38.89</v>
      </c>
      <c r="Q247" t="str">
        <v>+8.67</v>
      </c>
      <c r="R247" t="str">
        <v>+3.54</v>
      </c>
      <c r="S247">
        <v>0</v>
      </c>
      <c r="T247">
        <v>0</v>
      </c>
      <c r="U247">
        <f t="array" ref="U247:AD247">[1]!'2022.TW-ChipsField3,ChipsField1,ChipsField25,CashAndStockDividend,CashDividendYieldRate,ProfitFourSeason,ProfitSingle,CName,ExchangeIndustry,CompanyPos'</f>
        <v>3</v>
      </c>
      <c r="V247">
        <v>100</v>
      </c>
      <c r="W247" t="str">
        <v>--</v>
      </c>
      <c r="X247" t="str">
        <v>0.00</v>
      </c>
      <c r="Y247">
        <v>0</v>
      </c>
      <c r="Z247" t="str">
        <v>-0.22</v>
      </c>
      <c r="AA247" t="str">
        <v>-0.17</v>
      </c>
      <c r="AB247" t="str">
        <v>聚亨</v>
      </c>
      <c r="AC247" t="str">
        <v>上市鋼鐵</v>
      </c>
      <c r="AD247" t="str">
        <v>以泰國為生產基地的線材盤元大廠</v>
      </c>
      <c r="AE247" t="str">
        <f t="array" ref="AE247:AH247">[1]!'2022.TW-CName,InvestorConferenceDate,DateofMeetingofShareHolders,TradingDate'</f>
        <v>聚亨</v>
      </c>
      <c r="AF247" t="str">
        <v>2022/12/06</v>
      </c>
      <c r="AG247" t="str">
        <v>2022/05/26</v>
      </c>
      <c r="AH247" t="str">
        <v>2022/12/22</v>
      </c>
    </row>
    <row r="248" spans="1:34" x14ac:dyDescent="0.3">
      <c r="A248" t="str">
        <f t="array" ref="A248:J248">[1]!'2023.TW-ID,Name,MarketValue,Capital,NetIncomeGrowthRate,OperIncomeGrowthRate,FinancialStatementsTime,TFXRatio,MonthlyNetSalesYoY,RevenueMonth'</f>
        <v>2023</v>
      </c>
      <c r="B248" t="str">
        <v>燁輝</v>
      </c>
      <c r="C248" t="str">
        <v>335.5</v>
      </c>
      <c r="D248" t="str">
        <v>198.51</v>
      </c>
      <c r="E248" t="str">
        <v>-75.81</v>
      </c>
      <c r="F248" t="str">
        <v>-47.98</v>
      </c>
      <c r="G248" t="str">
        <v>2022/09</v>
      </c>
      <c r="H248" t="str">
        <v>-17.49</v>
      </c>
      <c r="I248" t="str">
        <v>-33.69</v>
      </c>
      <c r="J248" t="str">
        <v>2022/11</v>
      </c>
      <c r="K248" t="str">
        <f t="array" ref="K248:T248">[1]!'2023.TW-OperatingProfitRatio,Price,PriceChangeRatio,InOutRatioNumber,Value,YearReturn,MonthReturn,WeekReturn,FinanceBalanceDif,ChipsField2'</f>
        <v>3.13</v>
      </c>
      <c r="L248">
        <v>16.899999999999999</v>
      </c>
      <c r="M248">
        <v>0.6</v>
      </c>
      <c r="N248" t="str">
        <v>39.76%</v>
      </c>
      <c r="O248" t="str">
        <v>2.32億</v>
      </c>
      <c r="P248" t="str">
        <v>-28.71</v>
      </c>
      <c r="Q248" t="str">
        <v>+13.42</v>
      </c>
      <c r="R248" t="str">
        <v>+6.62</v>
      </c>
      <c r="S248">
        <v>765</v>
      </c>
      <c r="T248">
        <v>0</v>
      </c>
      <c r="U248">
        <f t="array" ref="U248:AD248">[1]!'2023.TW-ChipsField3,ChipsField1,ChipsField25,CashAndStockDividend,CashDividendYieldRate,ProfitFourSeason,ProfitSingle,CName,ExchangeIndustry,CompanyPos'</f>
        <v>73</v>
      </c>
      <c r="V248">
        <v>-1241</v>
      </c>
      <c r="W248" t="str">
        <v>2022/08/09</v>
      </c>
      <c r="X248" t="str">
        <v>1.00</v>
      </c>
      <c r="Y248">
        <v>5.92</v>
      </c>
      <c r="Z248" t="str">
        <v>1.20</v>
      </c>
      <c r="AA248" t="str">
        <v>-0.19</v>
      </c>
      <c r="AB248" t="str">
        <v>燁輝</v>
      </c>
      <c r="AC248" t="str">
        <v>上市鋼鐵</v>
      </c>
      <c r="AD248" t="str">
        <v>台灣第一大鍍鋅烤漆廠</v>
      </c>
      <c r="AE248" t="str">
        <f t="array" ref="AE248:AH248">[1]!'2023.TW-CName,InvestorConferenceDate,DateofMeetingofShareHolders,TradingDate'</f>
        <v>燁輝</v>
      </c>
      <c r="AF248" t="str">
        <v>2022/11/28</v>
      </c>
      <c r="AG248" t="str">
        <v>2022/06/23</v>
      </c>
      <c r="AH248" t="str">
        <v>2022/12/22</v>
      </c>
    </row>
    <row r="249" spans="1:34" x14ac:dyDescent="0.3">
      <c r="A249" t="str">
        <f t="array" ref="A249:J249">[1]!'2024.TW-ID,Name,MarketValue,Capital,NetIncomeGrowthRate,OperIncomeGrowthRate,FinancialStatementsTime,TFXRatio,MonthlyNetSalesYoY,RevenueMonth'</f>
        <v>2024</v>
      </c>
      <c r="B249" t="str">
        <v>志聯</v>
      </c>
      <c r="C249" t="str">
        <v>18.1</v>
      </c>
      <c r="D249" t="str">
        <v>9.75</v>
      </c>
      <c r="E249" t="str">
        <v>-53.30</v>
      </c>
      <c r="F249" t="str">
        <v>-57.64</v>
      </c>
      <c r="G249" t="str">
        <v>2022/09</v>
      </c>
      <c r="H249" t="str">
        <v>2.25</v>
      </c>
      <c r="I249" t="str">
        <v>-23.97</v>
      </c>
      <c r="J249" t="str">
        <v>2022/11</v>
      </c>
      <c r="K249" t="str">
        <f t="array" ref="K249:T249">[1]!'2024.TW-OperatingProfitRatio,Price,PriceChangeRatio,InOutRatioNumber,Value,YearReturn,MonthReturn,WeekReturn,FinanceBalanceDif,ChipsField2'</f>
        <v>6.75</v>
      </c>
      <c r="L249">
        <v>18.600000000000001</v>
      </c>
      <c r="M249">
        <v>-1.59</v>
      </c>
      <c r="N249" t="str">
        <v>10.94%</v>
      </c>
      <c r="O249" t="str">
        <v>253萬</v>
      </c>
      <c r="P249" t="str">
        <v>-2.90</v>
      </c>
      <c r="Q249" t="str">
        <v>0.00</v>
      </c>
      <c r="R249" t="str">
        <v>+0.81</v>
      </c>
      <c r="S249">
        <v>10</v>
      </c>
      <c r="T249">
        <v>0</v>
      </c>
      <c r="U249">
        <f t="array" ref="U249:AD249">[1]!'2024.TW-ChipsField3,ChipsField1,ChipsField25,CashAndStockDividend,CashDividendYieldRate,ProfitFourSeason,ProfitSingle,CName,ExchangeIndustry,CompanyPos'</f>
        <v>0</v>
      </c>
      <c r="V249">
        <v>7</v>
      </c>
      <c r="W249" t="str">
        <v>2022/08/18</v>
      </c>
      <c r="X249" t="str">
        <v>1.20</v>
      </c>
      <c r="Y249">
        <v>6.45</v>
      </c>
      <c r="Z249" t="str">
        <v>0.84</v>
      </c>
      <c r="AA249" t="str">
        <v>0.11</v>
      </c>
      <c r="AB249" t="str">
        <v>志聯</v>
      </c>
      <c r="AC249" t="str">
        <v>上市鋼鐵</v>
      </c>
      <c r="AD249" t="str">
        <v>主要從事鋼棒及鋼線生產之廠商</v>
      </c>
      <c r="AE249" t="str">
        <f t="array" ref="AE249:AH249">[1]!'2024.TW-CName,InvestorConferenceDate,DateofMeetingofShareHolders,TradingDate'</f>
        <v>志聯</v>
      </c>
      <c r="AF249" t="str">
        <v>2022/12/21</v>
      </c>
      <c r="AG249" t="str">
        <v>2022/05/26</v>
      </c>
      <c r="AH249" t="str">
        <v>2022/12/22</v>
      </c>
    </row>
    <row r="250" spans="1:34" x14ac:dyDescent="0.3">
      <c r="A250" t="str">
        <f t="array" ref="A250:J250">[1]!'2025.TW-ID,Name,MarketValue,Capital,NetIncomeGrowthRate,OperIncomeGrowthRate,FinancialStatementsTime,TFXRatio,MonthlyNetSalesYoY,RevenueMonth'</f>
        <v>2025</v>
      </c>
      <c r="B250" t="str">
        <v>千興</v>
      </c>
      <c r="C250" t="str">
        <v>14.9</v>
      </c>
      <c r="D250" t="str">
        <v>28.12</v>
      </c>
      <c r="E250" t="str">
        <v>279.61</v>
      </c>
      <c r="F250" t="str">
        <v>-134.75</v>
      </c>
      <c r="G250" t="str">
        <v>2022/09</v>
      </c>
      <c r="H250" t="str">
        <v>56.35</v>
      </c>
      <c r="I250" t="str">
        <v>-71.52</v>
      </c>
      <c r="J250" t="str">
        <v>2022/11</v>
      </c>
      <c r="K250" t="str">
        <f t="array" ref="K250:T250">[1]!'2025.TW-OperatingProfitRatio,Price,PriceChangeRatio,InOutRatioNumber,Value,YearReturn,MonthReturn,WeekReturn,FinanceBalanceDif,ChipsField2'</f>
        <v>-5.47</v>
      </c>
      <c r="L250">
        <v>5.3</v>
      </c>
      <c r="M250">
        <v>-1.49</v>
      </c>
      <c r="N250" t="str">
        <v>38.94%</v>
      </c>
      <c r="O250" t="str">
        <v>126萬</v>
      </c>
      <c r="P250" t="str">
        <v>-13.11</v>
      </c>
      <c r="Q250" t="str">
        <v>+9.28</v>
      </c>
      <c r="R250" t="str">
        <v>+6.21</v>
      </c>
      <c r="S250">
        <v>0</v>
      </c>
      <c r="T250">
        <v>0</v>
      </c>
      <c r="U250">
        <f t="array" ref="U250:AD250">[1]!'2025.TW-ChipsField3,ChipsField1,ChipsField25,CashAndStockDividend,CashDividendYieldRate,ProfitFourSeason,ProfitSingle,CName,ExchangeIndustry,CompanyPos'</f>
        <v>0</v>
      </c>
      <c r="V250">
        <v>0</v>
      </c>
      <c r="W250" t="str">
        <v>--</v>
      </c>
      <c r="X250" t="str">
        <v>0.00</v>
      </c>
      <c r="Y250">
        <v>0</v>
      </c>
      <c r="Z250" t="str">
        <v>2.75</v>
      </c>
      <c r="AA250" t="str">
        <v>1.34</v>
      </c>
      <c r="AB250" t="str">
        <v>千興</v>
      </c>
      <c r="AC250" t="str">
        <v>上市鋼鐵</v>
      </c>
      <c r="AD250" t="str">
        <v>台灣不鏽鋼板冷軋廠</v>
      </c>
      <c r="AE250" t="str">
        <f t="array" ref="AE250:AH250">[1]!'2025.TW-CName,InvestorConferenceDate,DateofMeetingofShareHolders,TradingDate'</f>
        <v>千興</v>
      </c>
      <c r="AF250" t="str">
        <v>2022/11/30</v>
      </c>
      <c r="AG250" t="str">
        <v>2022/06/14</v>
      </c>
      <c r="AH250" t="str">
        <v>2022/12/22</v>
      </c>
    </row>
    <row r="251" spans="1:34" x14ac:dyDescent="0.3">
      <c r="A251" t="str">
        <f t="array" ref="A251:J251">[1]!'2027.TW-ID,Name,MarketValue,Capital,NetIncomeGrowthRate,OperIncomeGrowthRate,FinancialStatementsTime,TFXRatio,MonthlyNetSalesYoY,RevenueMonth'</f>
        <v>2027</v>
      </c>
      <c r="B251" t="str">
        <v>大成鋼</v>
      </c>
      <c r="C251" t="str">
        <v>892.6</v>
      </c>
      <c r="D251" t="str">
        <v>202.86</v>
      </c>
      <c r="E251" t="str">
        <v>64.60</v>
      </c>
      <c r="F251" t="str">
        <v>20.67</v>
      </c>
      <c r="G251" t="str">
        <v>2022/09</v>
      </c>
      <c r="H251" t="str">
        <v>-18.49</v>
      </c>
      <c r="I251" t="str">
        <v>-10.21</v>
      </c>
      <c r="J251" t="str">
        <v>2022/11</v>
      </c>
      <c r="K251" t="str">
        <f t="array" ref="K251:T251">[1]!'2027.TW-OperatingProfitRatio,Price,PriceChangeRatio,InOutRatioNumber,Value,YearReturn,MonthReturn,WeekReturn,FinanceBalanceDif,ChipsField2'</f>
        <v>18.00</v>
      </c>
      <c r="L251">
        <v>44</v>
      </c>
      <c r="M251">
        <v>2.33</v>
      </c>
      <c r="N251" t="str">
        <v>62.46%</v>
      </c>
      <c r="O251" t="str">
        <v>16.2億</v>
      </c>
      <c r="P251" t="str">
        <v>-2.35</v>
      </c>
      <c r="Q251" t="str">
        <v>+9.59</v>
      </c>
      <c r="R251" t="str">
        <v>-0.45</v>
      </c>
      <c r="S251">
        <v>-56</v>
      </c>
      <c r="T251">
        <v>12078</v>
      </c>
      <c r="U251">
        <f t="array" ref="U251:AD251">[1]!'2027.TW-ChipsField3,ChipsField1,ChipsField25,CashAndStockDividend,CashDividendYieldRate,ProfitFourSeason,ProfitSingle,CName,ExchangeIndustry,CompanyPos'</f>
        <v>-675</v>
      </c>
      <c r="V251">
        <v>-11035</v>
      </c>
      <c r="W251" t="str">
        <v>2022/07/20</v>
      </c>
      <c r="X251" t="str">
        <v>1.90</v>
      </c>
      <c r="Y251">
        <v>4.32</v>
      </c>
      <c r="Z251" t="str">
        <v>7.67</v>
      </c>
      <c r="AA251" t="str">
        <v>0.87</v>
      </c>
      <c r="AB251" t="str">
        <v>大成鋼</v>
      </c>
      <c r="AC251" t="str">
        <v>上市鋼鐵</v>
      </c>
      <c r="AD251" t="str">
        <v>全美最大不銹鋼管通路商</v>
      </c>
      <c r="AE251" t="str">
        <f t="array" ref="AE251:AH251">[1]!'2027.TW-CName,InvestorConferenceDate,DateofMeetingofShareHolders,TradingDate'</f>
        <v>大成鋼</v>
      </c>
      <c r="AF251" t="str">
        <v>2022/12/27</v>
      </c>
      <c r="AG251" t="str">
        <v>2022/06/20</v>
      </c>
      <c r="AH251" t="str">
        <v>2022/12/22</v>
      </c>
    </row>
    <row r="252" spans="1:34" x14ac:dyDescent="0.3">
      <c r="A252" t="str">
        <f t="array" ref="A252:J252">[1]!'2028.TW-ID,Name,MarketValue,Capital,NetIncomeGrowthRate,OperIncomeGrowthRate,FinancialStatementsTime,TFXRatio,MonthlyNetSalesYoY,RevenueMonth'</f>
        <v>2028</v>
      </c>
      <c r="B252" t="str">
        <v>威致</v>
      </c>
      <c r="C252" t="str">
        <v>94.5</v>
      </c>
      <c r="D252" t="str">
        <v>32.57</v>
      </c>
      <c r="E252" t="str">
        <v>-44.63</v>
      </c>
      <c r="F252" t="str">
        <v>-40.57</v>
      </c>
      <c r="G252" t="str">
        <v>2022/09</v>
      </c>
      <c r="H252" t="str">
        <v>38.29</v>
      </c>
      <c r="I252" t="str">
        <v>-15.12</v>
      </c>
      <c r="J252" t="str">
        <v>2022/11</v>
      </c>
      <c r="K252" t="str">
        <f t="array" ref="K252:T252">[1]!'2028.TW-OperatingProfitRatio,Price,PriceChangeRatio,InOutRatioNumber,Value,YearReturn,MonthReturn,WeekReturn,FinanceBalanceDif,ChipsField2'</f>
        <v>8.87</v>
      </c>
      <c r="L252">
        <v>29</v>
      </c>
      <c r="M252">
        <v>-1.19</v>
      </c>
      <c r="N252" t="str">
        <v>37.33%</v>
      </c>
      <c r="O252" t="str">
        <v>3.09億</v>
      </c>
      <c r="P252" t="str">
        <v>-30.19</v>
      </c>
      <c r="Q252" t="str">
        <v>+20.83</v>
      </c>
      <c r="R252" t="str">
        <v>+9.85</v>
      </c>
      <c r="S252">
        <v>-96</v>
      </c>
      <c r="T252">
        <v>0</v>
      </c>
      <c r="U252">
        <f t="array" ref="U252:AD252">[1]!'2028.TW-ChipsField3,ChipsField1,ChipsField25,CashAndStockDividend,CashDividendYieldRate,ProfitFourSeason,ProfitSingle,CName,ExchangeIndustry,CompanyPos'</f>
        <v>0</v>
      </c>
      <c r="V252">
        <v>134</v>
      </c>
      <c r="W252" t="str">
        <v>2022/12/26</v>
      </c>
      <c r="X252" t="str">
        <v>0.85</v>
      </c>
      <c r="Y252">
        <v>8.6199999999999992</v>
      </c>
      <c r="Z252" t="str">
        <v>3.43</v>
      </c>
      <c r="AA252" t="str">
        <v>0.19</v>
      </c>
      <c r="AB252" t="str">
        <v>威致</v>
      </c>
      <c r="AC252" t="str">
        <v>上市鋼鐵</v>
      </c>
      <c r="AD252" t="str">
        <v>台灣三大電爐廠之一，主要銷售鋼筋及鋼胚</v>
      </c>
      <c r="AE252" t="str">
        <f t="array" ref="AE252:AH252">[1]!'2028.TW-CName,InvestorConferenceDate,DateofMeetingofShareHolders,TradingDate'</f>
        <v>威致</v>
      </c>
      <c r="AF252" t="str">
        <v>2022/11/24</v>
      </c>
      <c r="AG252" t="str">
        <v>2022/06/20</v>
      </c>
      <c r="AH252" t="str">
        <v>2022/12/22</v>
      </c>
    </row>
    <row r="253" spans="1:34" x14ac:dyDescent="0.3">
      <c r="A253" t="str">
        <f t="array" ref="A253:J253">[1]!'2029.TW-ID,Name,MarketValue,Capital,NetIncomeGrowthRate,OperIncomeGrowthRate,FinancialStatementsTime,TFXRatio,MonthlyNetSalesYoY,RevenueMonth'</f>
        <v>2029</v>
      </c>
      <c r="B253" t="str">
        <v>盛餘</v>
      </c>
      <c r="C253" t="str">
        <v>80.9</v>
      </c>
      <c r="D253" t="str">
        <v>32.12</v>
      </c>
      <c r="E253" t="str">
        <v>-56.09</v>
      </c>
      <c r="F253" t="str">
        <v>-62.00</v>
      </c>
      <c r="G253" t="str">
        <v>2022/09</v>
      </c>
      <c r="H253" t="str">
        <v>-12.38</v>
      </c>
      <c r="I253" t="str">
        <v>-42.07</v>
      </c>
      <c r="J253" t="str">
        <v>2022/11</v>
      </c>
      <c r="K253" t="str">
        <f t="array" ref="K253:T253">[1]!'2029.TW-OperatingProfitRatio,Price,PriceChangeRatio,InOutRatioNumber,Value,YearReturn,MonthReturn,WeekReturn,FinanceBalanceDif,ChipsField2'</f>
        <v>4.23</v>
      </c>
      <c r="L253">
        <v>25.2</v>
      </c>
      <c r="M253">
        <v>2.86</v>
      </c>
      <c r="N253" t="str">
        <v>56.83%</v>
      </c>
      <c r="O253" t="str">
        <v>4706萬</v>
      </c>
      <c r="P253" t="str">
        <v>-19.00</v>
      </c>
      <c r="Q253" t="str">
        <v>+4.35</v>
      </c>
      <c r="R253" t="str">
        <v>+5.66</v>
      </c>
      <c r="S253">
        <v>53</v>
      </c>
      <c r="T253">
        <v>0</v>
      </c>
      <c r="U253">
        <f t="array" ref="U253:AD253">[1]!'2029.TW-ChipsField3,ChipsField1,ChipsField25,CashAndStockDividend,CashDividendYieldRate,ProfitFourSeason,ProfitSingle,CName,ExchangeIndustry,CompanyPos'</f>
        <v>0</v>
      </c>
      <c r="V253">
        <v>210</v>
      </c>
      <c r="W253" t="str">
        <v>2022/07/14</v>
      </c>
      <c r="X253" t="str">
        <v>2.55</v>
      </c>
      <c r="Y253">
        <v>10.119999999999999</v>
      </c>
      <c r="Z253" t="str">
        <v>2.35</v>
      </c>
      <c r="AA253" t="str">
        <v>-0.48</v>
      </c>
      <c r="AB253" t="str">
        <v>盛餘</v>
      </c>
      <c r="AC253" t="str">
        <v>上市鋼鐵</v>
      </c>
      <c r="AD253" t="str">
        <v>台灣鍍面一貫化處理鋼捲製造商</v>
      </c>
      <c r="AE253" t="str">
        <f t="array" ref="AE253:AH253">[1]!'2029.TW-CName,InvestorConferenceDate,DateofMeetingofShareHolders,TradingDate'</f>
        <v>盛餘</v>
      </c>
      <c r="AF253" t="str">
        <v>2022/10/27</v>
      </c>
      <c r="AG253" t="str">
        <v>2022/06/17</v>
      </c>
      <c r="AH253" t="str">
        <v>2022/12/22</v>
      </c>
    </row>
    <row r="254" spans="1:34" x14ac:dyDescent="0.3">
      <c r="A254" t="str">
        <f t="array" ref="A254:J254">[1]!'2030.TW-ID,Name,MarketValue,Capital,NetIncomeGrowthRate,OperIncomeGrowthRate,FinancialStatementsTime,TFXRatio,MonthlyNetSalesYoY,RevenueMonth'</f>
        <v>2030</v>
      </c>
      <c r="B254" t="str">
        <v>彰源</v>
      </c>
      <c r="C254" t="str">
        <v>66.3</v>
      </c>
      <c r="D254" t="str">
        <v>28.05</v>
      </c>
      <c r="E254" t="str">
        <v>-6.55</v>
      </c>
      <c r="F254" t="str">
        <v>-1.75</v>
      </c>
      <c r="G254" t="str">
        <v>2022/09</v>
      </c>
      <c r="H254" t="str">
        <v>1.75</v>
      </c>
      <c r="I254" t="str">
        <v>-25.51</v>
      </c>
      <c r="J254" t="str">
        <v>2022/11</v>
      </c>
      <c r="K254" t="str">
        <f t="array" ref="K254:T254">[1]!'2030.TW-OperatingProfitRatio,Price,PriceChangeRatio,InOutRatioNumber,Value,YearReturn,MonthReturn,WeekReturn,FinanceBalanceDif,ChipsField2'</f>
        <v>8.25</v>
      </c>
      <c r="L254">
        <v>23.65</v>
      </c>
      <c r="M254">
        <v>1.07</v>
      </c>
      <c r="N254" t="str">
        <v>47.52%</v>
      </c>
      <c r="O254" t="str">
        <v>1.47億</v>
      </c>
      <c r="P254" t="str">
        <v>-18.11</v>
      </c>
      <c r="Q254" t="str">
        <v>+6.05</v>
      </c>
      <c r="R254" t="str">
        <v>+2.83</v>
      </c>
      <c r="S254">
        <v>-254</v>
      </c>
      <c r="T254">
        <v>0</v>
      </c>
      <c r="U254">
        <f t="array" ref="U254:AD254">[1]!'2030.TW-ChipsField3,ChipsField1,ChipsField25,CashAndStockDividend,CashDividendYieldRate,ProfitFourSeason,ProfitSingle,CName,ExchangeIndustry,CompanyPos'</f>
        <v>-13</v>
      </c>
      <c r="V254">
        <v>1409</v>
      </c>
      <c r="W254" t="str">
        <v>2022/07/21</v>
      </c>
      <c r="X254" t="str">
        <v>2.00</v>
      </c>
      <c r="Y254">
        <v>8.4600000000000009</v>
      </c>
      <c r="Z254" t="str">
        <v>4.12</v>
      </c>
      <c r="AA254" t="str">
        <v>0.02</v>
      </c>
      <c r="AB254" t="str">
        <v>彰源</v>
      </c>
      <c r="AC254" t="str">
        <v>上市鋼鐵</v>
      </c>
      <c r="AD254" t="str">
        <v>台灣前二大不鏽鋼管製造廠</v>
      </c>
      <c r="AE254" t="str">
        <f t="array" ref="AE254:AH254">[1]!'2030.TW-CName,InvestorConferenceDate,DateofMeetingofShareHolders,TradingDate'</f>
        <v>彰源</v>
      </c>
      <c r="AF254" t="str">
        <v>2022/06/23</v>
      </c>
      <c r="AG254" t="str">
        <v>2022/06/21</v>
      </c>
      <c r="AH254" t="str">
        <v>2022/12/22</v>
      </c>
    </row>
    <row r="255" spans="1:34" x14ac:dyDescent="0.3">
      <c r="A255" t="str">
        <f t="array" ref="A255:J255">[1]!'2031.TW-ID,Name,MarketValue,Capital,NetIncomeGrowthRate,OperIncomeGrowthRate,FinancialStatementsTime,TFXRatio,MonthlyNetSalesYoY,RevenueMonth'</f>
        <v>2031</v>
      </c>
      <c r="B255" t="str">
        <v>新光鋼</v>
      </c>
      <c r="C255" t="str">
        <v>142.1</v>
      </c>
      <c r="D255" t="str">
        <v>32.11</v>
      </c>
      <c r="E255" t="str">
        <v>-89.54</v>
      </c>
      <c r="F255" t="str">
        <v>-66.08</v>
      </c>
      <c r="G255" t="str">
        <v>2022/09</v>
      </c>
      <c r="H255" t="str">
        <v>-6.91</v>
      </c>
      <c r="I255" t="str">
        <v>33.11</v>
      </c>
      <c r="J255" t="str">
        <v>2022/11</v>
      </c>
      <c r="K255" t="str">
        <f t="array" ref="K255:T255">[1]!'2031.TW-OperatingProfitRatio,Price,PriceChangeRatio,InOutRatioNumber,Value,YearReturn,MonthReturn,WeekReturn,FinanceBalanceDif,ChipsField2'</f>
        <v>5.59</v>
      </c>
      <c r="L255">
        <v>44.25</v>
      </c>
      <c r="M255">
        <v>6.5</v>
      </c>
      <c r="N255" t="str">
        <v>60.65%</v>
      </c>
      <c r="O255" t="str">
        <v>4.46億</v>
      </c>
      <c r="P255" t="str">
        <v>-17.76</v>
      </c>
      <c r="Q255" t="str">
        <v>+17.06</v>
      </c>
      <c r="R255" t="str">
        <v>+9.26</v>
      </c>
      <c r="S255">
        <v>183</v>
      </c>
      <c r="T255">
        <v>140</v>
      </c>
      <c r="U255">
        <f t="array" ref="U255:AD255">[1]!'2031.TW-ChipsField3,ChipsField1,ChipsField25,CashAndStockDividend,CashDividendYieldRate,ProfitFourSeason,ProfitSingle,CName,ExchangeIndustry,CompanyPos'</f>
        <v>195</v>
      </c>
      <c r="V255">
        <v>69</v>
      </c>
      <c r="W255" t="str">
        <v>2022/07/06</v>
      </c>
      <c r="X255" t="str">
        <v>4.00</v>
      </c>
      <c r="Y255">
        <v>9.0399999999999991</v>
      </c>
      <c r="Z255" t="str">
        <v>2.47</v>
      </c>
      <c r="AA255" t="str">
        <v>-0.48</v>
      </c>
      <c r="AB255" t="str">
        <v>新光鋼</v>
      </c>
      <c r="AC255" t="str">
        <v>上市鋼鐵</v>
      </c>
      <c r="AD255" t="str">
        <v>台灣鋼剪裁大廠，以內銷為主</v>
      </c>
      <c r="AE255" t="str">
        <f t="array" ref="AE255:AH255">[1]!'2031.TW-CName,InvestorConferenceDate,DateofMeetingofShareHolders,TradingDate'</f>
        <v>新光鋼</v>
      </c>
      <c r="AF255" t="str">
        <v>2022/03/22</v>
      </c>
      <c r="AG255" t="str">
        <v>2022/06/15</v>
      </c>
      <c r="AH255" t="str">
        <v>2022/12/22</v>
      </c>
    </row>
    <row r="256" spans="1:34" x14ac:dyDescent="0.3">
      <c r="A256" t="str">
        <f t="array" ref="A256:J256">[1]!'2032.TW-ID,Name,MarketValue,Capital,NetIncomeGrowthRate,OperIncomeGrowthRate,FinancialStatementsTime,TFXRatio,MonthlyNetSalesYoY,RevenueMonth'</f>
        <v>2032</v>
      </c>
      <c r="B256" t="str">
        <v>新鋼</v>
      </c>
      <c r="C256" t="str">
        <v>27.7</v>
      </c>
      <c r="D256" t="str">
        <v>13.05</v>
      </c>
      <c r="E256" t="str">
        <v>-81.37</v>
      </c>
      <c r="F256" t="str">
        <v>-95.23</v>
      </c>
      <c r="G256" t="str">
        <v>2022/09</v>
      </c>
      <c r="H256" t="str">
        <v>25.53</v>
      </c>
      <c r="I256" t="str">
        <v>-17.39</v>
      </c>
      <c r="J256" t="str">
        <v>2022/11</v>
      </c>
      <c r="K256" t="str">
        <f t="array" ref="K256:T256">[1]!'2032.TW-OperatingProfitRatio,Price,PriceChangeRatio,InOutRatioNumber,Value,YearReturn,MonthReturn,WeekReturn,FinanceBalanceDif,ChipsField2'</f>
        <v>0.36</v>
      </c>
      <c r="L256">
        <v>21.25</v>
      </c>
      <c r="M256">
        <v>-0.23</v>
      </c>
      <c r="N256" t="str">
        <v>53.47%</v>
      </c>
      <c r="O256" t="str">
        <v>1.59億</v>
      </c>
      <c r="P256" t="str">
        <v>-8.37</v>
      </c>
      <c r="Q256" t="str">
        <v>+16.44</v>
      </c>
      <c r="R256" t="str">
        <v>+10.68</v>
      </c>
      <c r="S256">
        <v>632</v>
      </c>
      <c r="T256">
        <v>0</v>
      </c>
      <c r="U256">
        <f t="array" ref="U256:AD256">[1]!'2032.TW-ChipsField3,ChipsField1,ChipsField25,CashAndStockDividend,CashDividendYieldRate,ProfitFourSeason,ProfitSingle,CName,ExchangeIndustry,CompanyPos'</f>
        <v>-1</v>
      </c>
      <c r="V256">
        <v>420</v>
      </c>
      <c r="W256" t="str">
        <v>2022/06/29</v>
      </c>
      <c r="X256" t="str">
        <v>1.18</v>
      </c>
      <c r="Y256">
        <v>5.55</v>
      </c>
      <c r="Z256" t="str">
        <v>0.23</v>
      </c>
      <c r="AA256" t="str">
        <v>0.10</v>
      </c>
      <c r="AB256" t="str">
        <v>新鋼</v>
      </c>
      <c r="AC256" t="str">
        <v>上市鋼鐵</v>
      </c>
      <c r="AD256" t="str">
        <v>以內銷為主的不鏽鋼裁剪加工廠</v>
      </c>
      <c r="AE256" t="str">
        <f t="array" ref="AE256:AH256">[1]!'2032.TW-CName,InvestorConferenceDate,DateofMeetingofShareHolders,TradingDate'</f>
        <v>新鋼</v>
      </c>
      <c r="AF256" t="str">
        <v>2022/01/11</v>
      </c>
      <c r="AG256" t="str">
        <v>2022/06/14</v>
      </c>
      <c r="AH256" t="str">
        <v>2022/12/22</v>
      </c>
    </row>
    <row r="257" spans="1:34" x14ac:dyDescent="0.3">
      <c r="A257" t="str">
        <f t="array" ref="A257:J257">[1]!'2033.TW-ID,Name,MarketValue,Capital,NetIncomeGrowthRate,OperIncomeGrowthRate,FinancialStatementsTime,TFXRatio,MonthlyNetSalesYoY,RevenueMonth'</f>
        <v>2033</v>
      </c>
      <c r="B257" t="str">
        <v>佳大</v>
      </c>
      <c r="C257" t="str">
        <v>13.5</v>
      </c>
      <c r="D257" t="str">
        <v>8.07</v>
      </c>
      <c r="E257" t="str">
        <v>-141.65</v>
      </c>
      <c r="F257" t="str">
        <v>-144.75</v>
      </c>
      <c r="G257" t="str">
        <v>2022/09</v>
      </c>
      <c r="H257" t="str">
        <v>-11.48</v>
      </c>
      <c r="I257" t="str">
        <v>-23.73</v>
      </c>
      <c r="J257" t="str">
        <v>2022/11</v>
      </c>
      <c r="K257" t="str">
        <f t="array" ref="K257:T257">[1]!'2033.TW-OperatingProfitRatio,Price,PriceChangeRatio,InOutRatioNumber,Value,YearReturn,MonthReturn,WeekReturn,FinanceBalanceDif,ChipsField2'</f>
        <v>-0.70</v>
      </c>
      <c r="L257">
        <v>16.7</v>
      </c>
      <c r="M257">
        <v>0.3</v>
      </c>
      <c r="N257" t="str">
        <v>51.89%</v>
      </c>
      <c r="O257" t="str">
        <v>6847萬</v>
      </c>
      <c r="P257" t="str">
        <v>-6.48</v>
      </c>
      <c r="Q257" t="str">
        <v>+23.70</v>
      </c>
      <c r="R257" t="str">
        <v>+16.38</v>
      </c>
      <c r="S257">
        <v>67</v>
      </c>
      <c r="T257">
        <v>0</v>
      </c>
      <c r="U257">
        <f t="array" ref="U257:AD257">[1]!'2033.TW-ChipsField3,ChipsField1,ChipsField25,CashAndStockDividend,CashDividendYieldRate,ProfitFourSeason,ProfitSingle,CName,ExchangeIndustry,CompanyPos'</f>
        <v>-3</v>
      </c>
      <c r="V257">
        <v>6</v>
      </c>
      <c r="W257" t="str">
        <v>2022/07/22</v>
      </c>
      <c r="X257" t="str">
        <v>0.20</v>
      </c>
      <c r="Y257">
        <v>1.2</v>
      </c>
      <c r="Z257" t="str">
        <v>-0.01</v>
      </c>
      <c r="AA257" t="str">
        <v>-0.05</v>
      </c>
      <c r="AB257" t="str">
        <v>佳大</v>
      </c>
      <c r="AC257" t="str">
        <v>上市鋼鐵</v>
      </c>
      <c r="AD257" t="str">
        <v>致力於鋼線鋼纜產品業務</v>
      </c>
      <c r="AE257" t="str">
        <f t="array" ref="AE257:AH257">[1]!'2033.TW-CName,InvestorConferenceDate,DateofMeetingofShareHolders,TradingDate'</f>
        <v>佳大</v>
      </c>
      <c r="AF257" t="str">
        <v>2022/12/13</v>
      </c>
      <c r="AG257" t="str">
        <v>2022/06/21</v>
      </c>
      <c r="AH257" t="str">
        <v>2022/12/22</v>
      </c>
    </row>
    <row r="258" spans="1:34" x14ac:dyDescent="0.3">
      <c r="A258" t="str">
        <f t="array" ref="A258:J258">[1]!'2034.TW-ID,Name,MarketValue,Capital,NetIncomeGrowthRate,OperIncomeGrowthRate,FinancialStatementsTime,TFXRatio,MonthlyNetSalesYoY,RevenueMonth'</f>
        <v>2034</v>
      </c>
      <c r="B258" t="str">
        <v>允強</v>
      </c>
      <c r="C258" t="str">
        <v>132.5</v>
      </c>
      <c r="D258" t="str">
        <v>44.54</v>
      </c>
      <c r="E258" t="str">
        <v>27.81</v>
      </c>
      <c r="F258" t="str">
        <v>11.35</v>
      </c>
      <c r="G258" t="str">
        <v>2022/09</v>
      </c>
      <c r="H258" t="str">
        <v>-0.91</v>
      </c>
      <c r="I258" t="str">
        <v>-30.24</v>
      </c>
      <c r="J258" t="str">
        <v>2022/11</v>
      </c>
      <c r="K258" t="str">
        <f t="array" ref="K258:T258">[1]!'2034.TW-OperatingProfitRatio,Price,PriceChangeRatio,InOutRatioNumber,Value,YearReturn,MonthReturn,WeekReturn,FinanceBalanceDif,ChipsField2'</f>
        <v>8.18</v>
      </c>
      <c r="L258">
        <v>29.75</v>
      </c>
      <c r="M258">
        <v>2.76</v>
      </c>
      <c r="N258" t="str">
        <v>58.47%</v>
      </c>
      <c r="O258" t="str">
        <v>2.89億</v>
      </c>
      <c r="P258" t="str">
        <v>-4.92</v>
      </c>
      <c r="Q258" t="str">
        <v>+4.20</v>
      </c>
      <c r="R258" t="str">
        <v>+4.75</v>
      </c>
      <c r="S258">
        <v>326</v>
      </c>
      <c r="T258">
        <v>0</v>
      </c>
      <c r="U258">
        <f t="array" ref="U258:AD258">[1]!'2034.TW-ChipsField3,ChipsField1,ChipsField25,CashAndStockDividend,CashDividendYieldRate,ProfitFourSeason,ProfitSingle,CName,ExchangeIndustry,CompanyPos'</f>
        <v>-6</v>
      </c>
      <c r="V258">
        <v>634</v>
      </c>
      <c r="W258" t="str">
        <v>2022/07/19</v>
      </c>
      <c r="X258" t="str">
        <v>1.50</v>
      </c>
      <c r="Y258">
        <v>5.04</v>
      </c>
      <c r="Z258" t="str">
        <v>3.36</v>
      </c>
      <c r="AA258" t="str">
        <v>0.60</v>
      </c>
      <c r="AB258" t="str">
        <v>允強</v>
      </c>
      <c r="AC258" t="str">
        <v>上市鋼鐵</v>
      </c>
      <c r="AD258" t="str">
        <v>亞洲最大不鏽鋼管加工裁剪廠</v>
      </c>
      <c r="AE258" t="str">
        <f t="array" ref="AE258:AH258">[1]!'2034.TW-CName,InvestorConferenceDate,DateofMeetingofShareHolders,TradingDate'</f>
        <v>允強</v>
      </c>
      <c r="AF258" t="str">
        <v>--</v>
      </c>
      <c r="AG258" t="str">
        <v>2022/06/16</v>
      </c>
      <c r="AH258" t="str">
        <v>2022/12/22</v>
      </c>
    </row>
    <row r="259" spans="1:34" x14ac:dyDescent="0.3">
      <c r="A259" t="str">
        <f t="array" ref="A259:J259">[1]!'2038.TW-ID,Name,MarketValue,Capital,NetIncomeGrowthRate,OperIncomeGrowthRate,FinancialStatementsTime,TFXRatio,MonthlyNetSalesYoY,RevenueMonth'</f>
        <v>2038</v>
      </c>
      <c r="B259" t="str">
        <v>海光</v>
      </c>
      <c r="C259" t="str">
        <v>43.1</v>
      </c>
      <c r="D259" t="str">
        <v>18.13</v>
      </c>
      <c r="E259" t="str">
        <v>-45.76</v>
      </c>
      <c r="F259" t="str">
        <v>-85.94</v>
      </c>
      <c r="G259" t="str">
        <v>2022/09</v>
      </c>
      <c r="H259" t="str">
        <v>-0.40</v>
      </c>
      <c r="I259" t="str">
        <v>-11.16</v>
      </c>
      <c r="J259" t="str">
        <v>2022/11</v>
      </c>
      <c r="K259" t="str">
        <f t="array" ref="K259:T259">[1]!'2038.TW-OperatingProfitRatio,Price,PriceChangeRatio,InOutRatioNumber,Value,YearReturn,MonthReturn,WeekReturn,FinanceBalanceDif,ChipsField2'</f>
        <v>0.58</v>
      </c>
      <c r="L259">
        <v>23.8</v>
      </c>
      <c r="M259">
        <v>3.93</v>
      </c>
      <c r="N259" t="str">
        <v>54.41%</v>
      </c>
      <c r="O259" t="str">
        <v>3.86億</v>
      </c>
      <c r="P259" t="str">
        <v>-30.70</v>
      </c>
      <c r="Q259" t="str">
        <v>+21.74</v>
      </c>
      <c r="R259" t="str">
        <v>+16.10</v>
      </c>
      <c r="S259">
        <v>-141</v>
      </c>
      <c r="T259">
        <v>0</v>
      </c>
      <c r="U259">
        <f t="array" ref="U259:AD259">[1]!'2038.TW-ChipsField3,ChipsField1,ChipsField25,CashAndStockDividend,CashDividendYieldRate,ProfitFourSeason,ProfitSingle,CName,ExchangeIndustry,CompanyPos'</f>
        <v>-8</v>
      </c>
      <c r="V259">
        <v>169</v>
      </c>
      <c r="W259" t="str">
        <v>2022/08/26</v>
      </c>
      <c r="X259" t="str">
        <v>1.50</v>
      </c>
      <c r="Y259">
        <v>6.3</v>
      </c>
      <c r="Z259" t="str">
        <v>1.77</v>
      </c>
      <c r="AA259" t="str">
        <v>0.30</v>
      </c>
      <c r="AB259" t="str">
        <v>海光</v>
      </c>
      <c r="AC259" t="str">
        <v>上市鋼鐵</v>
      </c>
      <c r="AD259" t="str">
        <v>台灣鋼筋大廠之一</v>
      </c>
      <c r="AE259" t="str">
        <f t="array" ref="AE259:AH259">[1]!'2038.TW-CName,InvestorConferenceDate,DateofMeetingofShareHolders,TradingDate'</f>
        <v>海光</v>
      </c>
      <c r="AF259" t="str">
        <v>2022/11/30</v>
      </c>
      <c r="AG259" t="str">
        <v>2022/06/21</v>
      </c>
      <c r="AH259" t="str">
        <v>2022/12/22</v>
      </c>
    </row>
    <row r="260" spans="1:34" x14ac:dyDescent="0.3">
      <c r="A260" t="str">
        <f t="array" ref="A260:J260">[1]!'2069.TW-ID,Name,MarketValue,Capital,NetIncomeGrowthRate,OperIncomeGrowthRate,FinancialStatementsTime,TFXRatio,MonthlyNetSalesYoY,RevenueMonth'</f>
        <v>2069</v>
      </c>
      <c r="B260" t="str">
        <v>運錩</v>
      </c>
      <c r="C260" t="str">
        <v>35.8</v>
      </c>
      <c r="D260" t="str">
        <v>16.64</v>
      </c>
      <c r="E260" t="str">
        <v>-57.38</v>
      </c>
      <c r="F260" t="str">
        <v>-32.06</v>
      </c>
      <c r="G260" t="str">
        <v>2022/09</v>
      </c>
      <c r="H260" t="str">
        <v>36.11</v>
      </c>
      <c r="I260" t="str">
        <v>-25.75</v>
      </c>
      <c r="J260" t="str">
        <v>2022/11</v>
      </c>
      <c r="K260" t="str">
        <f t="array" ref="K260:T260">[1]!'2069.TW-OperatingProfitRatio,Price,PriceChangeRatio,InOutRatioNumber,Value,YearReturn,MonthReturn,WeekReturn,FinanceBalanceDif,ChipsField2'</f>
        <v>3.94</v>
      </c>
      <c r="L260">
        <v>21.5</v>
      </c>
      <c r="M260">
        <v>2.87</v>
      </c>
      <c r="N260" t="str">
        <v>56.10%</v>
      </c>
      <c r="O260" t="str">
        <v>5249萬</v>
      </c>
      <c r="P260" t="str">
        <v>-33.88</v>
      </c>
      <c r="Q260" t="str">
        <v>+8.59</v>
      </c>
      <c r="R260" t="str">
        <v>+6.44</v>
      </c>
      <c r="S260">
        <v>285</v>
      </c>
      <c r="T260">
        <v>0</v>
      </c>
      <c r="U260">
        <f t="array" ref="U260:AD260">[1]!'2069.TW-ChipsField3,ChipsField1,ChipsField25,CashAndStockDividend,CashDividendYieldRate,ProfitFourSeason,ProfitSingle,CName,ExchangeIndustry,CompanyPos'</f>
        <v>-7</v>
      </c>
      <c r="V260">
        <v>249</v>
      </c>
      <c r="W260" t="str">
        <v>2022/07/12</v>
      </c>
      <c r="X260" t="str">
        <v>2.20</v>
      </c>
      <c r="Y260">
        <v>10.23</v>
      </c>
      <c r="Z260" t="str">
        <v>2.78</v>
      </c>
      <c r="AA260" t="str">
        <v>-0.56</v>
      </c>
      <c r="AB260" t="str">
        <v>運錩</v>
      </c>
      <c r="AC260" t="str">
        <v>上市鋼鐵</v>
      </c>
      <c r="AD260" t="str">
        <v>台灣不銹鋼材料加工製造廠</v>
      </c>
      <c r="AE260" t="str">
        <f t="array" ref="AE260:AH260">[1]!'2069.TW-CName,InvestorConferenceDate,DateofMeetingofShareHolders,TradingDate'</f>
        <v>運錩</v>
      </c>
      <c r="AF260" t="str">
        <v>2022/11/30</v>
      </c>
      <c r="AG260" t="str">
        <v>2022/06/15</v>
      </c>
      <c r="AH260" t="str">
        <v>2022/12/22</v>
      </c>
    </row>
    <row r="261" spans="1:34" x14ac:dyDescent="0.3">
      <c r="A261" t="str">
        <f t="array" ref="A261:J261">[1]!'2211.TW-ID,Name,MarketValue,Capital,NetIncomeGrowthRate,OperIncomeGrowthRate,FinancialStatementsTime,TFXRatio,MonthlyNetSalesYoY,RevenueMonth'</f>
        <v>2211</v>
      </c>
      <c r="B261" t="str">
        <v>長榮鋼</v>
      </c>
      <c r="C261" t="str">
        <v>219.8</v>
      </c>
      <c r="D261" t="str">
        <v>41.71</v>
      </c>
      <c r="E261" t="str">
        <v>93.47</v>
      </c>
      <c r="F261" t="str">
        <v>30.12</v>
      </c>
      <c r="G261" t="str">
        <v>2022/09</v>
      </c>
      <c r="H261" t="str">
        <v>-6.31</v>
      </c>
      <c r="I261" t="str">
        <v>-53.88</v>
      </c>
      <c r="J261" t="str">
        <v>2022/11</v>
      </c>
      <c r="K261" t="str">
        <f t="array" ref="K261:T261">[1]!'2211.TW-OperatingProfitRatio,Price,PriceChangeRatio,InOutRatioNumber,Value,YearReturn,MonthReturn,WeekReturn,FinanceBalanceDif,ChipsField2'</f>
        <v>19.01</v>
      </c>
      <c r="L261">
        <v>52.7</v>
      </c>
      <c r="M261">
        <v>0.56999999999999995</v>
      </c>
      <c r="N261" t="str">
        <v>44.07%</v>
      </c>
      <c r="O261" t="str">
        <v>3127萬</v>
      </c>
      <c r="P261" t="str">
        <v>-0.21</v>
      </c>
      <c r="Q261" t="str">
        <v>+2.13</v>
      </c>
      <c r="R261" t="str">
        <v>+1.35</v>
      </c>
      <c r="S261">
        <v>121</v>
      </c>
      <c r="T261">
        <v>0</v>
      </c>
      <c r="U261">
        <f t="array" ref="U261:AD261">[1]!'2211.TW-ChipsField3,ChipsField1,ChipsField25,CashAndStockDividend,CashDividendYieldRate,ProfitFourSeason,ProfitSingle,CName,ExchangeIndustry,CompanyPos'</f>
        <v>-5</v>
      </c>
      <c r="V261">
        <v>144</v>
      </c>
      <c r="W261" t="str">
        <v>2022/08/29</v>
      </c>
      <c r="X261" t="str">
        <v>3.00</v>
      </c>
      <c r="Y261">
        <v>5.69</v>
      </c>
      <c r="Z261" t="str">
        <v>5.72</v>
      </c>
      <c r="AA261" t="str">
        <v>1.28</v>
      </c>
      <c r="AB261" t="str">
        <v>長榮鋼</v>
      </c>
      <c r="AC261" t="str">
        <v>上市鋼鐵</v>
      </c>
      <c r="AD261" t="str">
        <v>長榮集團旗下之鋼結構製造廠</v>
      </c>
      <c r="AE261" t="str">
        <f t="array" ref="AE261:AH261">[1]!'2211.TW-CName,InvestorConferenceDate,DateofMeetingofShareHolders,TradingDate'</f>
        <v>長榮鋼</v>
      </c>
      <c r="AF261" t="str">
        <v>2022/12/20</v>
      </c>
      <c r="AG261" t="str">
        <v>2022/06/10</v>
      </c>
      <c r="AH261" t="str">
        <v>2022/12/22</v>
      </c>
    </row>
    <row r="262" spans="1:34" x14ac:dyDescent="0.3">
      <c r="A262" t="str">
        <f t="array" ref="A262:J262">[1]!'3004.TW-ID,Name,MarketValue,Capital,NetIncomeGrowthRate,OperIncomeGrowthRate,FinancialStatementsTime,TFXRatio,MonthlyNetSalesYoY,RevenueMonth'</f>
        <v>3004</v>
      </c>
      <c r="B262" t="str">
        <v>豐達科</v>
      </c>
      <c r="C262" t="str">
        <v>39.5</v>
      </c>
      <c r="D262" t="str">
        <v>5.26</v>
      </c>
      <c r="E262" t="str">
        <v>179.75</v>
      </c>
      <c r="F262" t="str">
        <v>163.20</v>
      </c>
      <c r="G262" t="str">
        <v>2022/09</v>
      </c>
      <c r="H262" t="str">
        <v>0.04</v>
      </c>
      <c r="I262" t="str">
        <v>88.46</v>
      </c>
      <c r="J262" t="str">
        <v>2022/11</v>
      </c>
      <c r="K262" t="str">
        <f t="array" ref="K262:T262">[1]!'3004.TW-OperatingProfitRatio,Price,PriceChangeRatio,InOutRatioNumber,Value,YearReturn,MonthReturn,WeekReturn,FinanceBalanceDif,ChipsField2'</f>
        <v>5.02</v>
      </c>
      <c r="L262">
        <v>75</v>
      </c>
      <c r="M262">
        <v>0.94</v>
      </c>
      <c r="N262" t="str">
        <v>38.84%</v>
      </c>
      <c r="O262" t="str">
        <v>948萬</v>
      </c>
      <c r="P262" t="str">
        <v>+32.51</v>
      </c>
      <c r="Q262" t="str">
        <v>+15.03</v>
      </c>
      <c r="R262" t="str">
        <v>+0.67</v>
      </c>
      <c r="S262">
        <v>9</v>
      </c>
      <c r="T262">
        <v>0</v>
      </c>
      <c r="U262">
        <f t="array" ref="U262:AD262">[1]!'3004.TW-ChipsField3,ChipsField1,ChipsField25,CashAndStockDividend,CashDividendYieldRate,ProfitFourSeason,ProfitSingle,CName,ExchangeIndustry,CompanyPos'</f>
        <v>0</v>
      </c>
      <c r="V262">
        <v>106</v>
      </c>
      <c r="W262" t="str">
        <v>--</v>
      </c>
      <c r="X262" t="str">
        <v>0.00</v>
      </c>
      <c r="Y262">
        <v>0</v>
      </c>
      <c r="Z262" t="str">
        <v>1.64</v>
      </c>
      <c r="AA262" t="str">
        <v>1.04</v>
      </c>
      <c r="AB262" t="str">
        <v>豐達科</v>
      </c>
      <c r="AC262" t="str">
        <v>上市鋼鐵</v>
      </c>
      <c r="AD262" t="str">
        <v>亞洲唯一合格航太扣件供應商</v>
      </c>
      <c r="AE262" t="str">
        <f t="array" ref="AE262:AH262">[1]!'3004.TW-CName,InvestorConferenceDate,DateofMeetingofShareHolders,TradingDate'</f>
        <v>豐達科</v>
      </c>
      <c r="AF262" t="str">
        <v>2022/11/18</v>
      </c>
      <c r="AG262" t="str">
        <v>2022/05/31</v>
      </c>
      <c r="AH262" t="str">
        <v>2022/12/22</v>
      </c>
    </row>
    <row r="263" spans="1:34" x14ac:dyDescent="0.3">
      <c r="A263" t="str">
        <f t="array" ref="A263:J263">[1]!'5007.TW-ID,Name,MarketValue,Capital,NetIncomeGrowthRate,OperIncomeGrowthRate,FinancialStatementsTime,TFXRatio,MonthlyNetSalesYoY,RevenueMonth'</f>
        <v>5007</v>
      </c>
      <c r="B263" t="str">
        <v>三星</v>
      </c>
      <c r="C263" t="str">
        <v>150.1</v>
      </c>
      <c r="D263" t="str">
        <v>29.49</v>
      </c>
      <c r="E263" t="str">
        <v>7.14</v>
      </c>
      <c r="F263" t="str">
        <v>-2.23</v>
      </c>
      <c r="G263" t="str">
        <v>2022/09</v>
      </c>
      <c r="H263" t="str">
        <v>-2.94</v>
      </c>
      <c r="I263" t="str">
        <v>-1.26</v>
      </c>
      <c r="J263" t="str">
        <v>2022/11</v>
      </c>
      <c r="K263" t="str">
        <f t="array" ref="K263:T263">[1]!'5007.TW-OperatingProfitRatio,Price,PriceChangeRatio,InOutRatioNumber,Value,YearReturn,MonthReturn,WeekReturn,FinanceBalanceDif,ChipsField2'</f>
        <v>17.27</v>
      </c>
      <c r="L263">
        <v>50.9</v>
      </c>
      <c r="M263">
        <v>0.39</v>
      </c>
      <c r="N263" t="str">
        <v>77.78%</v>
      </c>
      <c r="O263" t="str">
        <v>45.8萬</v>
      </c>
      <c r="P263" t="str">
        <v>-4.64</v>
      </c>
      <c r="Q263" t="str">
        <v>-2.49</v>
      </c>
      <c r="R263" t="str">
        <v>-1.17</v>
      </c>
      <c r="S263">
        <v>-1</v>
      </c>
      <c r="T263">
        <v>0</v>
      </c>
      <c r="U263">
        <f t="array" ref="U263:AD263">[1]!'5007.TW-ChipsField3,ChipsField1,ChipsField25,CashAndStockDividend,CashDividendYieldRate,ProfitFourSeason,ProfitSingle,CName,ExchangeIndustry,CompanyPos'</f>
        <v>-5</v>
      </c>
      <c r="V263">
        <v>-3</v>
      </c>
      <c r="W263" t="str">
        <v>2022/07/04</v>
      </c>
      <c r="X263" t="str">
        <v>3.00</v>
      </c>
      <c r="Y263">
        <v>5.89</v>
      </c>
      <c r="Z263" t="str">
        <v>3.49</v>
      </c>
      <c r="AA263" t="str">
        <v>0.91</v>
      </c>
      <c r="AB263" t="str">
        <v>三星</v>
      </c>
      <c r="AC263" t="str">
        <v>上市鋼鐵</v>
      </c>
      <c r="AD263" t="str">
        <v>全球最大鋼鐵螺帽製造商</v>
      </c>
      <c r="AE263" t="str">
        <f t="array" ref="AE263:AH263">[1]!'5007.TW-CName,InvestorConferenceDate,DateofMeetingofShareHolders,TradingDate'</f>
        <v>三星</v>
      </c>
      <c r="AF263" t="str">
        <v>2022/11/18</v>
      </c>
      <c r="AG263" t="str">
        <v>2022/06/16</v>
      </c>
      <c r="AH263" t="str">
        <v>2022/12/22</v>
      </c>
    </row>
    <row r="264" spans="1:34" x14ac:dyDescent="0.3">
      <c r="A264" t="str">
        <f t="array" ref="A264:J264">[1]!'5538.TW-ID,Name,MarketValue,Capital,NetIncomeGrowthRate,OperIncomeGrowthRate,FinancialStatementsTime,TFXRatio,MonthlyNetSalesYoY,RevenueMonth'</f>
        <v>5538</v>
      </c>
      <c r="B264" t="str">
        <v>東明-KY</v>
      </c>
      <c r="C264" t="str">
        <v>84.7</v>
      </c>
      <c r="D264" t="str">
        <v>20.12</v>
      </c>
      <c r="E264" t="str">
        <v>-28.57</v>
      </c>
      <c r="F264" t="str">
        <v>-30.80</v>
      </c>
      <c r="G264" t="str">
        <v>2022/09</v>
      </c>
      <c r="H264" t="str">
        <v>7.01</v>
      </c>
      <c r="I264" t="str">
        <v>4.47</v>
      </c>
      <c r="J264" t="str">
        <v>2022/11</v>
      </c>
      <c r="K264" t="str">
        <f t="array" ref="K264:T264">[1]!'5538.TW-OperatingProfitRatio,Price,PriceChangeRatio,InOutRatioNumber,Value,YearReturn,MonthReturn,WeekReturn,FinanceBalanceDif,ChipsField2'</f>
        <v>8.20</v>
      </c>
      <c r="L264">
        <v>42.1</v>
      </c>
      <c r="M264">
        <v>-0.47</v>
      </c>
      <c r="N264" t="str">
        <v>42.86%</v>
      </c>
      <c r="O264" t="str">
        <v>29.6萬</v>
      </c>
      <c r="P264" t="str">
        <v>-15.06</v>
      </c>
      <c r="Q264" t="str">
        <v>+3.95</v>
      </c>
      <c r="R264" t="str">
        <v>-0.59</v>
      </c>
      <c r="S264">
        <v>-3</v>
      </c>
      <c r="T264">
        <v>0</v>
      </c>
      <c r="U264">
        <f t="array" ref="U264:AD264">[1]!'5538.TW-ChipsField3,ChipsField1,ChipsField25,CashAndStockDividend,CashDividendYieldRate,ProfitFourSeason,ProfitSingle,CName,ExchangeIndustry,CompanyPos'</f>
        <v>0</v>
      </c>
      <c r="V264">
        <v>0</v>
      </c>
      <c r="W264" t="str">
        <v>2022/07/08</v>
      </c>
      <c r="X264" t="str">
        <v>3.20</v>
      </c>
      <c r="Y264">
        <v>7.6</v>
      </c>
      <c r="Z264" t="str">
        <v>5.88</v>
      </c>
      <c r="AA264" t="str">
        <v>-0.07</v>
      </c>
      <c r="AB264" t="str">
        <v>東明-KY</v>
      </c>
      <c r="AC264" t="str">
        <v>上市鋼鐵</v>
      </c>
      <c r="AD264" t="str">
        <v>大陸不鏽鋼緊固件龍頭大廠</v>
      </c>
      <c r="AE264" t="str">
        <f t="array" ref="AE264:AH264">[1]!'5538.TW-CName,InvestorConferenceDate,DateofMeetingofShareHolders,TradingDate'</f>
        <v>東明-KY</v>
      </c>
      <c r="AF264" t="str">
        <v>2022/10/26</v>
      </c>
      <c r="AG264" t="str">
        <v>2022/06/14</v>
      </c>
      <c r="AH264" t="str">
        <v>2022/12/22</v>
      </c>
    </row>
    <row r="265" spans="1:34" x14ac:dyDescent="0.3">
      <c r="A265" t="str">
        <f t="array" ref="A265:J265">[1]!'9958.TW-ID,Name,MarketValue,Capital,NetIncomeGrowthRate,OperIncomeGrowthRate,FinancialStatementsTime,TFXRatio,MonthlyNetSalesYoY,RevenueMonth'</f>
        <v>9958</v>
      </c>
      <c r="B265" t="str">
        <v>世紀鋼</v>
      </c>
      <c r="C265" t="str">
        <v>209.1</v>
      </c>
      <c r="D265" t="str">
        <v>23.24</v>
      </c>
      <c r="E265" t="str">
        <v>-64.51</v>
      </c>
      <c r="F265" t="str">
        <v>-73.01</v>
      </c>
      <c r="G265" t="str">
        <v>2022/09</v>
      </c>
      <c r="H265" t="str">
        <v>3.53</v>
      </c>
      <c r="I265" t="str">
        <v>-5.70</v>
      </c>
      <c r="J265" t="str">
        <v>2022/11</v>
      </c>
      <c r="K265" t="str">
        <f t="array" ref="K265:T265">[1]!'9958.TW-OperatingProfitRatio,Price,PriceChangeRatio,InOutRatioNumber,Value,YearReturn,MonthReturn,WeekReturn,FinanceBalanceDif,ChipsField2'</f>
        <v>6.66</v>
      </c>
      <c r="L265">
        <v>90</v>
      </c>
      <c r="M265">
        <v>7.53</v>
      </c>
      <c r="N265" t="str">
        <v>71.66%</v>
      </c>
      <c r="O265" t="str">
        <v>5.76億</v>
      </c>
      <c r="P265" t="str">
        <v>-18.02</v>
      </c>
      <c r="Q265" t="str">
        <v>+4.29</v>
      </c>
      <c r="R265" t="str">
        <v>-0.33</v>
      </c>
      <c r="S265">
        <v>-110</v>
      </c>
      <c r="T265">
        <v>0</v>
      </c>
      <c r="U265">
        <f t="array" ref="U265:AD265">[1]!'9958.TW-ChipsField3,ChipsField1,ChipsField25,CashAndStockDividend,CashDividendYieldRate,ProfitFourSeason,ProfitSingle,CName,ExchangeIndustry,CompanyPos'</f>
        <v>27</v>
      </c>
      <c r="V265">
        <v>640</v>
      </c>
      <c r="W265" t="str">
        <v>2022/09/20</v>
      </c>
      <c r="X265" t="str">
        <v>2.99</v>
      </c>
      <c r="Y265">
        <v>3.32</v>
      </c>
      <c r="Z265" t="str">
        <v>3.00</v>
      </c>
      <c r="AA265" t="str">
        <v>0.68</v>
      </c>
      <c r="AB265" t="str">
        <v>世紀鋼</v>
      </c>
      <c r="AC265" t="str">
        <v>上市鋼鐵</v>
      </c>
      <c r="AD265" t="str">
        <v>主要承建電子產業鋼構工程之廠商</v>
      </c>
      <c r="AE265" t="str">
        <f t="array" ref="AE265:AH265">[1]!'9958.TW-CName,InvestorConferenceDate,DateofMeetingofShareHolders,TradingDate'</f>
        <v>世紀鋼</v>
      </c>
      <c r="AF265" t="str">
        <v>--</v>
      </c>
      <c r="AG265" t="str">
        <v>2022/06/24</v>
      </c>
      <c r="AH265" t="str">
        <v>2022/12/22</v>
      </c>
    </row>
    <row r="266" spans="1:34" x14ac:dyDescent="0.3">
      <c r="A266" t="str">
        <f t="array" ref="A266:J266">[1]!'2101.TW-ID,Name,MarketValue,Capital,NetIncomeGrowthRate,OperIncomeGrowthRate,FinancialStatementsTime,TFXRatio,MonthlyNetSalesYoY,RevenueMonth'</f>
        <v>2101</v>
      </c>
      <c r="B266" t="str">
        <v>南港</v>
      </c>
      <c r="C266" t="str">
        <v>281.9</v>
      </c>
      <c r="D266" t="str">
        <v>83.39</v>
      </c>
      <c r="E266" t="str">
        <v>-282.88</v>
      </c>
      <c r="F266" t="str">
        <v>58.17</v>
      </c>
      <c r="G266" t="str">
        <v>2022/09</v>
      </c>
      <c r="H266" t="str">
        <v>-8.37</v>
      </c>
      <c r="I266" t="str">
        <v>-25.84</v>
      </c>
      <c r="J266" t="str">
        <v>2022/11</v>
      </c>
      <c r="K266" t="str">
        <f t="array" ref="K266:T266">[1]!'2101.TW-OperatingProfitRatio,Price,PriceChangeRatio,InOutRatioNumber,Value,YearReturn,MonthReturn,WeekReturn,FinanceBalanceDif,ChipsField2'</f>
        <v>-4.42</v>
      </c>
      <c r="L266">
        <v>33.799999999999997</v>
      </c>
      <c r="M266">
        <v>0</v>
      </c>
      <c r="N266" t="str">
        <v>38.42%</v>
      </c>
      <c r="O266" t="str">
        <v>1304萬</v>
      </c>
      <c r="P266" t="str">
        <v>-12.66</v>
      </c>
      <c r="Q266" t="str">
        <v>-3.43</v>
      </c>
      <c r="R266" t="str">
        <v>-2.03</v>
      </c>
      <c r="S266">
        <v>0</v>
      </c>
      <c r="T266">
        <v>0</v>
      </c>
      <c r="U266">
        <f t="array" ref="U266:AD266">[1]!'2101.TW-ChipsField3,ChipsField1,ChipsField25,CashAndStockDividend,CashDividendYieldRate,ProfitFourSeason,ProfitSingle,CName,ExchangeIndustry,CompanyPos'</f>
        <v>-42</v>
      </c>
      <c r="V266">
        <v>-100</v>
      </c>
      <c r="W266" t="str">
        <v>--</v>
      </c>
      <c r="X266" t="str">
        <v>0.00</v>
      </c>
      <c r="Y266">
        <v>0</v>
      </c>
      <c r="Z266" t="str">
        <v>-1.29</v>
      </c>
      <c r="AA266" t="str">
        <v>-0.09</v>
      </c>
      <c r="AB266" t="str">
        <v>南港</v>
      </c>
      <c r="AC266" t="str">
        <v>上市橡膠</v>
      </c>
      <c r="AD266" t="str">
        <v>台灣擁有土地資產的老牌輪胎廠</v>
      </c>
      <c r="AE266" t="str">
        <f t="array" ref="AE266:AH266">[1]!'2101.TW-CName,InvestorConferenceDate,DateofMeetingofShareHolders,TradingDate'</f>
        <v>南港</v>
      </c>
      <c r="AF266" t="str">
        <v>2022/11/07</v>
      </c>
      <c r="AG266" t="str">
        <v>2022/05/18</v>
      </c>
      <c r="AH266" t="str">
        <v>2022/12/22</v>
      </c>
    </row>
    <row r="267" spans="1:34" x14ac:dyDescent="0.3">
      <c r="A267" t="str">
        <f t="array" ref="A267:J267">[1]!'2102.TW-ID,Name,MarketValue,Capital,NetIncomeGrowthRate,OperIncomeGrowthRate,FinancialStatementsTime,TFXRatio,MonthlyNetSalesYoY,RevenueMonth'</f>
        <v>2102</v>
      </c>
      <c r="B267" t="str">
        <v>泰豐</v>
      </c>
      <c r="C267" t="str">
        <v>98.0</v>
      </c>
      <c r="D267" t="str">
        <v>47.33</v>
      </c>
      <c r="E267" t="str">
        <v>76.30</v>
      </c>
      <c r="F267" t="str">
        <v>66.74</v>
      </c>
      <c r="G267" t="str">
        <v>2022/09</v>
      </c>
      <c r="H267" t="str">
        <v>9.66</v>
      </c>
      <c r="I267" t="str">
        <v>15.26</v>
      </c>
      <c r="J267" t="str">
        <v>2022/11</v>
      </c>
      <c r="K267" t="str">
        <f t="array" ref="K267:T267">[1]!'2102.TW-OperatingProfitRatio,Price,PriceChangeRatio,InOutRatioNumber,Value,YearReturn,MonthReturn,WeekReturn,FinanceBalanceDif,ChipsField2'</f>
        <v>-39.41</v>
      </c>
      <c r="L267">
        <v>20.7</v>
      </c>
      <c r="M267">
        <v>-0.96</v>
      </c>
      <c r="N267" t="str">
        <v>35.84%</v>
      </c>
      <c r="O267" t="str">
        <v>367萬</v>
      </c>
      <c r="P267" t="str">
        <v>-23.90</v>
      </c>
      <c r="Q267" t="str">
        <v>+3.76</v>
      </c>
      <c r="R267" t="str">
        <v>-2.59</v>
      </c>
      <c r="S267">
        <v>-44</v>
      </c>
      <c r="T267">
        <v>0</v>
      </c>
      <c r="U267">
        <f t="array" ref="U267:AD267">[1]!'2102.TW-ChipsField3,ChipsField1,ChipsField25,CashAndStockDividend,CashDividendYieldRate,ProfitFourSeason,ProfitSingle,CName,ExchangeIndustry,CompanyPos'</f>
        <v>-19</v>
      </c>
      <c r="V267">
        <v>377</v>
      </c>
      <c r="W267" t="str">
        <v>--</v>
      </c>
      <c r="X267" t="str">
        <v>0.00</v>
      </c>
      <c r="Y267">
        <v>0</v>
      </c>
      <c r="Z267" t="str">
        <v>-2.02</v>
      </c>
      <c r="AA267" t="str">
        <v>-0.28</v>
      </c>
      <c r="AB267" t="str">
        <v>泰豐</v>
      </c>
      <c r="AC267" t="str">
        <v>上市橡膠</v>
      </c>
      <c r="AD267" t="str">
        <v>台灣輪胎製造商</v>
      </c>
      <c r="AE267" t="str">
        <f t="array" ref="AE267:AH267">[1]!'2102.TW-CName,InvestorConferenceDate,DateofMeetingofShareHolders,TradingDate'</f>
        <v>泰豐</v>
      </c>
      <c r="AF267" t="str">
        <v>2022/10/12</v>
      </c>
      <c r="AG267" t="str">
        <v>2022/06/15</v>
      </c>
      <c r="AH267" t="str">
        <v>2022/12/22</v>
      </c>
    </row>
    <row r="268" spans="1:34" x14ac:dyDescent="0.3">
      <c r="A268" t="str">
        <f t="array" ref="A268:J268">[1]!'2103.TW-ID,Name,MarketValue,Capital,NetIncomeGrowthRate,OperIncomeGrowthRate,FinancialStatementsTime,TFXRatio,MonthlyNetSalesYoY,RevenueMonth'</f>
        <v>2103</v>
      </c>
      <c r="B268" t="str">
        <v>台橡</v>
      </c>
      <c r="C268" t="str">
        <v>225.0</v>
      </c>
      <c r="D268" t="str">
        <v>82.57</v>
      </c>
      <c r="E268" t="str">
        <v>-44.82</v>
      </c>
      <c r="F268" t="str">
        <v>-17.74</v>
      </c>
      <c r="G268" t="str">
        <v>2022/09</v>
      </c>
      <c r="H268" t="str">
        <v>1.06</v>
      </c>
      <c r="I268" t="str">
        <v>-11.71</v>
      </c>
      <c r="J268" t="str">
        <v>2022/11</v>
      </c>
      <c r="K268" t="str">
        <f t="array" ref="K268:T268">[1]!'2103.TW-OperatingProfitRatio,Price,PriceChangeRatio,InOutRatioNumber,Value,YearReturn,MonthReturn,WeekReturn,FinanceBalanceDif,ChipsField2'</f>
        <v>9.26</v>
      </c>
      <c r="L268">
        <v>27.25</v>
      </c>
      <c r="M268">
        <v>1.1100000000000001</v>
      </c>
      <c r="N268" t="str">
        <v>43.86%</v>
      </c>
      <c r="O268" t="str">
        <v>1089萬</v>
      </c>
      <c r="P268" t="str">
        <v>-30.63</v>
      </c>
      <c r="Q268" t="str">
        <v>+2.83</v>
      </c>
      <c r="R268" t="str">
        <v>-2.68</v>
      </c>
      <c r="S268">
        <v>-8</v>
      </c>
      <c r="T268">
        <v>0</v>
      </c>
      <c r="U268">
        <f t="array" ref="U268:AD268">[1]!'2103.TW-ChipsField3,ChipsField1,ChipsField25,CashAndStockDividend,CashDividendYieldRate,ProfitFourSeason,ProfitSingle,CName,ExchangeIndustry,CompanyPos'</f>
        <v>-20</v>
      </c>
      <c r="V268">
        <v>-137</v>
      </c>
      <c r="W268" t="str">
        <v>2022/07/19</v>
      </c>
      <c r="X268" t="str">
        <v>2.40</v>
      </c>
      <c r="Y268">
        <v>8.81</v>
      </c>
      <c r="Z268" t="str">
        <v>2.89</v>
      </c>
      <c r="AA268" t="str">
        <v>0.48</v>
      </c>
      <c r="AB268" t="str">
        <v>台橡</v>
      </c>
      <c r="AC268" t="str">
        <v>上市橡膠</v>
      </c>
      <c r="AD268" t="str">
        <v>全球前七大橡膠生產製造商</v>
      </c>
      <c r="AE268" t="str">
        <f t="array" ref="AE268:AH268">[1]!'2103.TW-CName,InvestorConferenceDate,DateofMeetingofShareHolders,TradingDate'</f>
        <v>台橡</v>
      </c>
      <c r="AF268" t="str">
        <v>2022/11/04</v>
      </c>
      <c r="AG268" t="str">
        <v>2022/06/17</v>
      </c>
      <c r="AH268" t="str">
        <v>2022/12/22</v>
      </c>
    </row>
    <row r="269" spans="1:34" x14ac:dyDescent="0.3">
      <c r="A269" t="str">
        <f t="array" ref="A269:J269">[1]!'2104.TW-ID,Name,MarketValue,Capital,NetIncomeGrowthRate,OperIncomeGrowthRate,FinancialStatementsTime,TFXRatio,MonthlyNetSalesYoY,RevenueMonth'</f>
        <v>2104</v>
      </c>
      <c r="B269" t="str">
        <v>國際中橡</v>
      </c>
      <c r="C269" t="str">
        <v>191.5</v>
      </c>
      <c r="D269" t="str">
        <v>98.47</v>
      </c>
      <c r="E269" t="str">
        <v>-37.20</v>
      </c>
      <c r="F269" t="str">
        <v>-8.33</v>
      </c>
      <c r="G269" t="str">
        <v>2022/09</v>
      </c>
      <c r="H269" t="str">
        <v>-21.63</v>
      </c>
      <c r="I269" t="str">
        <v>-62.88</v>
      </c>
      <c r="J269" t="str">
        <v>2022/11</v>
      </c>
      <c r="K269" t="str">
        <f t="array" ref="K269:T269">[1]!'2104.TW-OperatingProfitRatio,Price,PriceChangeRatio,InOutRatioNumber,Value,YearReturn,MonthReturn,WeekReturn,FinanceBalanceDif,ChipsField2'</f>
        <v>8.24</v>
      </c>
      <c r="L269">
        <v>19.45</v>
      </c>
      <c r="M269">
        <v>1.04</v>
      </c>
      <c r="N269" t="str">
        <v>66.42%</v>
      </c>
      <c r="O269" t="str">
        <v>1902萬</v>
      </c>
      <c r="P269" t="str">
        <v>-27.89</v>
      </c>
      <c r="Q269" t="str">
        <v>-5.35</v>
      </c>
      <c r="R269" t="str">
        <v>-2.99</v>
      </c>
      <c r="S269">
        <v>-19</v>
      </c>
      <c r="T269">
        <v>0</v>
      </c>
      <c r="U269">
        <f t="array" ref="U269:AD269">[1]!'2104.TW-ChipsField3,ChipsField1,ChipsField25,CashAndStockDividend,CashDividendYieldRate,ProfitFourSeason,ProfitSingle,CName,ExchangeIndustry,CompanyPos'</f>
        <v>-38</v>
      </c>
      <c r="V269">
        <v>129</v>
      </c>
      <c r="W269" t="str">
        <v>2022/06/23</v>
      </c>
      <c r="X269" t="str">
        <v>0.20</v>
      </c>
      <c r="Y269">
        <v>1.03</v>
      </c>
      <c r="Z269" t="str">
        <v>2.87</v>
      </c>
      <c r="AA269" t="str">
        <v>0.57</v>
      </c>
      <c r="AB269" t="str">
        <v>國際中橡</v>
      </c>
      <c r="AC269" t="str">
        <v>上市橡膠</v>
      </c>
      <c r="AD269" t="str">
        <v>全球市佔率前五大的碳煙公司</v>
      </c>
      <c r="AE269" t="str">
        <f t="array" ref="AE269:AH269">[1]!'2104.TW-CName,InvestorConferenceDate,DateofMeetingofShareHolders,TradingDate'</f>
        <v>國際中橡</v>
      </c>
      <c r="AF269" t="str">
        <v>2022/11/14</v>
      </c>
      <c r="AG269" t="str">
        <v>2022/05/27</v>
      </c>
      <c r="AH269" t="str">
        <v>2022/12/22</v>
      </c>
    </row>
    <row r="270" spans="1:34" x14ac:dyDescent="0.3">
      <c r="A270" t="str">
        <f t="array" ref="A270:J270">[1]!'2105.TW-ID,Name,MarketValue,Capital,NetIncomeGrowthRate,OperIncomeGrowthRate,FinancialStatementsTime,TFXRatio,MonthlyNetSalesYoY,RevenueMonth'</f>
        <v>2105</v>
      </c>
      <c r="B270" t="str">
        <v>正新</v>
      </c>
      <c r="C270" t="str">
        <v>1102.1</v>
      </c>
      <c r="D270" t="str">
        <v>324.14</v>
      </c>
      <c r="E270" t="str">
        <v>-7.18</v>
      </c>
      <c r="F270" t="str">
        <v>-11.03</v>
      </c>
      <c r="G270" t="str">
        <v>2022/09</v>
      </c>
      <c r="H270" t="str">
        <v>-1.99</v>
      </c>
      <c r="I270" t="str">
        <v>-4.63</v>
      </c>
      <c r="J270" t="str">
        <v>2022/11</v>
      </c>
      <c r="K270" t="str">
        <f t="array" ref="K270:T270">[1]!'2105.TW-OperatingProfitRatio,Price,PriceChangeRatio,InOutRatioNumber,Value,YearReturn,MonthReturn,WeekReturn,FinanceBalanceDif,ChipsField2'</f>
        <v>7.43</v>
      </c>
      <c r="L270">
        <v>34</v>
      </c>
      <c r="M270">
        <v>1.19</v>
      </c>
      <c r="N270" t="str">
        <v>50.36%</v>
      </c>
      <c r="O270" t="str">
        <v>4773萬</v>
      </c>
      <c r="P270" t="str">
        <v>-1.16</v>
      </c>
      <c r="Q270" t="str">
        <v>+0.74</v>
      </c>
      <c r="R270" t="str">
        <v>-1.59</v>
      </c>
      <c r="S270">
        <v>22</v>
      </c>
      <c r="T270">
        <v>-740</v>
      </c>
      <c r="U270">
        <f t="array" ref="U270:AD270">[1]!'2105.TW-ChipsField3,ChipsField1,ChipsField25,CashAndStockDividend,CashDividendYieldRate,ProfitFourSeason,ProfitSingle,CName,ExchangeIndustry,CompanyPos'</f>
        <v>-329</v>
      </c>
      <c r="V270">
        <v>567</v>
      </c>
      <c r="W270" t="str">
        <v>2022/07/25</v>
      </c>
      <c r="X270" t="str">
        <v>1.20</v>
      </c>
      <c r="Y270">
        <v>3.53</v>
      </c>
      <c r="Z270" t="str">
        <v>1.53</v>
      </c>
      <c r="AA270" t="str">
        <v>0.47</v>
      </c>
      <c r="AB270" t="str">
        <v>正新</v>
      </c>
      <c r="AC270" t="str">
        <v>上市橡膠</v>
      </c>
      <c r="AD270" t="str">
        <v>台灣最大、全球前十大輪胎製造商</v>
      </c>
      <c r="AE270" t="str">
        <f t="array" ref="AE270:AH270">[1]!'2105.TW-CName,InvestorConferenceDate,DateofMeetingofShareHolders,TradingDate'</f>
        <v>正新</v>
      </c>
      <c r="AF270" t="str">
        <v>2021/12/27</v>
      </c>
      <c r="AG270" t="str">
        <v>2022/05/31</v>
      </c>
      <c r="AH270" t="str">
        <v>2022/12/22</v>
      </c>
    </row>
    <row r="271" spans="1:34" x14ac:dyDescent="0.3">
      <c r="A271" t="str">
        <f t="array" ref="A271:J271">[1]!'2106.TW-ID,Name,MarketValue,Capital,NetIncomeGrowthRate,OperIncomeGrowthRate,FinancialStatementsTime,TFXRatio,MonthlyNetSalesYoY,RevenueMonth'</f>
        <v>2106</v>
      </c>
      <c r="B271" t="str">
        <v>建大</v>
      </c>
      <c r="C271" t="str">
        <v>274.2</v>
      </c>
      <c r="D271" t="str">
        <v>90.94</v>
      </c>
      <c r="E271" t="str">
        <v>-33.72</v>
      </c>
      <c r="F271" t="str">
        <v>-68.93</v>
      </c>
      <c r="G271" t="str">
        <v>2022/09</v>
      </c>
      <c r="H271" t="str">
        <v>-13.51</v>
      </c>
      <c r="I271" t="str">
        <v>2.47</v>
      </c>
      <c r="J271" t="str">
        <v>2022/11</v>
      </c>
      <c r="K271" t="str">
        <f t="array" ref="K271:T271">[1]!'2106.TW-OperatingProfitRatio,Price,PriceChangeRatio,InOutRatioNumber,Value,YearReturn,MonthReturn,WeekReturn,FinanceBalanceDif,ChipsField2'</f>
        <v>1.74</v>
      </c>
      <c r="L271">
        <v>30.15</v>
      </c>
      <c r="M271">
        <v>0</v>
      </c>
      <c r="N271" t="str">
        <v>19.88%</v>
      </c>
      <c r="O271" t="str">
        <v>996萬</v>
      </c>
      <c r="P271" t="str">
        <v>+2.16</v>
      </c>
      <c r="Q271" t="str">
        <v>-1.95</v>
      </c>
      <c r="R271" t="str">
        <v>-0.99</v>
      </c>
      <c r="S271">
        <v>-9</v>
      </c>
      <c r="T271">
        <v>0</v>
      </c>
      <c r="U271">
        <f t="array" ref="U271:AD271">[1]!'2106.TW-ChipsField3,ChipsField1,ChipsField25,CashAndStockDividend,CashDividendYieldRate,ProfitFourSeason,ProfitSingle,CName,ExchangeIndustry,CompanyPos'</f>
        <v>-11</v>
      </c>
      <c r="V271">
        <v>-68</v>
      </c>
      <c r="W271" t="str">
        <v>2022/09/05</v>
      </c>
      <c r="X271" t="str">
        <v>1.00</v>
      </c>
      <c r="Y271">
        <v>3.32</v>
      </c>
      <c r="Z271" t="str">
        <v>0.52</v>
      </c>
      <c r="AA271" t="str">
        <v>0.25</v>
      </c>
      <c r="AB271" t="str">
        <v>建大</v>
      </c>
      <c r="AC271" t="str">
        <v>上市橡膠</v>
      </c>
      <c r="AD271" t="str">
        <v>台灣第二大輪胎廠</v>
      </c>
      <c r="AE271" t="str">
        <f t="array" ref="AE271:AH271">[1]!'2106.TW-CName,InvestorConferenceDate,DateofMeetingofShareHolders,TradingDate'</f>
        <v>建大</v>
      </c>
      <c r="AF271" t="str">
        <v>--</v>
      </c>
      <c r="AG271" t="str">
        <v>2022/06/30</v>
      </c>
      <c r="AH271" t="str">
        <v>2022/12/22</v>
      </c>
    </row>
    <row r="272" spans="1:34" x14ac:dyDescent="0.3">
      <c r="A272" t="str">
        <f t="array" ref="A272:J272">[1]!'2107.TW-ID,Name,MarketValue,Capital,NetIncomeGrowthRate,OperIncomeGrowthRate,FinancialStatementsTime,TFXRatio,MonthlyNetSalesYoY,RevenueMonth'</f>
        <v>2107</v>
      </c>
      <c r="B272" t="str">
        <v>厚生</v>
      </c>
      <c r="C272" t="str">
        <v>73.7</v>
      </c>
      <c r="D272" t="str">
        <v>33.73</v>
      </c>
      <c r="E272" t="str">
        <v>22.00</v>
      </c>
      <c r="F272" t="str">
        <v>-31.85</v>
      </c>
      <c r="G272" t="str">
        <v>2022/09</v>
      </c>
      <c r="H272" t="str">
        <v>26.81</v>
      </c>
      <c r="I272" t="str">
        <v>-1.76</v>
      </c>
      <c r="J272" t="str">
        <v>2022/11</v>
      </c>
      <c r="K272" t="str">
        <f t="array" ref="K272:T272">[1]!'2107.TW-OperatingProfitRatio,Price,PriceChangeRatio,InOutRatioNumber,Value,YearReturn,MonthReturn,WeekReturn,FinanceBalanceDif,ChipsField2'</f>
        <v>21.69</v>
      </c>
      <c r="L272">
        <v>21.85</v>
      </c>
      <c r="M272">
        <v>0.69</v>
      </c>
      <c r="N272" t="str">
        <v>46.67%</v>
      </c>
      <c r="O272" t="str">
        <v>43.7萬</v>
      </c>
      <c r="P272" t="str">
        <v>+2.74</v>
      </c>
      <c r="Q272" t="str">
        <v>+2.82</v>
      </c>
      <c r="R272" t="str">
        <v>-0.46</v>
      </c>
      <c r="S272">
        <v>-1</v>
      </c>
      <c r="T272">
        <v>0</v>
      </c>
      <c r="U272">
        <f t="array" ref="U272:AD272">[1]!'2107.TW-ChipsField3,ChipsField1,ChipsField25,CashAndStockDividend,CashDividendYieldRate,ProfitFourSeason,ProfitSingle,CName,ExchangeIndustry,CompanyPos'</f>
        <v>-4</v>
      </c>
      <c r="V272">
        <v>7</v>
      </c>
      <c r="W272" t="str">
        <v>2022/07/01</v>
      </c>
      <c r="X272" t="str">
        <v>1.20</v>
      </c>
      <c r="Y272">
        <v>5.49</v>
      </c>
      <c r="Z272" t="str">
        <v>2.65</v>
      </c>
      <c r="AA272" t="str">
        <v>0.94</v>
      </c>
      <c r="AB272" t="str">
        <v>厚生</v>
      </c>
      <c r="AC272" t="str">
        <v>上市橡膠</v>
      </c>
      <c r="AD272" t="str">
        <v>主要從事營建與倉儲業務，也從事於橡膠與塑膠皮加工</v>
      </c>
      <c r="AE272" t="str">
        <f t="array" ref="AE272:AH272">[1]!'2107.TW-CName,InvestorConferenceDate,DateofMeetingofShareHolders,TradingDate'</f>
        <v>厚生</v>
      </c>
      <c r="AF272" t="str">
        <v>2022/12/02</v>
      </c>
      <c r="AG272" t="str">
        <v>2022/06/08</v>
      </c>
      <c r="AH272" t="str">
        <v>2022/12/22</v>
      </c>
    </row>
    <row r="273" spans="1:34" x14ac:dyDescent="0.3">
      <c r="A273" t="str">
        <f t="array" ref="A273:J273">[1]!'2108.TW-ID,Name,MarketValue,Capital,NetIncomeGrowthRate,OperIncomeGrowthRate,FinancialStatementsTime,TFXRatio,MonthlyNetSalesYoY,RevenueMonth'</f>
        <v>2108</v>
      </c>
      <c r="B273" t="str">
        <v>南帝</v>
      </c>
      <c r="C273" t="str">
        <v>188.6</v>
      </c>
      <c r="D273" t="str">
        <v>49.24</v>
      </c>
      <c r="E273" t="str">
        <v>-81.68</v>
      </c>
      <c r="F273" t="str">
        <v>-85.50</v>
      </c>
      <c r="G273" t="str">
        <v>2022/09</v>
      </c>
      <c r="H273" t="str">
        <v>1.37</v>
      </c>
      <c r="I273" t="str">
        <v>-39.24</v>
      </c>
      <c r="J273" t="str">
        <v>2022/11</v>
      </c>
      <c r="K273" t="str">
        <f t="array" ref="K273:T273">[1]!'2108.TW-OperatingProfitRatio,Price,PriceChangeRatio,InOutRatioNumber,Value,YearReturn,MonthReturn,WeekReturn,FinanceBalanceDif,ChipsField2'</f>
        <v>13.56</v>
      </c>
      <c r="L273">
        <v>38.299999999999997</v>
      </c>
      <c r="M273">
        <v>1.73</v>
      </c>
      <c r="N273" t="str">
        <v>44.75%</v>
      </c>
      <c r="O273" t="str">
        <v>2368萬</v>
      </c>
      <c r="P273" t="str">
        <v>-51.40</v>
      </c>
      <c r="Q273" t="str">
        <v>+5.51</v>
      </c>
      <c r="R273" t="str">
        <v>+0.13</v>
      </c>
      <c r="S273">
        <v>52</v>
      </c>
      <c r="T273">
        <v>1</v>
      </c>
      <c r="U273">
        <f t="array" ref="U273:AD273">[1]!'2108.TW-ChipsField3,ChipsField1,ChipsField25,CashAndStockDividend,CashDividendYieldRate,ProfitFourSeason,ProfitSingle,CName,ExchangeIndustry,CompanyPos'</f>
        <v>-403</v>
      </c>
      <c r="V273">
        <v>-332</v>
      </c>
      <c r="W273" t="str">
        <v>2022/03/24</v>
      </c>
      <c r="X273" t="str">
        <v>7.00</v>
      </c>
      <c r="Y273">
        <v>18.28</v>
      </c>
      <c r="Z273" t="str">
        <v>3.58</v>
      </c>
      <c r="AA273" t="str">
        <v>0.33</v>
      </c>
      <c r="AB273" t="str">
        <v>南帝</v>
      </c>
      <c r="AC273" t="str">
        <v>上市橡膠</v>
      </c>
      <c r="AD273" t="str">
        <v>全球前五大NBR乳膠廠</v>
      </c>
      <c r="AE273" t="str">
        <f t="array" ref="AE273:AH273">[1]!'2108.TW-CName,InvestorConferenceDate,DateofMeetingofShareHolders,TradingDate'</f>
        <v>南帝</v>
      </c>
      <c r="AF273" t="str">
        <v>2022/08/26</v>
      </c>
      <c r="AG273" t="str">
        <v>2022/05/26</v>
      </c>
      <c r="AH273" t="str">
        <v>2022/12/22</v>
      </c>
    </row>
    <row r="274" spans="1:34" x14ac:dyDescent="0.3">
      <c r="A274" t="str">
        <f t="array" ref="A274:J274">[1]!'2109.TW-ID,Name,MarketValue,Capital,NetIncomeGrowthRate,OperIncomeGrowthRate,FinancialStatementsTime,TFXRatio,MonthlyNetSalesYoY,RevenueMonth'</f>
        <v>2109</v>
      </c>
      <c r="B274" t="str">
        <v>華豐</v>
      </c>
      <c r="C274" t="str">
        <v>40.2</v>
      </c>
      <c r="D274" t="str">
        <v>27.93</v>
      </c>
      <c r="E274" t="str">
        <v>0.55</v>
      </c>
      <c r="F274" t="str">
        <v>-15.94</v>
      </c>
      <c r="G274" t="str">
        <v>2022/09</v>
      </c>
      <c r="H274" t="str">
        <v>-5.65</v>
      </c>
      <c r="I274" t="str">
        <v>-19.68</v>
      </c>
      <c r="J274" t="str">
        <v>2022/11</v>
      </c>
      <c r="K274" t="str">
        <f t="array" ref="K274:T274">[1]!'2109.TW-OperatingProfitRatio,Price,PriceChangeRatio,InOutRatioNumber,Value,YearReturn,MonthReturn,WeekReturn,FinanceBalanceDif,ChipsField2'</f>
        <v>10.99</v>
      </c>
      <c r="L274">
        <v>14.4</v>
      </c>
      <c r="M274">
        <v>-0.35</v>
      </c>
      <c r="N274" t="str">
        <v>17.91%</v>
      </c>
      <c r="O274" t="str">
        <v>96.9萬</v>
      </c>
      <c r="P274" t="str">
        <v>-9.06</v>
      </c>
      <c r="Q274" t="str">
        <v>-2.37</v>
      </c>
      <c r="R274" t="str">
        <v>-1.71</v>
      </c>
      <c r="S274">
        <v>0</v>
      </c>
      <c r="T274">
        <v>0</v>
      </c>
      <c r="U274">
        <f t="array" ref="U274:AD274">[1]!'2109.TW-ChipsField3,ChipsField1,ChipsField25,CashAndStockDividend,CashDividendYieldRate,ProfitFourSeason,ProfitSingle,CName,ExchangeIndustry,CompanyPos'</f>
        <v>-8</v>
      </c>
      <c r="V274">
        <v>-3</v>
      </c>
      <c r="W274" t="str">
        <v>2022/09/15</v>
      </c>
      <c r="X274" t="str">
        <v>0.50</v>
      </c>
      <c r="Y274">
        <v>6.94</v>
      </c>
      <c r="Z274" t="str">
        <v>1.29</v>
      </c>
      <c r="AA274" t="str">
        <v>0.50</v>
      </c>
      <c r="AB274" t="str">
        <v>華豐</v>
      </c>
      <c r="AC274" t="str">
        <v>上市橡膠</v>
      </c>
      <c r="AD274" t="str">
        <v>台灣前六大輪胎廠</v>
      </c>
      <c r="AE274" t="str">
        <f t="array" ref="AE274:AH274">[1]!'2109.TW-CName,InvestorConferenceDate,DateofMeetingofShareHolders,TradingDate'</f>
        <v>華豐</v>
      </c>
      <c r="AF274" t="str">
        <v>2022/12/05</v>
      </c>
      <c r="AG274" t="str">
        <v>2022/06/14</v>
      </c>
      <c r="AH274" t="str">
        <v>2022/12/22</v>
      </c>
    </row>
    <row r="275" spans="1:34" x14ac:dyDescent="0.3">
      <c r="A275" t="str">
        <f t="array" ref="A275:J275">[1]!'2114.TW-ID,Name,MarketValue,Capital,NetIncomeGrowthRate,OperIncomeGrowthRate,FinancialStatementsTime,TFXRatio,MonthlyNetSalesYoY,RevenueMonth'</f>
        <v>2114</v>
      </c>
      <c r="B275" t="str">
        <v>鑫永銓</v>
      </c>
      <c r="C275" t="str">
        <v>76.1</v>
      </c>
      <c r="D275" t="str">
        <v>7.80</v>
      </c>
      <c r="E275" t="str">
        <v>-65.70</v>
      </c>
      <c r="F275" t="str">
        <v>15.75</v>
      </c>
      <c r="G275" t="str">
        <v>2022/09</v>
      </c>
      <c r="H275" t="str">
        <v>-0.22</v>
      </c>
      <c r="I275" t="str">
        <v>-17.92</v>
      </c>
      <c r="J275" t="str">
        <v>2022/11</v>
      </c>
      <c r="K275" t="str">
        <f t="array" ref="K275:T275">[1]!'2114.TW-OperatingProfitRatio,Price,PriceChangeRatio,InOutRatioNumber,Value,YearReturn,MonthReturn,WeekReturn,FinanceBalanceDif,ChipsField2'</f>
        <v>31.99</v>
      </c>
      <c r="L275">
        <v>97.6</v>
      </c>
      <c r="M275">
        <v>-0.81</v>
      </c>
      <c r="N275" t="str">
        <v>0.00%</v>
      </c>
      <c r="O275" t="str">
        <v>9.76萬</v>
      </c>
      <c r="P275" t="str">
        <v>-13.55</v>
      </c>
      <c r="Q275" t="str">
        <v>+1.88</v>
      </c>
      <c r="R275" t="str">
        <v>-1.91</v>
      </c>
      <c r="S275">
        <v>-2</v>
      </c>
      <c r="T275">
        <v>0</v>
      </c>
      <c r="U275">
        <f t="array" ref="U275:AD275">[1]!'2114.TW-ChipsField3,ChipsField1,ChipsField25,CashAndStockDividend,CashDividendYieldRate,ProfitFourSeason,ProfitSingle,CName,ExchangeIndustry,CompanyPos'</f>
        <v>0</v>
      </c>
      <c r="V275">
        <v>2</v>
      </c>
      <c r="W275" t="str">
        <v>2022/07/12</v>
      </c>
      <c r="X275" t="str">
        <v>7.00</v>
      </c>
      <c r="Y275">
        <v>7.17</v>
      </c>
      <c r="Z275" t="str">
        <v>5.71</v>
      </c>
      <c r="AA275" t="str">
        <v>1.42</v>
      </c>
      <c r="AB275" t="str">
        <v>鑫永銓</v>
      </c>
      <c r="AC275" t="str">
        <v>上市橡膠</v>
      </c>
      <c r="AD275" t="str">
        <v>台灣最大、全球前十大橡膠輸送帶商</v>
      </c>
      <c r="AE275" t="str">
        <f t="array" ref="AE275:AH275">[1]!'2114.TW-CName,InvestorConferenceDate,DateofMeetingofShareHolders,TradingDate'</f>
        <v>鑫永銓</v>
      </c>
      <c r="AF275" t="str">
        <v>2022/12/16</v>
      </c>
      <c r="AG275" t="str">
        <v>2022/06/22</v>
      </c>
      <c r="AH275" t="str">
        <v>2022/12/22</v>
      </c>
    </row>
    <row r="276" spans="1:34" x14ac:dyDescent="0.3">
      <c r="A276" t="str">
        <f t="array" ref="A276:J276">[1]!'6582.TW-ID,Name,MarketValue,Capital,NetIncomeGrowthRate,OperIncomeGrowthRate,FinancialStatementsTime,TFXRatio,MonthlyNetSalesYoY,RevenueMonth'</f>
        <v>6582</v>
      </c>
      <c r="B276" t="str">
        <v>申豐</v>
      </c>
      <c r="C276" t="str">
        <v>61.2</v>
      </c>
      <c r="D276" t="str">
        <v>10.62</v>
      </c>
      <c r="E276" t="str">
        <v>-94.14</v>
      </c>
      <c r="F276" t="str">
        <v>-94.62</v>
      </c>
      <c r="G276" t="str">
        <v>2022/09</v>
      </c>
      <c r="H276" t="str">
        <v>7.95</v>
      </c>
      <c r="I276" t="str">
        <v>-25.63</v>
      </c>
      <c r="J276" t="str">
        <v>2022/11</v>
      </c>
      <c r="K276" t="str">
        <f t="array" ref="K276:T276">[1]!'6582.TW-OperatingProfitRatio,Price,PriceChangeRatio,InOutRatioNumber,Value,YearReturn,MonthReturn,WeekReturn,FinanceBalanceDif,ChipsField2'</f>
        <v>15.31</v>
      </c>
      <c r="L276">
        <v>57.6</v>
      </c>
      <c r="M276">
        <v>-0.17</v>
      </c>
      <c r="N276" t="str">
        <v>35.68%</v>
      </c>
      <c r="O276" t="str">
        <v>1161萬</v>
      </c>
      <c r="P276" t="str">
        <v>-58.19</v>
      </c>
      <c r="Q276" t="str">
        <v>+6.27</v>
      </c>
      <c r="R276" t="str">
        <v>-2.70</v>
      </c>
      <c r="S276">
        <v>19</v>
      </c>
      <c r="T276">
        <v>0</v>
      </c>
      <c r="U276">
        <f t="array" ref="U276:AD276">[1]!'6582.TW-ChipsField3,ChipsField1,ChipsField25,CashAndStockDividend,CashDividendYieldRate,ProfitFourSeason,ProfitSingle,CName,ExchangeIndustry,CompanyPos'</f>
        <v>-1</v>
      </c>
      <c r="V276">
        <v>-58</v>
      </c>
      <c r="W276" t="str">
        <v>2022/08/25</v>
      </c>
      <c r="X276" t="str">
        <v>15.00</v>
      </c>
      <c r="Y276">
        <v>26.04</v>
      </c>
      <c r="Z276" t="str">
        <v>4.26</v>
      </c>
      <c r="AA276" t="str">
        <v>0.61</v>
      </c>
      <c r="AB276" t="str">
        <v>申豐</v>
      </c>
      <c r="AC276" t="str">
        <v>上市橡膠</v>
      </c>
      <c r="AD276" t="str">
        <v>永豐餘旗下合成乳膠廠，全球前7大NBR乳膠廠</v>
      </c>
      <c r="AE276" t="str">
        <f t="array" ref="AE276:AH276">[1]!'6582.TW-CName,InvestorConferenceDate,DateofMeetingofShareHolders,TradingDate'</f>
        <v>申豐</v>
      </c>
      <c r="AF276" t="str">
        <v>2022/09/07</v>
      </c>
      <c r="AG276" t="str">
        <v>2022/06/29</v>
      </c>
      <c r="AH276" t="str">
        <v>2022/12/22</v>
      </c>
    </row>
    <row r="277" spans="1:34" x14ac:dyDescent="0.3">
      <c r="A277" t="str">
        <f t="array" ref="A277:J277">[1]!'1319.TW-ID,Name,MarketValue,Capital,NetIncomeGrowthRate,OperIncomeGrowthRate,FinancialStatementsTime,TFXRatio,MonthlyNetSalesYoY,RevenueMonth'</f>
        <v>1319</v>
      </c>
      <c r="B277" t="str">
        <v>東陽</v>
      </c>
      <c r="C277" t="str">
        <v>241.9</v>
      </c>
      <c r="D277" t="str">
        <v>59.15</v>
      </c>
      <c r="E277" t="str">
        <v>267.68</v>
      </c>
      <c r="F277" t="str">
        <v>194.85</v>
      </c>
      <c r="G277" t="str">
        <v>2022/09</v>
      </c>
      <c r="H277" t="str">
        <v>-0.10</v>
      </c>
      <c r="I277" t="str">
        <v>7.36</v>
      </c>
      <c r="J277" t="str">
        <v>2022/11</v>
      </c>
      <c r="K277" t="str">
        <f t="array" ref="K277:T277">[1]!'1319.TW-OperatingProfitRatio,Price,PriceChangeRatio,InOutRatioNumber,Value,YearReturn,MonthReturn,WeekReturn,FinanceBalanceDif,ChipsField2'</f>
        <v>8.14</v>
      </c>
      <c r="L277">
        <v>40.9</v>
      </c>
      <c r="M277">
        <v>-0.49</v>
      </c>
      <c r="N277" t="str">
        <v>50.77%</v>
      </c>
      <c r="O277" t="str">
        <v>1.88億</v>
      </c>
      <c r="P277" t="str">
        <v>+27.51</v>
      </c>
      <c r="Q277" t="str">
        <v>-10.99</v>
      </c>
      <c r="R277" t="str">
        <v>-16.53</v>
      </c>
      <c r="S277">
        <v>97</v>
      </c>
      <c r="T277">
        <v>-500</v>
      </c>
      <c r="U277">
        <f t="array" ref="U277:AD277">[1]!'1319.TW-ChipsField3,ChipsField1,ChipsField25,CashAndStockDividend,CashDividendYieldRate,ProfitFourSeason,ProfitSingle,CName,ExchangeIndustry,CompanyPos'</f>
        <v>-158</v>
      </c>
      <c r="V277">
        <v>-1250</v>
      </c>
      <c r="W277" t="str">
        <v>2022/06/23</v>
      </c>
      <c r="X277" t="str">
        <v>0.85</v>
      </c>
      <c r="Y277">
        <v>2.08</v>
      </c>
      <c r="Z277" t="str">
        <v>3.37</v>
      </c>
      <c r="AA277" t="str">
        <v>1.18</v>
      </c>
      <c r="AB277" t="str">
        <v>東陽</v>
      </c>
      <c r="AC277" t="str">
        <v>上市汽車</v>
      </c>
      <c r="AD277" t="str">
        <v>全球第一大汽車AM塑膠件製造商</v>
      </c>
      <c r="AE277" t="str">
        <f t="array" ref="AE277:AH277">[1]!'1319.TW-CName,InvestorConferenceDate,DateofMeetingofShareHolders,TradingDate'</f>
        <v>東陽</v>
      </c>
      <c r="AF277" t="str">
        <v>2021/07/09</v>
      </c>
      <c r="AG277" t="str">
        <v>2022/06/17</v>
      </c>
      <c r="AH277" t="str">
        <v>2022/12/22</v>
      </c>
    </row>
    <row r="278" spans="1:34" x14ac:dyDescent="0.3">
      <c r="A278" t="str">
        <f t="array" ref="A278:J278">[1]!'1338.TW-ID,Name,MarketValue,Capital,NetIncomeGrowthRate,OperIncomeGrowthRate,FinancialStatementsTime,TFXRatio,MonthlyNetSalesYoY,RevenueMonth'</f>
        <v>1338</v>
      </c>
      <c r="B278" t="str">
        <v>廣華-KY</v>
      </c>
      <c r="C278" t="str">
        <v>36.6</v>
      </c>
      <c r="D278" t="str">
        <v>8.38</v>
      </c>
      <c r="E278" t="str">
        <v>-28.18</v>
      </c>
      <c r="F278" t="str">
        <v>39.80</v>
      </c>
      <c r="G278" t="str">
        <v>2022/09</v>
      </c>
      <c r="H278" t="str">
        <v>0.32</v>
      </c>
      <c r="I278" t="str">
        <v>-18.25</v>
      </c>
      <c r="J278" t="str">
        <v>2022/11</v>
      </c>
      <c r="K278" t="str">
        <f t="array" ref="K278:T278">[1]!'1338.TW-OperatingProfitRatio,Price,PriceChangeRatio,InOutRatioNumber,Value,YearReturn,MonthReturn,WeekReturn,FinanceBalanceDif,ChipsField2'</f>
        <v>3.69</v>
      </c>
      <c r="L278">
        <v>43.7</v>
      </c>
      <c r="M278">
        <v>0.46</v>
      </c>
      <c r="N278" t="str">
        <v>16.67%</v>
      </c>
      <c r="O278" t="str">
        <v>210萬</v>
      </c>
      <c r="P278" t="str">
        <v>-15.71</v>
      </c>
      <c r="Q278" t="str">
        <v>-4.59</v>
      </c>
      <c r="R278" t="str">
        <v>-4.59</v>
      </c>
      <c r="S278">
        <v>2</v>
      </c>
      <c r="T278">
        <v>0</v>
      </c>
      <c r="U278">
        <f t="array" ref="U278:AD278">[1]!'1338.TW-ChipsField3,ChipsField1,ChipsField25,CashAndStockDividend,CashDividendYieldRate,ProfitFourSeason,ProfitSingle,CName,ExchangeIndustry,CompanyPos'</f>
        <v>0</v>
      </c>
      <c r="V278">
        <v>-28</v>
      </c>
      <c r="W278" t="str">
        <v>2022/07/14</v>
      </c>
      <c r="X278" t="str">
        <v>2.50</v>
      </c>
      <c r="Y278">
        <v>5.72</v>
      </c>
      <c r="Z278" t="str">
        <v>3.32</v>
      </c>
      <c r="AA278" t="str">
        <v>0.63</v>
      </c>
      <c r="AB278" t="str">
        <v>廣華-KY</v>
      </c>
      <c r="AC278" t="str">
        <v>上市汽車</v>
      </c>
      <c r="AD278" t="str">
        <v>汽車OEM塑膠內飾件大廠，供應以大陸市場為主</v>
      </c>
      <c r="AE278" t="str">
        <f t="array" ref="AE278:AH278">[1]!'1338.TW-CName,InvestorConferenceDate,DateofMeetingofShareHolders,TradingDate'</f>
        <v>廣華-KY</v>
      </c>
      <c r="AF278" t="str">
        <v>2022/11/25</v>
      </c>
      <c r="AG278" t="str">
        <v>2022/05/30</v>
      </c>
      <c r="AH278" t="str">
        <v>2022/12/22</v>
      </c>
    </row>
    <row r="279" spans="1:34" x14ac:dyDescent="0.3">
      <c r="A279" t="str">
        <f t="array" ref="A279:J279">[1]!'1339.TW-ID,Name,MarketValue,Capital,NetIncomeGrowthRate,OperIncomeGrowthRate,FinancialStatementsTime,TFXRatio,MonthlyNetSalesYoY,RevenueMonth'</f>
        <v>1339</v>
      </c>
      <c r="B279" t="str">
        <v>昭輝</v>
      </c>
      <c r="C279" t="str">
        <v>30.5</v>
      </c>
      <c r="D279" t="str">
        <v>7.41</v>
      </c>
      <c r="E279" t="str">
        <v>477.96</v>
      </c>
      <c r="F279" t="str">
        <v>-21.54</v>
      </c>
      <c r="G279" t="str">
        <v>2022/09</v>
      </c>
      <c r="H279" t="str">
        <v>4.30</v>
      </c>
      <c r="I279" t="str">
        <v>6.60</v>
      </c>
      <c r="J279" t="str">
        <v>2022/11</v>
      </c>
      <c r="K279" t="str">
        <f t="array" ref="K279:T279">[1]!'1339.TW-OperatingProfitRatio,Price,PriceChangeRatio,InOutRatioNumber,Value,YearReturn,MonthReturn,WeekReturn,FinanceBalanceDif,ChipsField2'</f>
        <v>6.87</v>
      </c>
      <c r="L279">
        <v>41.15</v>
      </c>
      <c r="M279">
        <v>0.86</v>
      </c>
      <c r="N279" t="str">
        <v>42.86%</v>
      </c>
      <c r="O279" t="str">
        <v>210萬</v>
      </c>
      <c r="P279" t="str">
        <v>+23.46</v>
      </c>
      <c r="Q279" t="str">
        <v>+0.61</v>
      </c>
      <c r="R279" t="str">
        <v>-4.19</v>
      </c>
      <c r="S279">
        <v>20</v>
      </c>
      <c r="T279">
        <v>0</v>
      </c>
      <c r="U279">
        <f t="array" ref="U279:AD279">[1]!'1339.TW-ChipsField3,ChipsField1,ChipsField25,CashAndStockDividend,CashDividendYieldRate,ProfitFourSeason,ProfitSingle,CName,ExchangeIndustry,CompanyPos'</f>
        <v>-6</v>
      </c>
      <c r="V279">
        <v>6</v>
      </c>
      <c r="W279" t="str">
        <v>2022/08/18</v>
      </c>
      <c r="X279" t="str">
        <v>2.00</v>
      </c>
      <c r="Y279">
        <v>4.8600000000000003</v>
      </c>
      <c r="Z279" t="str">
        <v>6.50</v>
      </c>
      <c r="AA279" t="str">
        <v>2.28</v>
      </c>
      <c r="AB279" t="str">
        <v>昭輝</v>
      </c>
      <c r="AC279" t="str">
        <v>上市汽車</v>
      </c>
      <c r="AD279" t="str">
        <v>台灣第二大汽車AM塑膠件製造商</v>
      </c>
      <c r="AE279" t="str">
        <f t="array" ref="AE279:AH279">[1]!'1339.TW-CName,InvestorConferenceDate,DateofMeetingofShareHolders,TradingDate'</f>
        <v>昭輝</v>
      </c>
      <c r="AF279" t="str">
        <v>2022/08/09</v>
      </c>
      <c r="AG279" t="str">
        <v>2022/05/27</v>
      </c>
      <c r="AH279" t="str">
        <v>2022/12/22</v>
      </c>
    </row>
    <row r="280" spans="1:34" x14ac:dyDescent="0.3">
      <c r="A280" t="str">
        <f t="array" ref="A280:J280">[1]!'1512.TW-ID,Name,MarketValue,Capital,NetIncomeGrowthRate,OperIncomeGrowthRate,FinancialStatementsTime,TFXRatio,MonthlyNetSalesYoY,RevenueMonth'</f>
        <v>1512</v>
      </c>
      <c r="B280" t="str">
        <v>瑞利</v>
      </c>
      <c r="C280" t="str">
        <v>8.6</v>
      </c>
      <c r="D280" t="str">
        <v>27.25</v>
      </c>
      <c r="E280" t="str">
        <v>-39.64</v>
      </c>
      <c r="F280" t="str">
        <v>-19.11</v>
      </c>
      <c r="G280" t="str">
        <v>2022/09</v>
      </c>
      <c r="H280" t="str">
        <v>122.70</v>
      </c>
      <c r="I280" t="str">
        <v>60.39</v>
      </c>
      <c r="J280" t="str">
        <v>2022/11</v>
      </c>
      <c r="K280" t="str">
        <f t="array" ref="K280:T280">[1]!'1512.TW-OperatingProfitRatio,Price,PriceChangeRatio,InOutRatioNumber,Value,YearReturn,MonthReturn,WeekReturn,FinanceBalanceDif,ChipsField2'</f>
        <v>-25.34</v>
      </c>
      <c r="L280">
        <v>4.75</v>
      </c>
      <c r="M280">
        <v>-1.04</v>
      </c>
      <c r="N280" t="str">
        <v>34.91%</v>
      </c>
      <c r="O280" t="str">
        <v>258萬</v>
      </c>
      <c r="P280" t="str">
        <v>+26.33</v>
      </c>
      <c r="Q280" t="str">
        <v>+42.64</v>
      </c>
      <c r="R280" t="str">
        <v>+18.45</v>
      </c>
      <c r="S280">
        <v>0</v>
      </c>
      <c r="T280">
        <v>0</v>
      </c>
      <c r="U280">
        <f t="array" ref="U280:AD280">[1]!'1512.TW-ChipsField3,ChipsField1,ChipsField25,CashAndStockDividend,CashDividendYieldRate,ProfitFourSeason,ProfitSingle,CName,ExchangeIndustry,CompanyPos'</f>
        <v>0</v>
      </c>
      <c r="V280">
        <v>-220</v>
      </c>
      <c r="W280" t="str">
        <v>--</v>
      </c>
      <c r="X280" t="str">
        <v>0.00</v>
      </c>
      <c r="Y280">
        <v>0</v>
      </c>
      <c r="Z280" t="str">
        <v>-0.77</v>
      </c>
      <c r="AA280" t="str">
        <v>-0.04</v>
      </c>
      <c r="AB280" t="str">
        <v>瑞利</v>
      </c>
      <c r="AC280" t="str">
        <v>上市汽車</v>
      </c>
      <c r="AD280" t="str">
        <v>為台灣汽車鈑金製造大廠</v>
      </c>
      <c r="AE280" t="str">
        <f t="array" ref="AE280:AH280">[1]!'1512.TW-CName,InvestorConferenceDate,DateofMeetingofShareHolders,TradingDate'</f>
        <v>瑞利</v>
      </c>
      <c r="AF280" t="str">
        <v>2022/12/21</v>
      </c>
      <c r="AG280" t="str">
        <v>2022/06/22</v>
      </c>
      <c r="AH280" t="str">
        <v>2022/12/22</v>
      </c>
    </row>
    <row r="281" spans="1:34" x14ac:dyDescent="0.3">
      <c r="A281" t="str">
        <f t="array" ref="A281:J281">[1]!'1521.TW-ID,Name,MarketValue,Capital,NetIncomeGrowthRate,OperIncomeGrowthRate,FinancialStatementsTime,TFXRatio,MonthlyNetSalesYoY,RevenueMonth'</f>
        <v>1521</v>
      </c>
      <c r="B281" t="str">
        <v>大億</v>
      </c>
      <c r="C281" t="str">
        <v>27.1</v>
      </c>
      <c r="D281" t="str">
        <v>7.62</v>
      </c>
      <c r="E281" t="str">
        <v>49.79</v>
      </c>
      <c r="F281" t="str">
        <v>-57.82</v>
      </c>
      <c r="G281" t="str">
        <v>2022/09</v>
      </c>
      <c r="H281" t="str">
        <v>11.18</v>
      </c>
      <c r="I281" t="str">
        <v>-3.51</v>
      </c>
      <c r="J281" t="str">
        <v>2022/11</v>
      </c>
      <c r="K281" t="str">
        <f t="array" ref="K281:T281">[1]!'1521.TW-OperatingProfitRatio,Price,PriceChangeRatio,InOutRatioNumber,Value,YearReturn,MonthReturn,WeekReturn,FinanceBalanceDif,ChipsField2'</f>
        <v>1.11</v>
      </c>
      <c r="L281">
        <v>35.5</v>
      </c>
      <c r="M281">
        <v>-0.28000000000000003</v>
      </c>
      <c r="N281" t="str">
        <v>45.45%</v>
      </c>
      <c r="O281" t="str">
        <v>39.1萬</v>
      </c>
      <c r="P281" t="str">
        <v>-10.24</v>
      </c>
      <c r="Q281" t="str">
        <v>+2.01</v>
      </c>
      <c r="R281" t="str">
        <v>-1.25</v>
      </c>
      <c r="S281">
        <v>-5</v>
      </c>
      <c r="T281">
        <v>0</v>
      </c>
      <c r="U281">
        <f t="array" ref="U281:AD281">[1]!'1521.TW-ChipsField3,ChipsField1,ChipsField25,CashAndStockDividend,CashDividendYieldRate,ProfitFourSeason,ProfitSingle,CName,ExchangeIndustry,CompanyPos'</f>
        <v>0</v>
      </c>
      <c r="V281">
        <v>0</v>
      </c>
      <c r="W281" t="str">
        <v>2022/07/06</v>
      </c>
      <c r="X281" t="str">
        <v>0.60</v>
      </c>
      <c r="Y281">
        <v>1.69</v>
      </c>
      <c r="Z281" t="str">
        <v>1.51</v>
      </c>
      <c r="AA281" t="str">
        <v>0.72</v>
      </c>
      <c r="AB281" t="str">
        <v>大億</v>
      </c>
      <c r="AC281" t="str">
        <v>上市汽車</v>
      </c>
      <c r="AD281" t="str">
        <v>台灣最大OEM車燈製造商</v>
      </c>
      <c r="AE281" t="str">
        <f t="array" ref="AE281:AH281">[1]!'1521.TW-CName,InvestorConferenceDate,DateofMeetingofShareHolders,TradingDate'</f>
        <v>大億</v>
      </c>
      <c r="AF281" t="str">
        <v>2022/09/05</v>
      </c>
      <c r="AG281" t="str">
        <v>2022/06/21</v>
      </c>
      <c r="AH281" t="str">
        <v>2022/12/22</v>
      </c>
    </row>
    <row r="282" spans="1:34" x14ac:dyDescent="0.3">
      <c r="A282" t="str">
        <f t="array" ref="A282:J282">[1]!'1522.TW-ID,Name,MarketValue,Capital,NetIncomeGrowthRate,OperIncomeGrowthRate,FinancialStatementsTime,TFXRatio,MonthlyNetSalesYoY,RevenueMonth'</f>
        <v>1522</v>
      </c>
      <c r="B282" t="str">
        <v>堤維西</v>
      </c>
      <c r="C282" t="str">
        <v>82.4</v>
      </c>
      <c r="D282" t="str">
        <v>31.29</v>
      </c>
      <c r="E282" t="str">
        <v>705.31</v>
      </c>
      <c r="F282" t="str">
        <v>65.85</v>
      </c>
      <c r="G282" t="str">
        <v>2022/09</v>
      </c>
      <c r="H282" t="str">
        <v>-5.15</v>
      </c>
      <c r="I282" t="str">
        <v>8.06</v>
      </c>
      <c r="J282" t="str">
        <v>2022/11</v>
      </c>
      <c r="K282" t="str">
        <f t="array" ref="K282:T282">[1]!'1522.TW-OperatingProfitRatio,Price,PriceChangeRatio,InOutRatioNumber,Value,YearReturn,MonthReturn,WeekReturn,FinanceBalanceDif,ChipsField2'</f>
        <v>3.81</v>
      </c>
      <c r="L282">
        <v>26.35</v>
      </c>
      <c r="M282">
        <v>0.96</v>
      </c>
      <c r="N282" t="str">
        <v>40.39%</v>
      </c>
      <c r="O282" t="str">
        <v>2501萬</v>
      </c>
      <c r="P282" t="str">
        <v>+41.58</v>
      </c>
      <c r="Q282" t="str">
        <v>-2.95</v>
      </c>
      <c r="R282" t="str">
        <v>-7.05</v>
      </c>
      <c r="S282">
        <v>-341</v>
      </c>
      <c r="T282">
        <v>0</v>
      </c>
      <c r="U282">
        <f t="array" ref="U282:AD282">[1]!'1522.TW-ChipsField3,ChipsField1,ChipsField25,CashAndStockDividend,CashDividendYieldRate,ProfitFourSeason,ProfitSingle,CName,ExchangeIndustry,CompanyPos'</f>
        <v>-58</v>
      </c>
      <c r="V282">
        <v>277</v>
      </c>
      <c r="W282" t="str">
        <v>2022/07/14</v>
      </c>
      <c r="X282" t="str">
        <v>0.50</v>
      </c>
      <c r="Y282">
        <v>1.9</v>
      </c>
      <c r="Z282" t="str">
        <v>2.95</v>
      </c>
      <c r="AA282" t="str">
        <v>0.95</v>
      </c>
      <c r="AB282" t="str">
        <v>堤維西</v>
      </c>
      <c r="AC282" t="str">
        <v>上市汽車</v>
      </c>
      <c r="AD282" t="str">
        <v>專攻AM市場之台灣第二大車燈製造商</v>
      </c>
      <c r="AE282" t="str">
        <f t="array" ref="AE282:AH282">[1]!'1522.TW-CName,InvestorConferenceDate,DateofMeetingofShareHolders,TradingDate'</f>
        <v>堤維西</v>
      </c>
      <c r="AF282" t="str">
        <v>--</v>
      </c>
      <c r="AG282" t="str">
        <v>2022/06/23</v>
      </c>
      <c r="AH282" t="str">
        <v>2022/12/22</v>
      </c>
    </row>
    <row r="283" spans="1:34" x14ac:dyDescent="0.3">
      <c r="A283" t="str">
        <f t="array" ref="A283:J283">[1]!'1524.TW-ID,Name,MarketValue,Capital,NetIncomeGrowthRate,OperIncomeGrowthRate,FinancialStatementsTime,TFXRatio,MonthlyNetSalesYoY,RevenueMonth'</f>
        <v>1524</v>
      </c>
      <c r="B283" t="str">
        <v>耿鼎</v>
      </c>
      <c r="C283" t="str">
        <v>38.2</v>
      </c>
      <c r="D283" t="str">
        <v>16.53</v>
      </c>
      <c r="E283" t="str">
        <v>536.93</v>
      </c>
      <c r="F283" t="str">
        <v>245.77</v>
      </c>
      <c r="G283" t="str">
        <v>2022/09</v>
      </c>
      <c r="H283" t="str">
        <v>-0.50</v>
      </c>
      <c r="I283" t="str">
        <v>4.87</v>
      </c>
      <c r="J283" t="str">
        <v>2022/11</v>
      </c>
      <c r="K283" t="str">
        <f t="array" ref="K283:T283">[1]!'1524.TW-OperatingProfitRatio,Price,PriceChangeRatio,InOutRatioNumber,Value,YearReturn,MonthReturn,WeekReturn,FinanceBalanceDif,ChipsField2'</f>
        <v>10.36</v>
      </c>
      <c r="L283">
        <v>23.1</v>
      </c>
      <c r="M283">
        <v>1.32</v>
      </c>
      <c r="N283" t="str">
        <v>42.84%</v>
      </c>
      <c r="O283" t="str">
        <v>4078萬</v>
      </c>
      <c r="P283" t="str">
        <v>+118.81</v>
      </c>
      <c r="Q283" t="str">
        <v>-3.14</v>
      </c>
      <c r="R283" t="str">
        <v>-7.60</v>
      </c>
      <c r="S283">
        <v>-63</v>
      </c>
      <c r="T283">
        <v>0</v>
      </c>
      <c r="U283">
        <f t="array" ref="U283:AD283">[1]!'1524.TW-ChipsField3,ChipsField1,ChipsField25,CashAndStockDividend,CashDividendYieldRate,ProfitFourSeason,ProfitSingle,CName,ExchangeIndustry,CompanyPos'</f>
        <v>0</v>
      </c>
      <c r="V283">
        <v>-197</v>
      </c>
      <c r="W283" t="str">
        <v>2022/04/14</v>
      </c>
      <c r="X283" t="str">
        <v>0.30</v>
      </c>
      <c r="Y283">
        <v>1.3</v>
      </c>
      <c r="Z283" t="str">
        <v>1.85</v>
      </c>
      <c r="AA283" t="str">
        <v>0.71</v>
      </c>
      <c r="AB283" t="str">
        <v>耿鼎</v>
      </c>
      <c r="AC283" t="str">
        <v>上市汽車</v>
      </c>
      <c r="AD283" t="str">
        <v>為汽車AM鈑金件製造商</v>
      </c>
      <c r="AE283" t="str">
        <f t="array" ref="AE283:AH283">[1]!'1524.TW-CName,InvestorConferenceDate,DateofMeetingofShareHolders,TradingDate'</f>
        <v>耿鼎</v>
      </c>
      <c r="AF283" t="str">
        <v>2021/12/30</v>
      </c>
      <c r="AG283" t="str">
        <v>2022/06/14</v>
      </c>
      <c r="AH283" t="str">
        <v>2022/12/22</v>
      </c>
    </row>
    <row r="284" spans="1:34" x14ac:dyDescent="0.3">
      <c r="A284" t="str">
        <f t="array" ref="A284:J284">[1]!'1525.TW-ID,Name,MarketValue,Capital,NetIncomeGrowthRate,OperIncomeGrowthRate,FinancialStatementsTime,TFXRatio,MonthlyNetSalesYoY,RevenueMonth'</f>
        <v>1525</v>
      </c>
      <c r="B284" t="str">
        <v>江申</v>
      </c>
      <c r="C284" t="str">
        <v>42.4</v>
      </c>
      <c r="D284" t="str">
        <v>7.34</v>
      </c>
      <c r="E284" t="str">
        <v>7.70</v>
      </c>
      <c r="F284" t="str">
        <v>63.46</v>
      </c>
      <c r="G284" t="str">
        <v>2022/09</v>
      </c>
      <c r="H284" t="str">
        <v>8.15</v>
      </c>
      <c r="I284" t="str">
        <v>45.38</v>
      </c>
      <c r="J284" t="str">
        <v>2022/11</v>
      </c>
      <c r="K284" t="str">
        <f t="array" ref="K284:T284">[1]!'1525.TW-OperatingProfitRatio,Price,PriceChangeRatio,InOutRatioNumber,Value,YearReturn,MonthReturn,WeekReturn,FinanceBalanceDif,ChipsField2'</f>
        <v>2.67</v>
      </c>
      <c r="L284">
        <v>57.7</v>
      </c>
      <c r="M284">
        <v>1.23</v>
      </c>
      <c r="N284" t="str">
        <v>28.57%</v>
      </c>
      <c r="O284" t="str">
        <v>46.2萬</v>
      </c>
      <c r="P284" t="str">
        <v>-1.14</v>
      </c>
      <c r="Q284" t="str">
        <v>+1.23</v>
      </c>
      <c r="R284" t="str">
        <v>-2.37</v>
      </c>
      <c r="S284">
        <v>0</v>
      </c>
      <c r="T284">
        <v>0</v>
      </c>
      <c r="U284">
        <f t="array" ref="U284:AD284">[1]!'1525.TW-ChipsField3,ChipsField1,ChipsField25,CashAndStockDividend,CashDividendYieldRate,ProfitFourSeason,ProfitSingle,CName,ExchangeIndustry,CompanyPos'</f>
        <v>-4</v>
      </c>
      <c r="V284">
        <v>2</v>
      </c>
      <c r="W284" t="str">
        <v>2022/07/28</v>
      </c>
      <c r="X284" t="str">
        <v>2.10</v>
      </c>
      <c r="Y284">
        <v>3.64</v>
      </c>
      <c r="Z284" t="str">
        <v>4.40</v>
      </c>
      <c r="AA284" t="str">
        <v>1.29</v>
      </c>
      <c r="AB284" t="str">
        <v>江申</v>
      </c>
      <c r="AC284" t="str">
        <v>上市汽車</v>
      </c>
      <c r="AD284" t="str">
        <v>台灣最大商用車底盤與車身製造商</v>
      </c>
      <c r="AE284" t="str">
        <f t="array" ref="AE284:AH284">[1]!'1525.TW-CName,InvestorConferenceDate,DateofMeetingofShareHolders,TradingDate'</f>
        <v>江申</v>
      </c>
      <c r="AF284" t="str">
        <v>2022/11/17</v>
      </c>
      <c r="AG284" t="str">
        <v>2022/06/21</v>
      </c>
      <c r="AH284" t="str">
        <v>2022/12/22</v>
      </c>
    </row>
    <row r="285" spans="1:34" x14ac:dyDescent="0.3">
      <c r="A285" t="str">
        <f t="array" ref="A285:J285">[1]!'1533.TW-ID,Name,MarketValue,Capital,NetIncomeGrowthRate,OperIncomeGrowthRate,FinancialStatementsTime,TFXRatio,MonthlyNetSalesYoY,RevenueMonth'</f>
        <v>1533</v>
      </c>
      <c r="B285" t="str">
        <v>車王電</v>
      </c>
      <c r="C285" t="str">
        <v>49.6</v>
      </c>
      <c r="D285" t="str">
        <v>9.85</v>
      </c>
      <c r="E285" t="str">
        <v>-145.87</v>
      </c>
      <c r="F285" t="str">
        <v>-219.09</v>
      </c>
      <c r="G285" t="str">
        <v>2022/09</v>
      </c>
      <c r="H285" t="str">
        <v>32.85</v>
      </c>
      <c r="I285" t="str">
        <v>53.27</v>
      </c>
      <c r="J285" t="str">
        <v>2022/11</v>
      </c>
      <c r="K285" t="str">
        <f t="array" ref="K285:T285">[1]!'1533.TW-OperatingProfitRatio,Price,PriceChangeRatio,InOutRatioNumber,Value,YearReturn,MonthReturn,WeekReturn,FinanceBalanceDif,ChipsField2'</f>
        <v>-1.60</v>
      </c>
      <c r="L285">
        <v>50.3</v>
      </c>
      <c r="M285">
        <v>0.4</v>
      </c>
      <c r="N285" t="str">
        <v>35.75%</v>
      </c>
      <c r="O285" t="str">
        <v>980萬</v>
      </c>
      <c r="P285" t="str">
        <v>-11.79</v>
      </c>
      <c r="Q285" t="str">
        <v>-0.40</v>
      </c>
      <c r="R285" t="str">
        <v>-3.64</v>
      </c>
      <c r="S285">
        <v>-4</v>
      </c>
      <c r="T285">
        <v>0</v>
      </c>
      <c r="U285">
        <f t="array" ref="U285:AD285">[1]!'1533.TW-ChipsField3,ChipsField1,ChipsField25,CashAndStockDividend,CashDividendYieldRate,ProfitFourSeason,ProfitSingle,CName,ExchangeIndustry,CompanyPos'</f>
        <v>0</v>
      </c>
      <c r="V285">
        <v>11</v>
      </c>
      <c r="W285" t="str">
        <v>2022/09/05</v>
      </c>
      <c r="X285" t="str">
        <v>0.30</v>
      </c>
      <c r="Y285">
        <v>0.6</v>
      </c>
      <c r="Z285" t="str">
        <v>0.76</v>
      </c>
      <c r="AA285" t="str">
        <v>0.22</v>
      </c>
      <c r="AB285" t="str">
        <v>車王電</v>
      </c>
      <c r="AC285" t="str">
        <v>上市汽車</v>
      </c>
      <c r="AD285" t="str">
        <v>主攻AM車用電子零組件之大廠</v>
      </c>
      <c r="AE285" t="str">
        <f t="array" ref="AE285:AH285">[1]!'1533.TW-CName,InvestorConferenceDate,DateofMeetingofShareHolders,TradingDate'</f>
        <v>車王電</v>
      </c>
      <c r="AF285" t="str">
        <v>2022/10/25</v>
      </c>
      <c r="AG285" t="str">
        <v>2022/06/14</v>
      </c>
      <c r="AH285" t="str">
        <v>2022/12/22</v>
      </c>
    </row>
    <row r="286" spans="1:34" x14ac:dyDescent="0.3">
      <c r="A286" t="str">
        <f t="array" ref="A286:J286">[1]!'1536.TW-ID,Name,MarketValue,Capital,NetIncomeGrowthRate,OperIncomeGrowthRate,FinancialStatementsTime,TFXRatio,MonthlyNetSalesYoY,RevenueMonth'</f>
        <v>1536</v>
      </c>
      <c r="B286" t="str">
        <v>和大</v>
      </c>
      <c r="C286" t="str">
        <v>197.9</v>
      </c>
      <c r="D286" t="str">
        <v>27.95</v>
      </c>
      <c r="E286" t="str">
        <v>67.79</v>
      </c>
      <c r="F286" t="str">
        <v>-23.62</v>
      </c>
      <c r="G286" t="str">
        <v>2022/09</v>
      </c>
      <c r="H286" t="str">
        <v>6.79</v>
      </c>
      <c r="I286" t="str">
        <v>1.00</v>
      </c>
      <c r="J286" t="str">
        <v>2022/11</v>
      </c>
      <c r="K286" t="str">
        <f t="array" ref="K286:T286">[1]!'1536.TW-OperatingProfitRatio,Price,PriceChangeRatio,InOutRatioNumber,Value,YearReturn,MonthReturn,WeekReturn,FinanceBalanceDif,ChipsField2'</f>
        <v>6.30</v>
      </c>
      <c r="L286">
        <v>70.8</v>
      </c>
      <c r="M286">
        <v>1.1399999999999999</v>
      </c>
      <c r="N286" t="str">
        <v>37.48%</v>
      </c>
      <c r="O286" t="str">
        <v>5093萬</v>
      </c>
      <c r="P286" t="str">
        <v>-21.10</v>
      </c>
      <c r="Q286" t="str">
        <v>-0.98</v>
      </c>
      <c r="R286" t="str">
        <v>-7.21</v>
      </c>
      <c r="S286">
        <v>-119</v>
      </c>
      <c r="T286">
        <v>0</v>
      </c>
      <c r="U286">
        <f t="array" ref="U286:AD286">[1]!'1536.TW-ChipsField3,ChipsField1,ChipsField25,CashAndStockDividend,CashDividendYieldRate,ProfitFourSeason,ProfitSingle,CName,ExchangeIndustry,CompanyPos'</f>
        <v>-43</v>
      </c>
      <c r="V286">
        <v>-383</v>
      </c>
      <c r="W286" t="str">
        <v>2022/06/28</v>
      </c>
      <c r="X286" t="str">
        <v>1.37</v>
      </c>
      <c r="Y286">
        <v>1.94</v>
      </c>
      <c r="Z286" t="str">
        <v>1.99</v>
      </c>
      <c r="AA286" t="str">
        <v>1.17</v>
      </c>
      <c r="AB286" t="str">
        <v>和大</v>
      </c>
      <c r="AC286" t="str">
        <v>上市汽車</v>
      </c>
      <c r="AD286" t="str">
        <v>台灣最大、全球前十大車廠之傳動零組件供應商</v>
      </c>
      <c r="AE286" t="str">
        <f t="array" ref="AE286:AH286">[1]!'1536.TW-CName,InvestorConferenceDate,DateofMeetingofShareHolders,TradingDate'</f>
        <v>和大</v>
      </c>
      <c r="AF286" t="str">
        <v>2021/07/07</v>
      </c>
      <c r="AG286" t="str">
        <v>2022/06/08</v>
      </c>
      <c r="AH286" t="str">
        <v>2022/12/22</v>
      </c>
    </row>
    <row r="287" spans="1:34" x14ac:dyDescent="0.3">
      <c r="A287" t="str">
        <f t="array" ref="A287:J287">[1]!'1568.TW-ID,Name,MarketValue,Capital,NetIncomeGrowthRate,OperIncomeGrowthRate,FinancialStatementsTime,TFXRatio,MonthlyNetSalesYoY,RevenueMonth'</f>
        <v>1568</v>
      </c>
      <c r="B287" t="str">
        <v>倉佑</v>
      </c>
      <c r="C287" t="str">
        <v>23.7</v>
      </c>
      <c r="D287" t="str">
        <v>10.31</v>
      </c>
      <c r="E287" t="str">
        <v>6146.67</v>
      </c>
      <c r="F287" t="str">
        <v>843.24</v>
      </c>
      <c r="G287" t="str">
        <v>2022/09</v>
      </c>
      <c r="H287" t="str">
        <v>14.44</v>
      </c>
      <c r="I287" t="str">
        <v>-7.17</v>
      </c>
      <c r="J287" t="str">
        <v>2022/11</v>
      </c>
      <c r="K287" t="str">
        <f t="array" ref="K287:T287">[1]!'1568.TW-OperatingProfitRatio,Price,PriceChangeRatio,InOutRatioNumber,Value,YearReturn,MonthReturn,WeekReturn,FinanceBalanceDif,ChipsField2'</f>
        <v>8.31</v>
      </c>
      <c r="L287">
        <v>23</v>
      </c>
      <c r="M287">
        <v>0.66</v>
      </c>
      <c r="N287" t="str">
        <v>24.53%</v>
      </c>
      <c r="O287" t="str">
        <v>244萬</v>
      </c>
      <c r="P287" t="str">
        <v>+11.87</v>
      </c>
      <c r="Q287" t="str">
        <v>-4.17</v>
      </c>
      <c r="R287" t="str">
        <v>-6.50</v>
      </c>
      <c r="S287">
        <v>-25</v>
      </c>
      <c r="T287">
        <v>0</v>
      </c>
      <c r="U287">
        <f t="array" ref="U287:AD287">[1]!'1568.TW-ChipsField3,ChipsField1,ChipsField25,CashAndStockDividend,CashDividendYieldRate,ProfitFourSeason,ProfitSingle,CName,ExchangeIndustry,CompanyPos'</f>
        <v>0</v>
      </c>
      <c r="V287">
        <v>-8</v>
      </c>
      <c r="W287" t="str">
        <v>2022/06/09</v>
      </c>
      <c r="X287" t="str">
        <v>0.30</v>
      </c>
      <c r="Y287">
        <v>1.3</v>
      </c>
      <c r="Z287" t="str">
        <v>1.62</v>
      </c>
      <c r="AA287" t="str">
        <v>0.47</v>
      </c>
      <c r="AB287" t="str">
        <v>倉佑</v>
      </c>
      <c r="AC287" t="str">
        <v>上市汽車</v>
      </c>
      <c r="AD287" t="str">
        <v>汽車自動變速箱零組件製造商</v>
      </c>
      <c r="AE287" t="str">
        <f t="array" ref="AE287:AH287">[1]!'1568.TW-CName,InvestorConferenceDate,DateofMeetingofShareHolders,TradingDate'</f>
        <v>倉佑</v>
      </c>
      <c r="AF287" t="str">
        <v>2021/11/17</v>
      </c>
      <c r="AG287" t="str">
        <v>2022/06/09</v>
      </c>
      <c r="AH287" t="str">
        <v>2022/12/22</v>
      </c>
    </row>
    <row r="288" spans="1:34" x14ac:dyDescent="0.3">
      <c r="A288" t="str">
        <f t="array" ref="A288:J288">[1]!'1587.TW-ID,Name,MarketValue,Capital,NetIncomeGrowthRate,OperIncomeGrowthRate,FinancialStatementsTime,TFXRatio,MonthlyNetSalesYoY,RevenueMonth'</f>
        <v>1587</v>
      </c>
      <c r="B288" t="str">
        <v>吉茂</v>
      </c>
      <c r="C288" t="str">
        <v>14.8</v>
      </c>
      <c r="D288" t="str">
        <v>6.86</v>
      </c>
      <c r="E288" t="str">
        <v>40.23</v>
      </c>
      <c r="F288" t="str">
        <v>-5.31</v>
      </c>
      <c r="G288" t="str">
        <v>2022/09</v>
      </c>
      <c r="H288" t="str">
        <v>-21.24</v>
      </c>
      <c r="I288" t="str">
        <v>-14.93</v>
      </c>
      <c r="J288" t="str">
        <v>2022/11</v>
      </c>
      <c r="K288" t="str">
        <f t="array" ref="K288:T288">[1]!'1587.TW-OperatingProfitRatio,Price,PriceChangeRatio,InOutRatioNumber,Value,YearReturn,MonthReturn,WeekReturn,FinanceBalanceDif,ChipsField2'</f>
        <v>6.55</v>
      </c>
      <c r="L288">
        <v>21.5</v>
      </c>
      <c r="M288">
        <v>0.94</v>
      </c>
      <c r="N288" t="str">
        <v>40.91%</v>
      </c>
      <c r="O288" t="str">
        <v>47.4萬</v>
      </c>
      <c r="P288" t="str">
        <v>-12.90</v>
      </c>
      <c r="Q288" t="str">
        <v>-0.69</v>
      </c>
      <c r="R288" t="str">
        <v>-2.27</v>
      </c>
      <c r="S288">
        <v>0</v>
      </c>
      <c r="T288">
        <v>0</v>
      </c>
      <c r="U288">
        <f t="array" ref="U288:AD288">[1]!'1587.TW-ChipsField3,ChipsField1,ChipsField25,CashAndStockDividend,CashDividendYieldRate,ProfitFourSeason,ProfitSingle,CName,ExchangeIndustry,CompanyPos'</f>
        <v>0</v>
      </c>
      <c r="V288">
        <v>5</v>
      </c>
      <c r="W288" t="str">
        <v>2022/07/06</v>
      </c>
      <c r="X288" t="str">
        <v>1.00</v>
      </c>
      <c r="Y288">
        <v>4.6500000000000004</v>
      </c>
      <c r="Z288" t="str">
        <v>2.00</v>
      </c>
      <c r="AA288" t="str">
        <v>0.64</v>
      </c>
      <c r="AB288" t="str">
        <v>吉茂</v>
      </c>
      <c r="AC288" t="str">
        <v>上市汽車</v>
      </c>
      <c r="AD288" t="str">
        <v>台灣最大汽車水箱製造廠</v>
      </c>
      <c r="AE288" t="str">
        <f t="array" ref="AE288:AH288">[1]!'1587.TW-CName,InvestorConferenceDate,DateofMeetingofShareHolders,TradingDate'</f>
        <v>吉茂</v>
      </c>
      <c r="AF288" t="str">
        <v>2022/10/05</v>
      </c>
      <c r="AG288" t="str">
        <v>2022/05/27</v>
      </c>
      <c r="AH288" t="str">
        <v>2022/12/22</v>
      </c>
    </row>
    <row r="289" spans="1:34" x14ac:dyDescent="0.3">
      <c r="A289" t="str">
        <f t="array" ref="A289:J289">[1]!'2115.TW-ID,Name,MarketValue,Capital,NetIncomeGrowthRate,OperIncomeGrowthRate,FinancialStatementsTime,TFXRatio,MonthlyNetSalesYoY,RevenueMonth'</f>
        <v>2115</v>
      </c>
      <c r="B289" t="str">
        <v>六暉-KY</v>
      </c>
      <c r="C289" t="str">
        <v>29.2</v>
      </c>
      <c r="D289" t="str">
        <v>9.94</v>
      </c>
      <c r="E289" t="str">
        <v>-45.97</v>
      </c>
      <c r="F289" t="str">
        <v>-32.06</v>
      </c>
      <c r="G289" t="str">
        <v>2022/09</v>
      </c>
      <c r="H289" t="str">
        <v>-13.91</v>
      </c>
      <c r="I289" t="str">
        <v>-30.83</v>
      </c>
      <c r="J289" t="str">
        <v>2022/11</v>
      </c>
      <c r="K289" t="str">
        <f t="array" ref="K289:T289">[1]!'2115.TW-OperatingProfitRatio,Price,PriceChangeRatio,InOutRatioNumber,Value,YearReturn,MonthReturn,WeekReturn,FinanceBalanceDif,ChipsField2'</f>
        <v>11.21</v>
      </c>
      <c r="L289">
        <v>29.4</v>
      </c>
      <c r="M289">
        <v>0.86</v>
      </c>
      <c r="N289" t="str">
        <v>5.00%</v>
      </c>
      <c r="O289" t="str">
        <v>58.5萬</v>
      </c>
      <c r="P289" t="str">
        <v>-22.79</v>
      </c>
      <c r="Q289" t="str">
        <v>+0.68</v>
      </c>
      <c r="R289" t="str">
        <v>-0.68</v>
      </c>
      <c r="S289">
        <v>0</v>
      </c>
      <c r="T289">
        <v>0</v>
      </c>
      <c r="U289">
        <f t="array" ref="U289:AD289">[1]!'2115.TW-ChipsField3,ChipsField1,ChipsField25,CashAndStockDividend,CashDividendYieldRate,ProfitFourSeason,ProfitSingle,CName,ExchangeIndustry,CompanyPos'</f>
        <v>0</v>
      </c>
      <c r="V289">
        <v>0</v>
      </c>
      <c r="W289" t="str">
        <v>2022/07/06</v>
      </c>
      <c r="X289" t="str">
        <v>2.00</v>
      </c>
      <c r="Y289">
        <v>6.8</v>
      </c>
      <c r="Z289" t="str">
        <v>2.61</v>
      </c>
      <c r="AA289" t="str">
        <v>0.54</v>
      </c>
      <c r="AB289" t="str">
        <v>六暉-KY</v>
      </c>
      <c r="AC289" t="str">
        <v>上市汽車</v>
      </c>
      <c r="AD289" t="str">
        <v>全球最大氣門嘴製造商</v>
      </c>
      <c r="AE289" t="str">
        <f t="array" ref="AE289:AH289">[1]!'2115.TW-CName,InvestorConferenceDate,DateofMeetingofShareHolders,TradingDate'</f>
        <v>六暉-KY</v>
      </c>
      <c r="AF289" t="str">
        <v>2022/11/28</v>
      </c>
      <c r="AG289" t="str">
        <v>2022/06/13</v>
      </c>
      <c r="AH289" t="str">
        <v>2022/12/22</v>
      </c>
    </row>
    <row r="290" spans="1:34" x14ac:dyDescent="0.3">
      <c r="A290" t="str">
        <f t="array" ref="A290:J290">[1]!'2201.TW-ID,Name,MarketValue,Capital,NetIncomeGrowthRate,OperIncomeGrowthRate,FinancialStatementsTime,TFXRatio,MonthlyNetSalesYoY,RevenueMonth'</f>
        <v>2201</v>
      </c>
      <c r="B290" t="str">
        <v>裕隆</v>
      </c>
      <c r="C290" t="str">
        <v>597.0</v>
      </c>
      <c r="D290" t="str">
        <v>100.00</v>
      </c>
      <c r="E290" t="str">
        <v>-87.37</v>
      </c>
      <c r="F290" t="str">
        <v>43.73</v>
      </c>
      <c r="G290" t="str">
        <v>2022/09</v>
      </c>
      <c r="H290" t="str">
        <v>5.87</v>
      </c>
      <c r="I290" t="str">
        <v>-1.35</v>
      </c>
      <c r="J290" t="str">
        <v>2022/11</v>
      </c>
      <c r="K290" t="str">
        <f t="array" ref="K290:T290">[1]!'2201.TW-OperatingProfitRatio,Price,PriceChangeRatio,InOutRatioNumber,Value,YearReturn,MonthReturn,WeekReturn,FinanceBalanceDif,ChipsField2'</f>
        <v>13.99</v>
      </c>
      <c r="L290">
        <v>59.7</v>
      </c>
      <c r="M290">
        <v>-0.5</v>
      </c>
      <c r="N290" t="str">
        <v>38.94%</v>
      </c>
      <c r="O290" t="str">
        <v>10.9億</v>
      </c>
      <c r="P290" t="str">
        <v>+48.29</v>
      </c>
      <c r="Q290" t="str">
        <v>+10.35</v>
      </c>
      <c r="R290" t="str">
        <v>-10.63</v>
      </c>
      <c r="S290">
        <v>326</v>
      </c>
      <c r="T290">
        <v>-698</v>
      </c>
      <c r="U290">
        <f t="array" ref="U290:AD290">[1]!'2201.TW-ChipsField3,ChipsField1,ChipsField25,CashAndStockDividend,CashDividendYieldRate,ProfitFourSeason,ProfitSingle,CName,ExchangeIndustry,CompanyPos'</f>
        <v>-1177</v>
      </c>
      <c r="V290">
        <v>1472</v>
      </c>
      <c r="W290" t="str">
        <v>2022/08/25</v>
      </c>
      <c r="X290" t="str">
        <v>1.50</v>
      </c>
      <c r="Y290">
        <v>2.5099999999999998</v>
      </c>
      <c r="Z290" t="str">
        <v>-0.65</v>
      </c>
      <c r="AA290" t="str">
        <v>-0.13</v>
      </c>
      <c r="AB290" t="str">
        <v>裕隆</v>
      </c>
      <c r="AC290" t="str">
        <v>上市汽車</v>
      </c>
      <c r="AD290" t="str">
        <v>與日本Nissan技術合作之汽車製造商，並推出納智捷自有品牌</v>
      </c>
      <c r="AE290" t="str">
        <f t="array" ref="AE290:AH290">[1]!'2201.TW-CName,InvestorConferenceDate,DateofMeetingofShareHolders,TradingDate'</f>
        <v>裕隆</v>
      </c>
      <c r="AF290" t="str">
        <v>2022/11/16</v>
      </c>
      <c r="AG290" t="str">
        <v>2022/06/17</v>
      </c>
      <c r="AH290" t="str">
        <v>2022/12/22</v>
      </c>
    </row>
    <row r="291" spans="1:34" x14ac:dyDescent="0.3">
      <c r="A291" t="str">
        <f t="array" ref="A291:J291">[1]!'2204.TW-ID,Name,MarketValue,Capital,NetIncomeGrowthRate,OperIncomeGrowthRate,FinancialStatementsTime,TFXRatio,MonthlyNetSalesYoY,RevenueMonth'</f>
        <v>2204</v>
      </c>
      <c r="B291" t="str">
        <v>中華</v>
      </c>
      <c r="C291" t="str">
        <v>274.9</v>
      </c>
      <c r="D291" t="str">
        <v>55.36</v>
      </c>
      <c r="E291" t="str">
        <v>-232.97</v>
      </c>
      <c r="F291" t="str">
        <v>-8.88</v>
      </c>
      <c r="G291" t="str">
        <v>2022/09</v>
      </c>
      <c r="H291" t="str">
        <v>-8.61</v>
      </c>
      <c r="I291" t="str">
        <v>25.85</v>
      </c>
      <c r="J291" t="str">
        <v>2022/11</v>
      </c>
      <c r="K291" t="str">
        <f t="array" ref="K291:T291">[1]!'2204.TW-OperatingProfitRatio,Price,PriceChangeRatio,InOutRatioNumber,Value,YearReturn,MonthReturn,WeekReturn,FinanceBalanceDif,ChipsField2'</f>
        <v>7.87</v>
      </c>
      <c r="L291">
        <v>49.65</v>
      </c>
      <c r="M291">
        <v>0.71</v>
      </c>
      <c r="N291" t="str">
        <v>40.76%</v>
      </c>
      <c r="O291" t="str">
        <v>3634萬</v>
      </c>
      <c r="P291" t="str">
        <v>-13.26</v>
      </c>
      <c r="Q291" t="str">
        <v>-0.70</v>
      </c>
      <c r="R291" t="str">
        <v>-11.18</v>
      </c>
      <c r="S291">
        <v>420</v>
      </c>
      <c r="T291">
        <v>-2</v>
      </c>
      <c r="U291">
        <f t="array" ref="U291:AD291">[1]!'2204.TW-ChipsField3,ChipsField1,ChipsField25,CashAndStockDividend,CashDividendYieldRate,ProfitFourSeason,ProfitSingle,CName,ExchangeIndustry,CompanyPos'</f>
        <v>-15</v>
      </c>
      <c r="V291">
        <v>-678</v>
      </c>
      <c r="W291" t="str">
        <v>2022/07/21</v>
      </c>
      <c r="X291" t="str">
        <v>5.50</v>
      </c>
      <c r="Y291">
        <v>11.08</v>
      </c>
      <c r="Z291" t="str">
        <v>-6.74</v>
      </c>
      <c r="AA291" t="str">
        <v>-0.99</v>
      </c>
      <c r="AB291" t="str">
        <v>中華</v>
      </c>
      <c r="AC291" t="str">
        <v>上市汽車</v>
      </c>
      <c r="AD291" t="str">
        <v>裕隆集團與日本三菱技術合作之汽車製造廠</v>
      </c>
      <c r="AE291" t="str">
        <f t="array" ref="AE291:AH291">[1]!'2204.TW-CName,InvestorConferenceDate,DateofMeetingofShareHolders,TradingDate'</f>
        <v>中華</v>
      </c>
      <c r="AF291" t="str">
        <v>2022/11/16</v>
      </c>
      <c r="AG291" t="str">
        <v>2022/06/23</v>
      </c>
      <c r="AH291" t="str">
        <v>2022/12/22</v>
      </c>
    </row>
    <row r="292" spans="1:34" x14ac:dyDescent="0.3">
      <c r="A292" t="str">
        <f t="array" ref="A292:J292">[1]!'2206.TW-ID,Name,MarketValue,Capital,NetIncomeGrowthRate,OperIncomeGrowthRate,FinancialStatementsTime,TFXRatio,MonthlyNetSalesYoY,RevenueMonth'</f>
        <v>2206</v>
      </c>
      <c r="B292" t="str">
        <v>三陽工業</v>
      </c>
      <c r="C292" t="str">
        <v>267.6</v>
      </c>
      <c r="D292" t="str">
        <v>79.75</v>
      </c>
      <c r="E292" t="str">
        <v>82.34</v>
      </c>
      <c r="F292" t="str">
        <v>57.55</v>
      </c>
      <c r="G292" t="str">
        <v>2022/09</v>
      </c>
      <c r="H292" t="str">
        <v>-6.71</v>
      </c>
      <c r="I292" t="str">
        <v>6.34</v>
      </c>
      <c r="J292" t="str">
        <v>2022/11</v>
      </c>
      <c r="K292" t="str">
        <f t="array" ref="K292:T292">[1]!'2206.TW-OperatingProfitRatio,Price,PriceChangeRatio,InOutRatioNumber,Value,YearReturn,MonthReturn,WeekReturn,FinanceBalanceDif,ChipsField2'</f>
        <v>7.41</v>
      </c>
      <c r="L292">
        <v>33.549999999999997</v>
      </c>
      <c r="M292">
        <v>0</v>
      </c>
      <c r="N292" t="str">
        <v>46.17%</v>
      </c>
      <c r="O292" t="str">
        <v>5580萬</v>
      </c>
      <c r="P292" t="str">
        <v>+32.25</v>
      </c>
      <c r="Q292" t="str">
        <v>-6.28</v>
      </c>
      <c r="R292" t="str">
        <v>-8.83</v>
      </c>
      <c r="S292">
        <v>263</v>
      </c>
      <c r="T292">
        <v>-2</v>
      </c>
      <c r="U292">
        <f t="array" ref="U292:AD292">[1]!'2206.TW-ChipsField3,ChipsField1,ChipsField25,CashAndStockDividend,CashDividendYieldRate,ProfitFourSeason,ProfitSingle,CName,ExchangeIndustry,CompanyPos'</f>
        <v>-75</v>
      </c>
      <c r="V292">
        <v>-1158</v>
      </c>
      <c r="W292" t="str">
        <v>2022/07/20</v>
      </c>
      <c r="X292" t="str">
        <v>1.30</v>
      </c>
      <c r="Y292">
        <v>3.87</v>
      </c>
      <c r="Z292" t="str">
        <v>3.73</v>
      </c>
      <c r="AA292" t="str">
        <v>1.17</v>
      </c>
      <c r="AB292" t="str">
        <v>三陽工業</v>
      </c>
      <c r="AC292" t="str">
        <v>上市汽車</v>
      </c>
      <c r="AD292" t="str">
        <v>現代汽車台灣代理商及台灣知名機車製造商</v>
      </c>
      <c r="AE292" t="str">
        <f t="array" ref="AE292:AH292">[1]!'2206.TW-CName,InvestorConferenceDate,DateofMeetingofShareHolders,TradingDate'</f>
        <v>三陽工業</v>
      </c>
      <c r="AF292" t="str">
        <v>--</v>
      </c>
      <c r="AG292" t="str">
        <v>2022/06/23</v>
      </c>
      <c r="AH292" t="str">
        <v>2022/12/22</v>
      </c>
    </row>
    <row r="293" spans="1:34" x14ac:dyDescent="0.3">
      <c r="A293" t="str">
        <f t="array" ref="A293:J293">[1]!'2207.TW-ID,Name,MarketValue,Capital,NetIncomeGrowthRate,OperIncomeGrowthRate,FinancialStatementsTime,TFXRatio,MonthlyNetSalesYoY,RevenueMonth'</f>
        <v>2207</v>
      </c>
      <c r="B293" t="str">
        <v>和泰車</v>
      </c>
      <c r="C293" t="str">
        <v>3255.2</v>
      </c>
      <c r="D293" t="str">
        <v>54.62</v>
      </c>
      <c r="E293" t="str">
        <v>-148.72</v>
      </c>
      <c r="F293" t="str">
        <v>-112.89</v>
      </c>
      <c r="G293" t="str">
        <v>2022/09</v>
      </c>
      <c r="H293" t="str">
        <v>1.59</v>
      </c>
      <c r="I293" t="str">
        <v>12.85</v>
      </c>
      <c r="J293" t="str">
        <v>2022/11</v>
      </c>
      <c r="K293" t="str">
        <f t="array" ref="K293:T293">[1]!'2207.TW-OperatingProfitRatio,Price,PriceChangeRatio,InOutRatioNumber,Value,YearReturn,MonthReturn,WeekReturn,FinanceBalanceDif,ChipsField2'</f>
        <v>-1.46</v>
      </c>
      <c r="L293">
        <v>596</v>
      </c>
      <c r="M293">
        <v>1.88</v>
      </c>
      <c r="N293" t="str">
        <v>75.63%</v>
      </c>
      <c r="O293" t="str">
        <v>7184萬</v>
      </c>
      <c r="P293" t="str">
        <v>+2.48</v>
      </c>
      <c r="Q293" t="str">
        <v>-3.56</v>
      </c>
      <c r="R293" t="str">
        <v>-5.25</v>
      </c>
      <c r="S293">
        <v>3</v>
      </c>
      <c r="T293">
        <v>0</v>
      </c>
      <c r="U293">
        <f t="array" ref="U293:AD293">[1]!'2207.TW-ChipsField3,ChipsField1,ChipsField25,CashAndStockDividend,CashDividendYieldRate,ProfitFourSeason,ProfitSingle,CName,ExchangeIndustry,CompanyPos'</f>
        <v>-13</v>
      </c>
      <c r="V293">
        <v>-47</v>
      </c>
      <c r="W293" t="str">
        <v>2022/07/08</v>
      </c>
      <c r="X293" t="str">
        <v>20.00</v>
      </c>
      <c r="Y293">
        <v>3.36</v>
      </c>
      <c r="Z293" t="str">
        <v>-12.14</v>
      </c>
      <c r="AA293" t="str">
        <v>-24.99</v>
      </c>
      <c r="AB293" t="str">
        <v>和泰車</v>
      </c>
      <c r="AC293" t="str">
        <v>上市汽車</v>
      </c>
      <c r="AD293" t="str">
        <v>TOYOTA台灣獨家代理商</v>
      </c>
      <c r="AE293" t="str">
        <f t="array" ref="AE293:AH293">[1]!'2207.TW-CName,InvestorConferenceDate,DateofMeetingofShareHolders,TradingDate'</f>
        <v>和泰車</v>
      </c>
      <c r="AF293" t="str">
        <v>2022/12/08</v>
      </c>
      <c r="AG293" t="str">
        <v>2022/06/21</v>
      </c>
      <c r="AH293" t="str">
        <v>2022/12/22</v>
      </c>
    </row>
    <row r="294" spans="1:34" x14ac:dyDescent="0.3">
      <c r="A294" t="str">
        <f t="array" ref="A294:J294">[1]!'2227.TW-ID,Name,MarketValue,Capital,NetIncomeGrowthRate,OperIncomeGrowthRate,FinancialStatementsTime,TFXRatio,MonthlyNetSalesYoY,RevenueMonth'</f>
        <v>2227</v>
      </c>
      <c r="B294" t="str">
        <v>裕日車</v>
      </c>
      <c r="C294" t="str">
        <v>585.0</v>
      </c>
      <c r="D294" t="str">
        <v>30.00</v>
      </c>
      <c r="E294" t="str">
        <v>-11.69</v>
      </c>
      <c r="F294" t="str">
        <v>-37.06</v>
      </c>
      <c r="G294" t="str">
        <v>2022/09</v>
      </c>
      <c r="H294" t="str">
        <v>5.17</v>
      </c>
      <c r="I294" t="str">
        <v>35.17</v>
      </c>
      <c r="J294" t="str">
        <v>2022/11</v>
      </c>
      <c r="K294" t="str">
        <f t="array" ref="K294:T294">[1]!'2227.TW-OperatingProfitRatio,Price,PriceChangeRatio,InOutRatioNumber,Value,YearReturn,MonthReturn,WeekReturn,FinanceBalanceDif,ChipsField2'</f>
        <v>0.57</v>
      </c>
      <c r="L294">
        <v>195</v>
      </c>
      <c r="M294">
        <v>1.3</v>
      </c>
      <c r="N294" t="str">
        <v>40.00%</v>
      </c>
      <c r="O294" t="str">
        <v>289萬</v>
      </c>
      <c r="P294" t="str">
        <v>-17.55</v>
      </c>
      <c r="Q294" t="str">
        <v>+5.69</v>
      </c>
      <c r="R294" t="str">
        <v>-4.41</v>
      </c>
      <c r="S294">
        <v>0</v>
      </c>
      <c r="T294">
        <v>0</v>
      </c>
      <c r="U294">
        <f t="array" ref="U294:AD294">[1]!'2227.TW-ChipsField3,ChipsField1,ChipsField25,CashAndStockDividend,CashDividendYieldRate,ProfitFourSeason,ProfitSingle,CName,ExchangeIndustry,CompanyPos'</f>
        <v>1</v>
      </c>
      <c r="V294">
        <v>-4</v>
      </c>
      <c r="W294" t="str">
        <v>2022/08/25</v>
      </c>
      <c r="X294" t="str">
        <v>9.06</v>
      </c>
      <c r="Y294">
        <v>4.6500000000000004</v>
      </c>
      <c r="Z294" t="str">
        <v>9.22</v>
      </c>
      <c r="AA294" t="str">
        <v>3.11</v>
      </c>
      <c r="AB294" t="str">
        <v>裕日車</v>
      </c>
      <c r="AC294" t="str">
        <v>上市汽車</v>
      </c>
      <c r="AD294" t="str">
        <v>裕隆集團為NISSAN在台灣地區研發及銷售成立之公司</v>
      </c>
      <c r="AE294" t="str">
        <f t="array" ref="AE294:AH294">[1]!'2227.TW-CName,InvestorConferenceDate,DateofMeetingofShareHolders,TradingDate'</f>
        <v>裕日車</v>
      </c>
      <c r="AF294" t="str">
        <v>2022/11/16</v>
      </c>
      <c r="AG294" t="str">
        <v>2022/06/24</v>
      </c>
      <c r="AH294" t="str">
        <v>2022/12/22</v>
      </c>
    </row>
    <row r="295" spans="1:34" x14ac:dyDescent="0.3">
      <c r="A295" t="str">
        <f t="array" ref="A295:J295">[1]!'2228.TW-ID,Name,MarketValue,Capital,NetIncomeGrowthRate,OperIncomeGrowthRate,FinancialStatementsTime,TFXRatio,MonthlyNetSalesYoY,RevenueMonth'</f>
        <v>2228</v>
      </c>
      <c r="B295" t="str">
        <v>劍麟</v>
      </c>
      <c r="C295" t="str">
        <v>57.3</v>
      </c>
      <c r="D295" t="str">
        <v>7.58</v>
      </c>
      <c r="E295" t="str">
        <v>71.95</v>
      </c>
      <c r="F295" t="str">
        <v>186.17</v>
      </c>
      <c r="G295" t="str">
        <v>2022/09</v>
      </c>
      <c r="H295" t="str">
        <v>2.39</v>
      </c>
      <c r="I295" t="str">
        <v>21.57</v>
      </c>
      <c r="J295" t="str">
        <v>2022/11</v>
      </c>
      <c r="K295" t="str">
        <f t="array" ref="K295:T295">[1]!'2228.TW-OperatingProfitRatio,Price,PriceChangeRatio,InOutRatioNumber,Value,YearReturn,MonthReturn,WeekReturn,FinanceBalanceDif,ChipsField2'</f>
        <v>10.34</v>
      </c>
      <c r="L295">
        <v>75.599999999999994</v>
      </c>
      <c r="M295">
        <v>0.67</v>
      </c>
      <c r="N295" t="str">
        <v>7.32%</v>
      </c>
      <c r="O295" t="str">
        <v>309萬</v>
      </c>
      <c r="P295" t="str">
        <v>+15.35</v>
      </c>
      <c r="Q295" t="str">
        <v>-6.90</v>
      </c>
      <c r="R295" t="str">
        <v>-4.91</v>
      </c>
      <c r="S295">
        <v>-3</v>
      </c>
      <c r="T295">
        <v>0</v>
      </c>
      <c r="U295">
        <f t="array" ref="U295:AD295">[1]!'2228.TW-ChipsField3,ChipsField1,ChipsField25,CashAndStockDividend,CashDividendYieldRate,ProfitFourSeason,ProfitSingle,CName,ExchangeIndustry,CompanyPos'</f>
        <v>0</v>
      </c>
      <c r="V295">
        <v>-6</v>
      </c>
      <c r="W295" t="str">
        <v>2022/07/28</v>
      </c>
      <c r="X295" t="str">
        <v>2.00</v>
      </c>
      <c r="Y295">
        <v>2.65</v>
      </c>
      <c r="Z295" t="str">
        <v>5.10</v>
      </c>
      <c r="AA295" t="str">
        <v>2.51</v>
      </c>
      <c r="AB295" t="str">
        <v>劍麟</v>
      </c>
      <c r="AC295" t="str">
        <v>上市汽車</v>
      </c>
      <c r="AD295" t="str">
        <v>為汽車安全氣囊零組件製造商</v>
      </c>
      <c r="AE295" t="str">
        <f t="array" ref="AE295:AH295">[1]!'2228.TW-CName,InvestorConferenceDate,DateofMeetingofShareHolders,TradingDate'</f>
        <v>劍麟</v>
      </c>
      <c r="AF295" t="str">
        <v>2022/10/13</v>
      </c>
      <c r="AG295" t="str">
        <v>2022/06/24</v>
      </c>
      <c r="AH295" t="str">
        <v>2022/12/22</v>
      </c>
    </row>
    <row r="296" spans="1:34" x14ac:dyDescent="0.3">
      <c r="A296" t="str">
        <f t="array" ref="A296:J296">[1]!'2231.TW-ID,Name,MarketValue,Capital,NetIncomeGrowthRate,OperIncomeGrowthRate,FinancialStatementsTime,TFXRatio,MonthlyNetSalesYoY,RevenueMonth'</f>
        <v>2231</v>
      </c>
      <c r="B296" t="str">
        <v>為升</v>
      </c>
      <c r="C296" t="str">
        <v>194.5</v>
      </c>
      <c r="D296" t="str">
        <v>13.41</v>
      </c>
      <c r="E296" t="str">
        <v>-19.93</v>
      </c>
      <c r="F296" t="str">
        <v>-66.89</v>
      </c>
      <c r="G296" t="str">
        <v>2022/09</v>
      </c>
      <c r="H296" t="str">
        <v>11.63</v>
      </c>
      <c r="I296" t="str">
        <v>15.11</v>
      </c>
      <c r="J296" t="str">
        <v>2022/11</v>
      </c>
      <c r="K296" t="str">
        <f t="array" ref="K296:T296">[1]!'2231.TW-OperatingProfitRatio,Price,PriceChangeRatio,InOutRatioNumber,Value,YearReturn,MonthReturn,WeekReturn,FinanceBalanceDif,ChipsField2'</f>
        <v>5.89</v>
      </c>
      <c r="L296">
        <v>145</v>
      </c>
      <c r="M296">
        <v>0.69</v>
      </c>
      <c r="N296" t="str">
        <v>31.61%</v>
      </c>
      <c r="O296" t="str">
        <v>7402萬</v>
      </c>
      <c r="P296" t="str">
        <v>-10.75</v>
      </c>
      <c r="Q296" t="str">
        <v>-1.69</v>
      </c>
      <c r="R296" t="str">
        <v>-7.05</v>
      </c>
      <c r="S296">
        <v>51</v>
      </c>
      <c r="T296">
        <v>51</v>
      </c>
      <c r="U296">
        <f t="array" ref="U296:AD296">[1]!'2231.TW-ChipsField3,ChipsField1,ChipsField25,CashAndStockDividend,CashDividendYieldRate,ProfitFourSeason,ProfitSingle,CName,ExchangeIndustry,CompanyPos'</f>
        <v>65</v>
      </c>
      <c r="V296">
        <v>-283</v>
      </c>
      <c r="W296" t="str">
        <v>2022/06/22</v>
      </c>
      <c r="X296" t="str">
        <v>2.00</v>
      </c>
      <c r="Y296">
        <v>1.38</v>
      </c>
      <c r="Z296" t="str">
        <v>4.41</v>
      </c>
      <c r="AA296" t="str">
        <v>1.26</v>
      </c>
      <c r="AB296" t="str">
        <v>為升</v>
      </c>
      <c r="AC296" t="str">
        <v>上市汽車</v>
      </c>
      <c r="AD296" t="str">
        <v>主要經營電裝品、TPMS及毫米波雷達銷售</v>
      </c>
      <c r="AE296" t="str">
        <f t="array" ref="AE296:AH296">[1]!'2231.TW-CName,InvestorConferenceDate,DateofMeetingofShareHolders,TradingDate'</f>
        <v>為升</v>
      </c>
      <c r="AF296" t="str">
        <v>2022/10/20</v>
      </c>
      <c r="AG296" t="str">
        <v>2022/05/26</v>
      </c>
      <c r="AH296" t="str">
        <v>2022/12/22</v>
      </c>
    </row>
    <row r="297" spans="1:34" x14ac:dyDescent="0.3">
      <c r="A297" t="str">
        <f t="array" ref="A297:J297">[1]!'2233.TW-ID,Name,MarketValue,Capital,NetIncomeGrowthRate,OperIncomeGrowthRate,FinancialStatementsTime,TFXRatio,MonthlyNetSalesYoY,RevenueMonth'</f>
        <v>2233</v>
      </c>
      <c r="B297" t="str">
        <v>宇隆</v>
      </c>
      <c r="C297" t="str">
        <v>59.8</v>
      </c>
      <c r="D297" t="str">
        <v>6.03</v>
      </c>
      <c r="E297" t="str">
        <v>21.96</v>
      </c>
      <c r="F297" t="str">
        <v>-20.16</v>
      </c>
      <c r="G297" t="str">
        <v>2022/09</v>
      </c>
      <c r="H297" t="str">
        <v>15.38</v>
      </c>
      <c r="I297" t="str">
        <v>12.48</v>
      </c>
      <c r="J297" t="str">
        <v>2022/11</v>
      </c>
      <c r="K297" t="str">
        <f t="array" ref="K297:T297">[1]!'2233.TW-OperatingProfitRatio,Price,PriceChangeRatio,InOutRatioNumber,Value,YearReturn,MonthReturn,WeekReturn,FinanceBalanceDif,ChipsField2'</f>
        <v>16.66</v>
      </c>
      <c r="L297">
        <v>99.2</v>
      </c>
      <c r="M297">
        <v>0.51</v>
      </c>
      <c r="N297" t="str">
        <v>50.00%</v>
      </c>
      <c r="O297" t="str">
        <v>218萬</v>
      </c>
      <c r="P297" t="str">
        <v>+10.80</v>
      </c>
      <c r="Q297" t="str">
        <v>+4.20</v>
      </c>
      <c r="R297" t="str">
        <v>-3.22</v>
      </c>
      <c r="S297">
        <v>4</v>
      </c>
      <c r="T297">
        <v>0</v>
      </c>
      <c r="U297">
        <f t="array" ref="U297:AD297">[1]!'2233.TW-ChipsField3,ChipsField1,ChipsField25,CashAndStockDividend,CashDividendYieldRate,ProfitFourSeason,ProfitSingle,CName,ExchangeIndustry,CompanyPos'</f>
        <v>0</v>
      </c>
      <c r="V297">
        <v>-8</v>
      </c>
      <c r="W297" t="str">
        <v>2022/07/29</v>
      </c>
      <c r="X297" t="str">
        <v>5.40</v>
      </c>
      <c r="Y297">
        <v>5.44</v>
      </c>
      <c r="Z297" t="str">
        <v>10.46</v>
      </c>
      <c r="AA297" t="str">
        <v>2.78</v>
      </c>
      <c r="AB297" t="str">
        <v>宇隆</v>
      </c>
      <c r="AC297" t="str">
        <v>上市汽車</v>
      </c>
      <c r="AD297" t="str">
        <v>汽車噴油嘴零件大廠</v>
      </c>
      <c r="AE297" t="str">
        <f t="array" ref="AE297:AH297">[1]!'2233.TW-CName,InvestorConferenceDate,DateofMeetingofShareHolders,TradingDate'</f>
        <v>宇隆</v>
      </c>
      <c r="AF297" t="str">
        <v>2022/11/29</v>
      </c>
      <c r="AG297" t="str">
        <v>2022/08/31</v>
      </c>
      <c r="AH297" t="str">
        <v>2022/12/22</v>
      </c>
    </row>
    <row r="298" spans="1:34" x14ac:dyDescent="0.3">
      <c r="A298" t="str">
        <f t="array" ref="A298:J298">[1]!'2236.TW-ID,Name,MarketValue,Capital,NetIncomeGrowthRate,OperIncomeGrowthRate,FinancialStatementsTime,TFXRatio,MonthlyNetSalesYoY,RevenueMonth'</f>
        <v>2236</v>
      </c>
      <c r="B298" t="str">
        <v>百達-KY</v>
      </c>
      <c r="C298" t="str">
        <v>10.8</v>
      </c>
      <c r="D298" t="str">
        <v>4.58</v>
      </c>
      <c r="E298" t="str">
        <v>-23.56</v>
      </c>
      <c r="F298" t="str">
        <v>-28.57</v>
      </c>
      <c r="G298" t="str">
        <v>2022/09</v>
      </c>
      <c r="H298" t="str">
        <v>17.51</v>
      </c>
      <c r="I298" t="str">
        <v>-5.60</v>
      </c>
      <c r="J298" t="str">
        <v>2022/11</v>
      </c>
      <c r="K298" t="str">
        <f t="array" ref="K298:T298">[1]!'2236.TW-OperatingProfitRatio,Price,PriceChangeRatio,InOutRatioNumber,Value,YearReturn,MonthReturn,WeekReturn,FinanceBalanceDif,ChipsField2'</f>
        <v>5.74</v>
      </c>
      <c r="L298">
        <v>23.5</v>
      </c>
      <c r="M298">
        <v>-0.63</v>
      </c>
      <c r="N298" t="str">
        <v>43.73%</v>
      </c>
      <c r="O298" t="str">
        <v>741萬</v>
      </c>
      <c r="P298" t="str">
        <v>-1.96</v>
      </c>
      <c r="Q298" t="str">
        <v>+16.92</v>
      </c>
      <c r="R298" t="str">
        <v>-4.28</v>
      </c>
      <c r="S298">
        <v>-6</v>
      </c>
      <c r="T298">
        <v>0</v>
      </c>
      <c r="U298">
        <f t="array" ref="U298:AD298">[1]!'2236.TW-ChipsField3,ChipsField1,ChipsField25,CashAndStockDividend,CashDividendYieldRate,ProfitFourSeason,ProfitSingle,CName,ExchangeIndustry,CompanyPos'</f>
        <v>2</v>
      </c>
      <c r="V298">
        <v>5</v>
      </c>
      <c r="W298" t="str">
        <v>2022/09/16</v>
      </c>
      <c r="X298" t="str">
        <v>0.18</v>
      </c>
      <c r="Y298">
        <v>19.149999999999999</v>
      </c>
      <c r="Z298" t="str">
        <v>1.27</v>
      </c>
      <c r="AA298" t="str">
        <v>0.30</v>
      </c>
      <c r="AB298" t="str">
        <v>百達-KY</v>
      </c>
      <c r="AC298" t="str">
        <v>上市汽車</v>
      </c>
      <c r="AD298" t="str">
        <v>全球唯二汽車零組件一條龍之新加坡商</v>
      </c>
      <c r="AE298" t="str">
        <f t="array" ref="AE298:AH298">[1]!'2236.TW-CName,InvestorConferenceDate,DateofMeetingofShareHolders,TradingDate'</f>
        <v>百達-KY</v>
      </c>
      <c r="AF298" t="str">
        <v>2022/12/06</v>
      </c>
      <c r="AG298" t="str">
        <v>2022/06/20</v>
      </c>
      <c r="AH298" t="str">
        <v>2022/12/22</v>
      </c>
    </row>
    <row r="299" spans="1:34" x14ac:dyDescent="0.3">
      <c r="A299" t="str">
        <f t="array" ref="A299:J299">[1]!'2239.TW-ID,Name,MarketValue,Capital,NetIncomeGrowthRate,OperIncomeGrowthRate,FinancialStatementsTime,TFXRatio,MonthlyNetSalesYoY,RevenueMonth'</f>
        <v>2239</v>
      </c>
      <c r="B299" t="str">
        <v>英利-KY</v>
      </c>
      <c r="C299" t="str">
        <v>70.5</v>
      </c>
      <c r="D299" t="str">
        <v>11.85</v>
      </c>
      <c r="E299" t="str">
        <v>-121.31</v>
      </c>
      <c r="F299" t="str">
        <v>-122.82</v>
      </c>
      <c r="G299" t="str">
        <v>2022/09</v>
      </c>
      <c r="H299" t="str">
        <v>-8.34</v>
      </c>
      <c r="I299" t="str">
        <v>14.00</v>
      </c>
      <c r="J299" t="str">
        <v>2022/11</v>
      </c>
      <c r="K299" t="str">
        <f t="array" ref="K299:T299">[1]!'2239.TW-OperatingProfitRatio,Price,PriceChangeRatio,InOutRatioNumber,Value,YearReturn,MonthReturn,WeekReturn,FinanceBalanceDif,ChipsField2'</f>
        <v>-0.59</v>
      </c>
      <c r="L299">
        <v>59.5</v>
      </c>
      <c r="M299">
        <v>0</v>
      </c>
      <c r="N299" t="str">
        <v>3.70%</v>
      </c>
      <c r="O299" t="str">
        <v>167萬</v>
      </c>
      <c r="P299" t="str">
        <v>-22.79</v>
      </c>
      <c r="Q299" t="str">
        <v>-1.49</v>
      </c>
      <c r="R299" t="str">
        <v>-5.56</v>
      </c>
      <c r="S299">
        <v>-13</v>
      </c>
      <c r="T299">
        <v>0</v>
      </c>
      <c r="U299">
        <f t="array" ref="U299:AD299">[1]!'2239.TW-ChipsField3,ChipsField1,ChipsField25,CashAndStockDividend,CashDividendYieldRate,ProfitFourSeason,ProfitSingle,CName,ExchangeIndustry,CompanyPos'</f>
        <v>-6</v>
      </c>
      <c r="V299">
        <v>-6</v>
      </c>
      <c r="W299" t="str">
        <v>2022/07/21</v>
      </c>
      <c r="X299" t="str">
        <v>2.50</v>
      </c>
      <c r="Y299">
        <v>4.2</v>
      </c>
      <c r="Z299" t="str">
        <v>1.71</v>
      </c>
      <c r="AA299" t="str">
        <v>0.77</v>
      </c>
      <c r="AB299" t="str">
        <v>英利-KY</v>
      </c>
      <c r="AC299" t="str">
        <v>上市汽車</v>
      </c>
      <c r="AD299" t="str">
        <v>台商企業，為大陸整車廠提供汽車結構件</v>
      </c>
      <c r="AE299" t="str">
        <f t="array" ref="AE299:AH299">[1]!'2239.TW-CName,InvestorConferenceDate,DateofMeetingofShareHolders,TradingDate'</f>
        <v>英利-KY</v>
      </c>
      <c r="AF299" t="str">
        <v>2022/11/16</v>
      </c>
      <c r="AG299" t="str">
        <v>2022/06/24</v>
      </c>
      <c r="AH299" t="str">
        <v>2022/12/22</v>
      </c>
    </row>
    <row r="300" spans="1:34" x14ac:dyDescent="0.3">
      <c r="A300" t="str">
        <f t="array" ref="A300:J300">[1]!'2241.TW-ID,Name,MarketValue,Capital,NetIncomeGrowthRate,OperIncomeGrowthRate,FinancialStatementsTime,TFXRatio,MonthlyNetSalesYoY,RevenueMonth'</f>
        <v>2241</v>
      </c>
      <c r="B300" t="str">
        <v>艾姆勒</v>
      </c>
      <c r="C300" t="str">
        <v>27.6</v>
      </c>
      <c r="D300" t="str">
        <v>8.96</v>
      </c>
      <c r="E300" t="str">
        <v>-152.77</v>
      </c>
      <c r="F300" t="str">
        <v>-665.62</v>
      </c>
      <c r="G300" t="str">
        <v>2022/09</v>
      </c>
      <c r="H300" t="str">
        <v>2.49</v>
      </c>
      <c r="I300" t="str">
        <v>-46.75</v>
      </c>
      <c r="J300" t="str">
        <v>2022/11</v>
      </c>
      <c r="K300" t="str">
        <f t="array" ref="K300:T300">[1]!'2241.TW-OperatingProfitRatio,Price,PriceChangeRatio,InOutRatioNumber,Value,YearReturn,MonthReturn,WeekReturn,FinanceBalanceDif,ChipsField2'</f>
        <v>-36.58</v>
      </c>
      <c r="L300">
        <v>30.8</v>
      </c>
      <c r="M300">
        <v>0.49</v>
      </c>
      <c r="N300" t="str">
        <v>7.69%</v>
      </c>
      <c r="O300" t="str">
        <v>40.0萬</v>
      </c>
      <c r="P300" t="str">
        <v>-38.89</v>
      </c>
      <c r="Q300" t="str">
        <v>+1.82</v>
      </c>
      <c r="R300" t="str">
        <v>-4.50</v>
      </c>
      <c r="S300">
        <v>-6</v>
      </c>
      <c r="T300">
        <v>0</v>
      </c>
      <c r="U300">
        <f t="array" ref="U300:AD300">[1]!'2241.TW-ChipsField3,ChipsField1,ChipsField25,CashAndStockDividend,CashDividendYieldRate,ProfitFourSeason,ProfitSingle,CName,ExchangeIndustry,CompanyPos'</f>
        <v>0</v>
      </c>
      <c r="V300">
        <v>1</v>
      </c>
      <c r="W300" t="str">
        <v>--</v>
      </c>
      <c r="X300" t="str">
        <v>0.00</v>
      </c>
      <c r="Y300">
        <v>0</v>
      </c>
      <c r="Z300" t="str">
        <v>-2.13</v>
      </c>
      <c r="AA300" t="str">
        <v>-0.68</v>
      </c>
      <c r="AB300" t="str">
        <v>艾姆勒</v>
      </c>
      <c r="AC300" t="str">
        <v>上市汽車</v>
      </c>
      <c r="AD300" t="str">
        <v>主要生產電動車及油電混合車的逆變器散熱產品</v>
      </c>
      <c r="AE300" t="str">
        <f t="array" ref="AE300:AH300">[1]!'2241.TW-CName,InvestorConferenceDate,DateofMeetingofShareHolders,TradingDate'</f>
        <v>艾姆勒</v>
      </c>
      <c r="AF300" t="str">
        <v>2022/08/11</v>
      </c>
      <c r="AG300" t="str">
        <v>2022/05/26</v>
      </c>
      <c r="AH300" t="str">
        <v>2022/12/22</v>
      </c>
    </row>
    <row r="301" spans="1:34" x14ac:dyDescent="0.3">
      <c r="A301" t="str">
        <f t="array" ref="A301:J301">[1]!'2243.TW-ID,Name,MarketValue,Capital,NetIncomeGrowthRate,OperIncomeGrowthRate,FinancialStatementsTime,TFXRatio,MonthlyNetSalesYoY,RevenueMonth'</f>
        <v>2243</v>
      </c>
      <c r="B301" t="str">
        <v>宏旭-KY</v>
      </c>
      <c r="C301" t="str">
        <v>6.0</v>
      </c>
      <c r="D301" t="str">
        <v>4.60</v>
      </c>
      <c r="E301" t="str">
        <v>160.82</v>
      </c>
      <c r="F301" t="str">
        <v>316.74</v>
      </c>
      <c r="G301" t="str">
        <v>2022/09</v>
      </c>
      <c r="H301" t="str">
        <v>-49.09</v>
      </c>
      <c r="I301" t="str">
        <v>-49.83</v>
      </c>
      <c r="J301" t="str">
        <v>2022/11</v>
      </c>
      <c r="K301" t="str">
        <f t="array" ref="K301:T301">[1]!'2243.TW-OperatingProfitRatio,Price,PriceChangeRatio,InOutRatioNumber,Value,YearReturn,MonthReturn,WeekReturn,FinanceBalanceDif,ChipsField2'</f>
        <v>4.20</v>
      </c>
      <c r="L301">
        <v>13.1</v>
      </c>
      <c r="M301">
        <v>-2.6</v>
      </c>
      <c r="N301" t="str">
        <v>39.43%</v>
      </c>
      <c r="O301" t="str">
        <v>647萬</v>
      </c>
      <c r="P301" t="str">
        <v>-32.30</v>
      </c>
      <c r="Q301" t="str">
        <v>+4.80</v>
      </c>
      <c r="R301" t="str">
        <v>+4.80</v>
      </c>
      <c r="S301">
        <v>72</v>
      </c>
      <c r="T301">
        <v>0</v>
      </c>
      <c r="U301">
        <f t="array" ref="U301:AD301">[1]!'2243.TW-ChipsField3,ChipsField1,ChipsField25,CashAndStockDividend,CashDividendYieldRate,ProfitFourSeason,ProfitSingle,CName,ExchangeIndustry,CompanyPos'</f>
        <v>0</v>
      </c>
      <c r="V301">
        <v>-3</v>
      </c>
      <c r="W301" t="str">
        <v>--</v>
      </c>
      <c r="X301" t="str">
        <v>0.00</v>
      </c>
      <c r="Y301">
        <v>0</v>
      </c>
      <c r="Z301" t="str">
        <v>-0.37</v>
      </c>
      <c r="AA301" t="str">
        <v>0.10</v>
      </c>
      <c r="AB301" t="str">
        <v>宏旭-KY</v>
      </c>
      <c r="AC301" t="str">
        <v>上市汽車</v>
      </c>
      <c r="AD301" t="str">
        <v>大陸台資第一大、行業前五大的車身模具廠</v>
      </c>
      <c r="AE301" t="str">
        <f t="array" ref="AE301:AH301">[1]!'2243.TW-CName,InvestorConferenceDate,DateofMeetingofShareHolders,TradingDate'</f>
        <v>宏旭-KY</v>
      </c>
      <c r="AF301" t="str">
        <v>2022/09/06</v>
      </c>
      <c r="AG301" t="str">
        <v>2022/10/20</v>
      </c>
      <c r="AH301" t="str">
        <v>2022/12/22</v>
      </c>
    </row>
    <row r="302" spans="1:34" x14ac:dyDescent="0.3">
      <c r="A302" t="str">
        <f t="array" ref="A302:J302">[1]!'2247.TW-ID,Name,MarketValue,Capital,NetIncomeGrowthRate,OperIncomeGrowthRate,FinancialStatementsTime,TFXRatio,MonthlyNetSalesYoY,RevenueMonth'</f>
        <v>2247</v>
      </c>
      <c r="B302" t="str">
        <v>汎德永業</v>
      </c>
      <c r="C302" t="str">
        <v>169.9</v>
      </c>
      <c r="D302" t="str">
        <v>8.07</v>
      </c>
      <c r="E302" t="str">
        <v>18.63</v>
      </c>
      <c r="F302" t="str">
        <v>16.82</v>
      </c>
      <c r="G302" t="str">
        <v>2022/09</v>
      </c>
      <c r="H302" t="str">
        <v>17.87</v>
      </c>
      <c r="I302" t="str">
        <v>11.88</v>
      </c>
      <c r="J302" t="str">
        <v>2022/11</v>
      </c>
      <c r="K302" t="str">
        <f t="array" ref="K302:T302">[1]!'2247.TW-OperatingProfitRatio,Price,PriceChangeRatio,InOutRatioNumber,Value,YearReturn,MonthReturn,WeekReturn,FinanceBalanceDif,ChipsField2'</f>
        <v>3.99</v>
      </c>
      <c r="L302">
        <v>210.5</v>
      </c>
      <c r="M302">
        <v>1.69</v>
      </c>
      <c r="N302" t="str">
        <v>83.33%</v>
      </c>
      <c r="O302" t="str">
        <v>252萬</v>
      </c>
      <c r="P302" t="str">
        <v>+6.41</v>
      </c>
      <c r="Q302" t="str">
        <v>+0.72</v>
      </c>
      <c r="R302" t="str">
        <v>-2.55</v>
      </c>
      <c r="S302">
        <v>1</v>
      </c>
      <c r="T302">
        <v>0</v>
      </c>
      <c r="U302">
        <f t="array" ref="U302:AD302">[1]!'2247.TW-ChipsField3,ChipsField1,ChipsField25,CashAndStockDividend,CashDividendYieldRate,ProfitFourSeason,ProfitSingle,CName,ExchangeIndustry,CompanyPos'</f>
        <v>2</v>
      </c>
      <c r="V302">
        <v>-3</v>
      </c>
      <c r="W302" t="str">
        <v>2022/07/05</v>
      </c>
      <c r="X302" t="str">
        <v>12.00</v>
      </c>
      <c r="Y302">
        <v>5.7</v>
      </c>
      <c r="Z302" t="str">
        <v>17.45</v>
      </c>
      <c r="AA302" t="str">
        <v>4.38</v>
      </c>
      <c r="AB302" t="str">
        <v>汎德永業</v>
      </c>
      <c r="AC302" t="str">
        <v>上市汽車</v>
      </c>
      <c r="AD302" t="str">
        <v>豪華進口車代理商</v>
      </c>
      <c r="AE302" t="str">
        <f t="array" ref="AE302:AH302">[1]!'2247.TW-CName,InvestorConferenceDate,DateofMeetingofShareHolders,TradingDate'</f>
        <v>汎德永業</v>
      </c>
      <c r="AF302" t="str">
        <v>2022/11/17</v>
      </c>
      <c r="AG302" t="str">
        <v>2022/06/17</v>
      </c>
      <c r="AH302" t="str">
        <v>2022/12/22</v>
      </c>
    </row>
    <row r="303" spans="1:34" x14ac:dyDescent="0.3">
      <c r="A303" t="str">
        <f t="array" ref="A303:J303">[1]!'2250.TW-ID,Name,MarketValue,Capital,NetIncomeGrowthRate,OperIncomeGrowthRate,FinancialStatementsTime,TFXRatio,MonthlyNetSalesYoY,RevenueMonth'</f>
        <v>2250</v>
      </c>
      <c r="B303" t="str">
        <v>IKKA-KY</v>
      </c>
      <c r="C303" t="str">
        <v>21.1</v>
      </c>
      <c r="D303" t="str">
        <v>2.92</v>
      </c>
      <c r="E303" t="str">
        <v>-43.21</v>
      </c>
      <c r="F303" t="str">
        <v>-60.30</v>
      </c>
      <c r="G303" t="str">
        <v>2022/09</v>
      </c>
      <c r="H303" t="str">
        <v>11.07</v>
      </c>
      <c r="I303" t="str">
        <v>-7.52</v>
      </c>
      <c r="J303" t="str">
        <v>2022/11</v>
      </c>
      <c r="K303" t="str">
        <f t="array" ref="K303:T303">[1]!'2250.TW-OperatingProfitRatio,Price,PriceChangeRatio,InOutRatioNumber,Value,YearReturn,MonthReturn,WeekReturn,FinanceBalanceDif,ChipsField2'</f>
        <v>2.67</v>
      </c>
      <c r="L303">
        <v>72.400000000000006</v>
      </c>
      <c r="M303">
        <v>-0.14000000000000001</v>
      </c>
      <c r="N303" t="str">
        <v>21.74%</v>
      </c>
      <c r="O303" t="str">
        <v>167萬</v>
      </c>
      <c r="P303" t="str">
        <v>-35.11</v>
      </c>
      <c r="Q303" t="str">
        <v>+5.54</v>
      </c>
      <c r="R303" t="str">
        <v>-3.85</v>
      </c>
      <c r="S303">
        <v>0</v>
      </c>
      <c r="T303">
        <v>0</v>
      </c>
      <c r="U303">
        <f t="array" ref="U303:AD303">[1]!'2250.TW-ChipsField3,ChipsField1,ChipsField25,CashAndStockDividend,CashDividendYieldRate,ProfitFourSeason,ProfitSingle,CName,ExchangeIndustry,CompanyPos'</f>
        <v>0</v>
      </c>
      <c r="V303">
        <v>-1</v>
      </c>
      <c r="W303" t="str">
        <v>2022/07/28</v>
      </c>
      <c r="X303" t="str">
        <v>3.22</v>
      </c>
      <c r="Y303">
        <v>4.45</v>
      </c>
      <c r="Z303" t="str">
        <v>3.71</v>
      </c>
      <c r="AA303" t="str">
        <v>0.84</v>
      </c>
      <c r="AB303" t="str">
        <v>IKKA-KY</v>
      </c>
      <c r="AC303" t="str">
        <v>上市汽車</v>
      </c>
      <c r="AD303" t="str">
        <v>能率集團旗下，日本車用沖壓件OEM廠商</v>
      </c>
      <c r="AE303" t="str">
        <f t="array" ref="AE303:AH303">[1]!'2250.TW-CName,InvestorConferenceDate,DateofMeetingofShareHolders,TradingDate'</f>
        <v>IKKA-KY</v>
      </c>
      <c r="AF303" t="str">
        <v>2022/12/07</v>
      </c>
      <c r="AG303" t="str">
        <v>2022/06/24</v>
      </c>
      <c r="AH303" t="str">
        <v>2022/12/22</v>
      </c>
    </row>
    <row r="304" spans="1:34" x14ac:dyDescent="0.3">
      <c r="A304" t="str">
        <f t="array" ref="A304:J304">[1]!'2497.TW-ID,Name,MarketValue,Capital,NetIncomeGrowthRate,OperIncomeGrowthRate,FinancialStatementsTime,TFXRatio,MonthlyNetSalesYoY,RevenueMonth'</f>
        <v>2497</v>
      </c>
      <c r="B304" t="str">
        <v>怡利電</v>
      </c>
      <c r="C304" t="str">
        <v>90.3</v>
      </c>
      <c r="D304" t="str">
        <v>12.28</v>
      </c>
      <c r="E304" t="str">
        <v>3027.55</v>
      </c>
      <c r="F304" t="str">
        <v>229.21</v>
      </c>
      <c r="G304" t="str">
        <v>2022/09</v>
      </c>
      <c r="H304" t="str">
        <v>26.02</v>
      </c>
      <c r="I304" t="str">
        <v>42.20</v>
      </c>
      <c r="J304" t="str">
        <v>2022/11</v>
      </c>
      <c r="K304" t="str">
        <f t="array" ref="K304:T304">[1]!'2497.TW-OperatingProfitRatio,Price,PriceChangeRatio,InOutRatioNumber,Value,YearReturn,MonthReturn,WeekReturn,FinanceBalanceDif,ChipsField2'</f>
        <v>7.18</v>
      </c>
      <c r="L304">
        <v>73.5</v>
      </c>
      <c r="M304">
        <v>1.94</v>
      </c>
      <c r="N304" t="str">
        <v>51.46%</v>
      </c>
      <c r="O304" t="str">
        <v>7959萬</v>
      </c>
      <c r="P304" t="str">
        <v>-9.37</v>
      </c>
      <c r="Q304" t="str">
        <v>+0.14</v>
      </c>
      <c r="R304" t="str">
        <v>-8.24</v>
      </c>
      <c r="S304">
        <v>-137</v>
      </c>
      <c r="T304">
        <v>0</v>
      </c>
      <c r="U304">
        <f t="array" ref="U304:AD304">[1]!'2497.TW-ChipsField3,ChipsField1,ChipsField25,CashAndStockDividend,CashDividendYieldRate,ProfitFourSeason,ProfitSingle,CName,ExchangeIndustry,CompanyPos'</f>
        <v>-2</v>
      </c>
      <c r="V304">
        <v>-320</v>
      </c>
      <c r="W304" t="str">
        <v>--</v>
      </c>
      <c r="X304" t="str">
        <v>0.00</v>
      </c>
      <c r="Y304">
        <v>0</v>
      </c>
      <c r="Z304" t="str">
        <v>2.97</v>
      </c>
      <c r="AA304" t="str">
        <v>0.98</v>
      </c>
      <c r="AB304" t="str">
        <v>怡利電</v>
      </c>
      <c r="AC304" t="str">
        <v>上市汽車</v>
      </c>
      <c r="AD304" t="str">
        <v>國內車載影音主機大廠</v>
      </c>
      <c r="AE304" t="str">
        <f t="array" ref="AE304:AH304">[1]!'2497.TW-CName,InvestorConferenceDate,DateofMeetingofShareHolders,TradingDate'</f>
        <v>怡利電</v>
      </c>
      <c r="AF304" t="str">
        <v>2022/11/09</v>
      </c>
      <c r="AG304" t="str">
        <v>2022/06/15</v>
      </c>
      <c r="AH304" t="str">
        <v>2022/12/22</v>
      </c>
    </row>
    <row r="305" spans="1:34" x14ac:dyDescent="0.3">
      <c r="A305" t="str">
        <f t="array" ref="A305:J305">[1]!'3346.TW-ID,Name,MarketValue,Capital,NetIncomeGrowthRate,OperIncomeGrowthRate,FinancialStatementsTime,TFXRatio,MonthlyNetSalesYoY,RevenueMonth'</f>
        <v>3346</v>
      </c>
      <c r="B305" t="str">
        <v>麗清</v>
      </c>
      <c r="C305" t="str">
        <v>39.8</v>
      </c>
      <c r="D305" t="str">
        <v>10.67</v>
      </c>
      <c r="E305" t="str">
        <v>-224.31</v>
      </c>
      <c r="F305" t="str">
        <v>-227.64</v>
      </c>
      <c r="G305" t="str">
        <v>2022/09</v>
      </c>
      <c r="H305" t="str">
        <v>17.29</v>
      </c>
      <c r="I305" t="str">
        <v>20.37</v>
      </c>
      <c r="J305" t="str">
        <v>2022/11</v>
      </c>
      <c r="K305" t="str">
        <f t="array" ref="K305:T305">[1]!'3346.TW-OperatingProfitRatio,Price,PriceChangeRatio,InOutRatioNumber,Value,YearReturn,MonthReturn,WeekReturn,FinanceBalanceDif,ChipsField2'</f>
        <v>-1.57</v>
      </c>
      <c r="L305">
        <v>37.299999999999997</v>
      </c>
      <c r="M305">
        <v>-2.86</v>
      </c>
      <c r="N305" t="str">
        <v>23.10%</v>
      </c>
      <c r="O305" t="str">
        <v>6510萬</v>
      </c>
      <c r="P305" t="str">
        <v>-15.31</v>
      </c>
      <c r="Q305" t="str">
        <v>+17.67</v>
      </c>
      <c r="R305" t="str">
        <v>-0.80</v>
      </c>
      <c r="S305">
        <v>-46</v>
      </c>
      <c r="T305">
        <v>0</v>
      </c>
      <c r="U305">
        <f t="array" ref="U305:AD305">[1]!'3346.TW-ChipsField3,ChipsField1,ChipsField25,CashAndStockDividend,CashDividendYieldRate,ProfitFourSeason,ProfitSingle,CName,ExchangeIndustry,CompanyPos'</f>
        <v>15</v>
      </c>
      <c r="V305">
        <v>517</v>
      </c>
      <c r="W305" t="str">
        <v>2022/09/08</v>
      </c>
      <c r="X305" t="str">
        <v>0.62</v>
      </c>
      <c r="Y305">
        <v>1.66</v>
      </c>
      <c r="Z305" t="str">
        <v>-0.32</v>
      </c>
      <c r="AA305" t="str">
        <v>0.56</v>
      </c>
      <c r="AB305" t="str">
        <v>麗清</v>
      </c>
      <c r="AC305" t="str">
        <v>上市汽車</v>
      </c>
      <c r="AD305" t="str">
        <v>LED車燈模組製造廠</v>
      </c>
      <c r="AE305" t="str">
        <f t="array" ref="AE305:AH305">[1]!'3346.TW-CName,InvestorConferenceDate,DateofMeetingofShareHolders,TradingDate'</f>
        <v>麗清</v>
      </c>
      <c r="AF305" t="str">
        <v>--</v>
      </c>
      <c r="AG305" t="str">
        <v>2022/06/27</v>
      </c>
      <c r="AH305" t="str">
        <v>2022/12/22</v>
      </c>
    </row>
    <row r="306" spans="1:34" x14ac:dyDescent="0.3">
      <c r="A306" t="str">
        <f t="array" ref="A306:J306">[1]!'4551.TW-ID,Name,MarketValue,Capital,NetIncomeGrowthRate,OperIncomeGrowthRate,FinancialStatementsTime,TFXRatio,MonthlyNetSalesYoY,RevenueMonth'</f>
        <v>4551</v>
      </c>
      <c r="B306" t="str">
        <v>智伸科</v>
      </c>
      <c r="C306" t="str">
        <v>169.4</v>
      </c>
      <c r="D306" t="str">
        <v>11.77</v>
      </c>
      <c r="E306" t="str">
        <v>19.42</v>
      </c>
      <c r="F306" t="str">
        <v>1.51</v>
      </c>
      <c r="G306" t="str">
        <v>2022/09</v>
      </c>
      <c r="H306" t="str">
        <v>9.43</v>
      </c>
      <c r="I306" t="str">
        <v>3.42</v>
      </c>
      <c r="J306" t="str">
        <v>2022/11</v>
      </c>
      <c r="K306" t="str">
        <f t="array" ref="K306:T306">[1]!'4551.TW-OperatingProfitRatio,Price,PriceChangeRatio,InOutRatioNumber,Value,YearReturn,MonthReturn,WeekReturn,FinanceBalanceDif,ChipsField2'</f>
        <v>17.45</v>
      </c>
      <c r="L306">
        <v>147</v>
      </c>
      <c r="M306">
        <v>1.73</v>
      </c>
      <c r="N306" t="str">
        <v>39.92%</v>
      </c>
      <c r="O306" t="str">
        <v>7345萬</v>
      </c>
      <c r="P306" t="str">
        <v>-13.85</v>
      </c>
      <c r="Q306" t="str">
        <v>-6.96</v>
      </c>
      <c r="R306" t="str">
        <v>-3.92</v>
      </c>
      <c r="S306">
        <v>18</v>
      </c>
      <c r="T306">
        <v>-90</v>
      </c>
      <c r="U306">
        <f t="array" ref="U306:AD306">[1]!'4551.TW-ChipsField3,ChipsField1,ChipsField25,CashAndStockDividend,CashDividendYieldRate,ProfitFourSeason,ProfitSingle,CName,ExchangeIndustry,CompanyPos'</f>
        <v>0</v>
      </c>
      <c r="V306">
        <v>5</v>
      </c>
      <c r="W306" t="str">
        <v>2022/07/28</v>
      </c>
      <c r="X306" t="str">
        <v>5.00</v>
      </c>
      <c r="Y306">
        <v>3.4</v>
      </c>
      <c r="Z306" t="str">
        <v>12.01</v>
      </c>
      <c r="AA306" t="str">
        <v>3.67</v>
      </c>
      <c r="AB306" t="str">
        <v>智伸科</v>
      </c>
      <c r="AC306" t="str">
        <v>上市汽車</v>
      </c>
      <c r="AD306" t="str">
        <v>汽車動力及安全零組件大廠商</v>
      </c>
      <c r="AE306" t="str">
        <f t="array" ref="AE306:AH306">[1]!'4551.TW-CName,InvestorConferenceDate,DateofMeetingofShareHolders,TradingDate'</f>
        <v>智伸科</v>
      </c>
      <c r="AF306" t="str">
        <v>2022/11/08</v>
      </c>
      <c r="AG306" t="str">
        <v>2022/06/27</v>
      </c>
      <c r="AH306" t="str">
        <v>2022/12/22</v>
      </c>
    </row>
    <row r="307" spans="1:34" x14ac:dyDescent="0.3">
      <c r="A307" t="str">
        <f t="array" ref="A307:J307">[1]!'4557.TW-ID,Name,MarketValue,Capital,NetIncomeGrowthRate,OperIncomeGrowthRate,FinancialStatementsTime,TFXRatio,MonthlyNetSalesYoY,RevenueMonth'</f>
        <v>4557</v>
      </c>
      <c r="B307" t="str">
        <v>永新-KY</v>
      </c>
      <c r="C307" t="str">
        <v>42.6</v>
      </c>
      <c r="D307" t="str">
        <v>4.20</v>
      </c>
      <c r="E307" t="str">
        <v>268.51</v>
      </c>
      <c r="F307" t="str">
        <v>178.07</v>
      </c>
      <c r="G307" t="str">
        <v>2022/09</v>
      </c>
      <c r="H307" t="str">
        <v>-0.07</v>
      </c>
      <c r="I307" t="str">
        <v>-12.11</v>
      </c>
      <c r="J307" t="str">
        <v>2022/11</v>
      </c>
      <c r="K307" t="str">
        <f t="array" ref="K307:T307">[1]!'4557.TW-OperatingProfitRatio,Price,PriceChangeRatio,InOutRatioNumber,Value,YearReturn,MonthReturn,WeekReturn,FinanceBalanceDif,ChipsField2'</f>
        <v>17.50</v>
      </c>
      <c r="L307">
        <v>101.5</v>
      </c>
      <c r="M307">
        <v>1</v>
      </c>
      <c r="N307" t="str">
        <v>67.86%</v>
      </c>
      <c r="O307" t="str">
        <v>293萬</v>
      </c>
      <c r="P307" t="str">
        <v>+44.02</v>
      </c>
      <c r="Q307" t="str">
        <v>0.00</v>
      </c>
      <c r="R307" t="str">
        <v>0.00</v>
      </c>
      <c r="S307">
        <v>-5</v>
      </c>
      <c r="T307">
        <v>0</v>
      </c>
      <c r="U307">
        <f t="array" ref="U307:AD307">[1]!'4557.TW-ChipsField3,ChipsField1,ChipsField25,CashAndStockDividend,CashDividendYieldRate,ProfitFourSeason,ProfitSingle,CName,ExchangeIndustry,CompanyPos'</f>
        <v>0</v>
      </c>
      <c r="V307">
        <v>-3</v>
      </c>
      <c r="W307" t="str">
        <v>2022/06/27</v>
      </c>
      <c r="X307" t="str">
        <v>4.50</v>
      </c>
      <c r="Y307">
        <v>4.43</v>
      </c>
      <c r="Z307" t="str">
        <v>12.42</v>
      </c>
      <c r="AA307" t="str">
        <v>4.98</v>
      </c>
      <c r="AB307" t="str">
        <v>永新-KY</v>
      </c>
      <c r="AC307" t="str">
        <v>上市汽車</v>
      </c>
      <c r="AD307" t="str">
        <v>北美最大AM汽車?車總分泵之零件供應商</v>
      </c>
      <c r="AE307" t="str">
        <f t="array" ref="AE307:AH307">[1]!'4557.TW-CName,InvestorConferenceDate,DateofMeetingofShareHolders,TradingDate'</f>
        <v>永新-KY</v>
      </c>
      <c r="AF307" t="str">
        <v>2022/09/07</v>
      </c>
      <c r="AG307" t="str">
        <v>2022/06/08</v>
      </c>
      <c r="AH307" t="str">
        <v>2022/12/22</v>
      </c>
    </row>
    <row r="308" spans="1:34" x14ac:dyDescent="0.3">
      <c r="A308" t="str">
        <f t="array" ref="A308:J308">[1]!'4581.TW-ID,Name,MarketValue,Capital,NetIncomeGrowthRate,OperIncomeGrowthRate,FinancialStatementsTime,TFXRatio,MonthlyNetSalesYoY,RevenueMonth'</f>
        <v>4581</v>
      </c>
      <c r="B308" t="str">
        <v>光隆精密-KY</v>
      </c>
      <c r="C308" t="str">
        <v>12.1</v>
      </c>
      <c r="D308" t="str">
        <v>3.39</v>
      </c>
      <c r="E308" t="str">
        <v>38.21</v>
      </c>
      <c r="F308" t="str">
        <v>2.33</v>
      </c>
      <c r="G308" t="str">
        <v>2022/09</v>
      </c>
      <c r="H308" t="str">
        <v>11.06</v>
      </c>
      <c r="I308" t="str">
        <v>13.76</v>
      </c>
      <c r="J308" t="str">
        <v>2022/11</v>
      </c>
      <c r="K308" t="str">
        <f t="array" ref="K308:T308">[1]!'4581.TW-OperatingProfitRatio,Price,PriceChangeRatio,InOutRatioNumber,Value,YearReturn,MonthReturn,WeekReturn,FinanceBalanceDif,ChipsField2'</f>
        <v>10.46</v>
      </c>
      <c r="L308">
        <v>35.549999999999997</v>
      </c>
      <c r="M308">
        <v>-0.14000000000000001</v>
      </c>
      <c r="N308" t="str">
        <v>50.00%</v>
      </c>
      <c r="O308" t="str">
        <v>7.04萬</v>
      </c>
      <c r="P308" t="str">
        <v>+5.39</v>
      </c>
      <c r="Q308" t="str">
        <v>+7.89</v>
      </c>
      <c r="R308" t="str">
        <v>-0.14</v>
      </c>
      <c r="S308">
        <v>1</v>
      </c>
      <c r="T308">
        <v>0</v>
      </c>
      <c r="U308">
        <f t="array" ref="U308:AD308">[1]!'4581.TW-ChipsField3,ChipsField1,ChipsField25,CashAndStockDividend,CashDividendYieldRate,ProfitFourSeason,ProfitSingle,CName,ExchangeIndustry,CompanyPos'</f>
        <v>0</v>
      </c>
      <c r="V308">
        <v>0</v>
      </c>
      <c r="W308" t="str">
        <v>2022/07/21</v>
      </c>
      <c r="X308" t="str">
        <v>1.50</v>
      </c>
      <c r="Y308">
        <v>4.22</v>
      </c>
      <c r="Z308" t="str">
        <v>3.07</v>
      </c>
      <c r="AA308" t="str">
        <v>1.13</v>
      </c>
      <c r="AB308" t="str">
        <v>光隆精密-KY</v>
      </c>
      <c r="AC308" t="str">
        <v>上市汽車</v>
      </c>
      <c r="AD308" t="str">
        <v>台灣商用車零組件鑄件公司</v>
      </c>
      <c r="AE308" t="str">
        <f t="array" ref="AE308:AH308">[1]!'4581.TW-CName,InvestorConferenceDate,DateofMeetingofShareHolders,TradingDate'</f>
        <v>光隆精密-KY</v>
      </c>
      <c r="AF308" t="str">
        <v>2022/09/20</v>
      </c>
      <c r="AG308" t="str">
        <v>2022/06/29</v>
      </c>
      <c r="AH308" t="str">
        <v>2022/12/22</v>
      </c>
    </row>
    <row r="309" spans="1:34" x14ac:dyDescent="0.3">
      <c r="A309" t="str">
        <f t="array" ref="A309:J309">[1]!'6288.TW-ID,Name,MarketValue,Capital,NetIncomeGrowthRate,OperIncomeGrowthRate,FinancialStatementsTime,TFXRatio,MonthlyNetSalesYoY,RevenueMonth'</f>
        <v>6288</v>
      </c>
      <c r="B309" t="str">
        <v>聯嘉</v>
      </c>
      <c r="C309" t="str">
        <v>41.9</v>
      </c>
      <c r="D309" t="str">
        <v>18.28</v>
      </c>
      <c r="E309" t="str">
        <v>235.16</v>
      </c>
      <c r="F309" t="str">
        <v>-291.13</v>
      </c>
      <c r="G309" t="str">
        <v>2022/09</v>
      </c>
      <c r="H309" t="str">
        <v>0.43</v>
      </c>
      <c r="I309" t="str">
        <v>14.90</v>
      </c>
      <c r="J309" t="str">
        <v>2022/11</v>
      </c>
      <c r="K309" t="str">
        <f t="array" ref="K309:T309">[1]!'6288.TW-OperatingProfitRatio,Price,PriceChangeRatio,InOutRatioNumber,Value,YearReturn,MonthReturn,WeekReturn,FinanceBalanceDif,ChipsField2'</f>
        <v>-3.49</v>
      </c>
      <c r="L309">
        <v>22.95</v>
      </c>
      <c r="M309">
        <v>0</v>
      </c>
      <c r="N309" t="str">
        <v>20.61%</v>
      </c>
      <c r="O309" t="str">
        <v>1658萬</v>
      </c>
      <c r="P309" t="str">
        <v>-13.83</v>
      </c>
      <c r="Q309" t="str">
        <v>+5.76</v>
      </c>
      <c r="R309" t="str">
        <v>-7.65</v>
      </c>
      <c r="S309">
        <v>35</v>
      </c>
      <c r="T309">
        <v>0</v>
      </c>
      <c r="U309">
        <f t="array" ref="U309:AD309">[1]!'6288.TW-ChipsField3,ChipsField1,ChipsField25,CashAndStockDividend,CashDividendYieldRate,ProfitFourSeason,ProfitSingle,CName,ExchangeIndustry,CompanyPos'</f>
        <v>-1</v>
      </c>
      <c r="V309">
        <v>140</v>
      </c>
      <c r="W309" t="str">
        <v>2022/06/24</v>
      </c>
      <c r="X309" t="str">
        <v>0.40</v>
      </c>
      <c r="Y309">
        <v>1.74</v>
      </c>
      <c r="Z309" t="str">
        <v>0.22</v>
      </c>
      <c r="AA309" t="str">
        <v>0.16</v>
      </c>
      <c r="AB309" t="str">
        <v>聯嘉</v>
      </c>
      <c r="AC309" t="str">
        <v>上市汽車</v>
      </c>
      <c r="AD309" t="str">
        <v>台灣車用LED模組及元件廠</v>
      </c>
      <c r="AE309" t="str">
        <f t="array" ref="AE309:AH309">[1]!'6288.TW-CName,InvestorConferenceDate,DateofMeetingofShareHolders,TradingDate'</f>
        <v>聯嘉</v>
      </c>
      <c r="AF309" t="str">
        <v>2022/11/30</v>
      </c>
      <c r="AG309" t="str">
        <v>2022/05/26</v>
      </c>
      <c r="AH309" t="str">
        <v>2022/12/22</v>
      </c>
    </row>
    <row r="310" spans="1:34" x14ac:dyDescent="0.3">
      <c r="A310" t="str">
        <f t="array" ref="A310:J310">[1]!'6605.TW-ID,Name,MarketValue,Capital,NetIncomeGrowthRate,OperIncomeGrowthRate,FinancialStatementsTime,TFXRatio,MonthlyNetSalesYoY,RevenueMonth'</f>
        <v>6605</v>
      </c>
      <c r="B310" t="str">
        <v>帝寶</v>
      </c>
      <c r="C310" t="str">
        <v>118.1</v>
      </c>
      <c r="D310" t="str">
        <v>16.58</v>
      </c>
      <c r="E310" t="str">
        <v>82.16</v>
      </c>
      <c r="F310" t="str">
        <v>11.39</v>
      </c>
      <c r="G310" t="str">
        <v>2022/09</v>
      </c>
      <c r="H310" t="str">
        <v>-3.96</v>
      </c>
      <c r="I310" t="str">
        <v>-2.56</v>
      </c>
      <c r="J310" t="str">
        <v>2022/11</v>
      </c>
      <c r="K310" t="str">
        <f t="array" ref="K310:T310">[1]!'6605.TW-OperatingProfitRatio,Price,PriceChangeRatio,InOutRatioNumber,Value,YearReturn,MonthReturn,WeekReturn,FinanceBalanceDif,ChipsField2'</f>
        <v>11.32</v>
      </c>
      <c r="L310">
        <v>71.2</v>
      </c>
      <c r="M310">
        <v>0.42</v>
      </c>
      <c r="N310" t="str">
        <v>39.30%</v>
      </c>
      <c r="O310" t="str">
        <v>1432萬</v>
      </c>
      <c r="P310" t="str">
        <v>+22.33</v>
      </c>
      <c r="Q310" t="str">
        <v>-2.73</v>
      </c>
      <c r="R310" t="str">
        <v>-5.07</v>
      </c>
      <c r="S310">
        <v>-33</v>
      </c>
      <c r="T310">
        <v>0</v>
      </c>
      <c r="U310">
        <f t="array" ref="U310:AD310">[1]!'6605.TW-ChipsField3,ChipsField1,ChipsField25,CashAndStockDividend,CashDividendYieldRate,ProfitFourSeason,ProfitSingle,CName,ExchangeIndustry,CompanyPos'</f>
        <v>-17</v>
      </c>
      <c r="V310">
        <v>56</v>
      </c>
      <c r="W310" t="str">
        <v>2022/07/11</v>
      </c>
      <c r="X310" t="str">
        <v>3.00</v>
      </c>
      <c r="Y310">
        <v>4.21</v>
      </c>
      <c r="Z310" t="str">
        <v>10.73</v>
      </c>
      <c r="AA310" t="str">
        <v>3.22</v>
      </c>
      <c r="AB310" t="str">
        <v>帝寶</v>
      </c>
      <c r="AC310" t="str">
        <v>上市汽車</v>
      </c>
      <c r="AD310" t="str">
        <v>主攻歐美AM市場之車燈製造商</v>
      </c>
      <c r="AE310" t="str">
        <f t="array" ref="AE310:AH310">[1]!'6605.TW-CName,InvestorConferenceDate,DateofMeetingofShareHolders,TradingDate'</f>
        <v>帝寶</v>
      </c>
      <c r="AF310" t="str">
        <v>2022/12/02</v>
      </c>
      <c r="AG310" t="str">
        <v>2022/06/24</v>
      </c>
      <c r="AH310" t="str">
        <v>2022/12/22</v>
      </c>
    </row>
    <row r="311" spans="1:34" x14ac:dyDescent="0.3">
      <c r="A311" t="str">
        <f t="array" ref="A311:J311">[1]!'2302.TW-ID,Name,MarketValue,Capital,NetIncomeGrowthRate,OperIncomeGrowthRate,FinancialStatementsTime,TFXRatio,MonthlyNetSalesYoY,RevenueMonth'</f>
        <v>2302</v>
      </c>
      <c r="B311" t="str">
        <v>麗正</v>
      </c>
      <c r="C311" t="str">
        <v>28.6</v>
      </c>
      <c r="D311" t="str">
        <v>16.63</v>
      </c>
      <c r="E311" t="str">
        <v>134.44</v>
      </c>
      <c r="F311" t="str">
        <v>92.43</v>
      </c>
      <c r="G311" t="str">
        <v>2022/09</v>
      </c>
      <c r="H311" t="str">
        <v>-2.25</v>
      </c>
      <c r="I311" t="str">
        <v>45.80</v>
      </c>
      <c r="J311" t="str">
        <v>2022/11</v>
      </c>
      <c r="K311" t="str">
        <f t="array" ref="K311:T311">[1]!'2302.TW-OperatingProfitRatio,Price,PriceChangeRatio,InOutRatioNumber,Value,YearReturn,MonthReturn,WeekReturn,FinanceBalanceDif,ChipsField2'</f>
        <v>19.51</v>
      </c>
      <c r="L311">
        <v>17.2</v>
      </c>
      <c r="M311">
        <v>1.18</v>
      </c>
      <c r="N311" t="str">
        <v>49.81%</v>
      </c>
      <c r="O311" t="str">
        <v>442萬</v>
      </c>
      <c r="P311" t="str">
        <v>+6.85</v>
      </c>
      <c r="Q311" t="str">
        <v>-9.71</v>
      </c>
      <c r="R311" t="str">
        <v>-7.28</v>
      </c>
      <c r="S311">
        <v>5</v>
      </c>
      <c r="T311">
        <v>0</v>
      </c>
      <c r="U311">
        <f t="array" ref="U311:AD311">[1]!'2302.TW-ChipsField3,ChipsField1,ChipsField25,CashAndStockDividend,CashDividendYieldRate,ProfitFourSeason,ProfitSingle,CName,ExchangeIndustry,CompanyPos'</f>
        <v>0</v>
      </c>
      <c r="V311">
        <v>-61</v>
      </c>
      <c r="W311" t="str">
        <v>2022/07/21</v>
      </c>
      <c r="X311" t="str">
        <v>0.60</v>
      </c>
      <c r="Y311">
        <v>3.49</v>
      </c>
      <c r="Z311" t="str">
        <v>1.02</v>
      </c>
      <c r="AA311" t="str">
        <v>0.33</v>
      </c>
      <c r="AB311" t="str">
        <v>麗正</v>
      </c>
      <c r="AC311" t="str">
        <v>上市半導體</v>
      </c>
      <c r="AD311" t="str">
        <v>台灣整流二極體廠商</v>
      </c>
      <c r="AE311" t="str">
        <f t="array" ref="AE311:AH311">[1]!'2302.TW-CName,InvestorConferenceDate,DateofMeetingofShareHolders,TradingDate'</f>
        <v>麗正</v>
      </c>
      <c r="AF311" t="str">
        <v>2022/12/01</v>
      </c>
      <c r="AG311" t="str">
        <v>2022/06/23</v>
      </c>
      <c r="AH311" t="str">
        <v>2022/12/22</v>
      </c>
    </row>
    <row r="312" spans="1:34" x14ac:dyDescent="0.3">
      <c r="A312" t="str">
        <f t="array" ref="A312:J312">[1]!'2303.TW-ID,Name,MarketValue,Capital,NetIncomeGrowthRate,OperIncomeGrowthRate,FinancialStatementsTime,TFXRatio,MonthlyNetSalesYoY,RevenueMonth'</f>
        <v>2303</v>
      </c>
      <c r="B312" t="str">
        <v>聯電</v>
      </c>
      <c r="C312" t="str">
        <v>5348.4</v>
      </c>
      <c r="D312" t="str">
        <v>1250.47</v>
      </c>
      <c r="E312" t="str">
        <v>76.18</v>
      </c>
      <c r="F312" t="str">
        <v>136.73</v>
      </c>
      <c r="G312" t="str">
        <v>2022/09</v>
      </c>
      <c r="H312" t="str">
        <v>-7.39</v>
      </c>
      <c r="I312" t="str">
        <v>14.67</v>
      </c>
      <c r="J312" t="str">
        <v>2022/11</v>
      </c>
      <c r="K312" t="str">
        <f t="array" ref="K312:T312">[1]!'2303.TW-OperatingProfitRatio,Price,PriceChangeRatio,InOutRatioNumber,Value,YearReturn,MonthReturn,WeekReturn,FinanceBalanceDif,ChipsField2'</f>
        <v>38.25</v>
      </c>
      <c r="L312">
        <v>42.85</v>
      </c>
      <c r="M312">
        <v>2.02</v>
      </c>
      <c r="N312" t="str">
        <v>44.14%</v>
      </c>
      <c r="O312" t="str">
        <v>22.3億</v>
      </c>
      <c r="P312" t="str">
        <v>-27.46</v>
      </c>
      <c r="Q312" t="str">
        <v>-6.13</v>
      </c>
      <c r="R312" t="str">
        <v>-3.60</v>
      </c>
      <c r="S312">
        <v>-862</v>
      </c>
      <c r="T312">
        <v>-13873</v>
      </c>
      <c r="U312">
        <f t="array" ref="U312:AD312">[1]!'2303.TW-ChipsField3,ChipsField1,ChipsField25,CashAndStockDividend,CashDividendYieldRate,ProfitFourSeason,ProfitSingle,CName,ExchangeIndustry,CompanyPos'</f>
        <v>-511</v>
      </c>
      <c r="V312">
        <v>9639</v>
      </c>
      <c r="W312" t="str">
        <v>2022/06/22</v>
      </c>
      <c r="X312" t="str">
        <v>3.00</v>
      </c>
      <c r="Y312">
        <v>7</v>
      </c>
      <c r="Z312" t="str">
        <v>6.85</v>
      </c>
      <c r="AA312" t="str">
        <v>2.19</v>
      </c>
      <c r="AB312" t="str">
        <v>聯電</v>
      </c>
      <c r="AC312" t="str">
        <v>上市半導體</v>
      </c>
      <c r="AD312" t="str">
        <v>全球前十大晶圓代工廠之一</v>
      </c>
      <c r="AE312" t="str">
        <f t="array" ref="AE312:AH312">[1]!'2303.TW-CName,InvestorConferenceDate,DateofMeetingofShareHolders,TradingDate'</f>
        <v>聯電</v>
      </c>
      <c r="AF312" t="str">
        <v>2022/10/26</v>
      </c>
      <c r="AG312" t="str">
        <v>2022/05/27</v>
      </c>
      <c r="AH312" t="str">
        <v>2022/12/22</v>
      </c>
    </row>
    <row r="313" spans="1:34" x14ac:dyDescent="0.3">
      <c r="A313" t="str">
        <f t="array" ref="A313:J313">[1]!'2329.TW-ID,Name,MarketValue,Capital,NetIncomeGrowthRate,OperIncomeGrowthRate,FinancialStatementsTime,TFXRatio,MonthlyNetSalesYoY,RevenueMonth'</f>
        <v>2329</v>
      </c>
      <c r="B313" t="str">
        <v>華泰</v>
      </c>
      <c r="C313" t="str">
        <v>99.4</v>
      </c>
      <c r="D313" t="str">
        <v>55.53</v>
      </c>
      <c r="E313" t="str">
        <v>22.01</v>
      </c>
      <c r="F313" t="str">
        <v>-4.97</v>
      </c>
      <c r="G313" t="str">
        <v>2022/09</v>
      </c>
      <c r="H313" t="str">
        <v>3.67</v>
      </c>
      <c r="I313" t="str">
        <v>-8.26</v>
      </c>
      <c r="J313" t="str">
        <v>2022/11</v>
      </c>
      <c r="K313" t="str">
        <f t="array" ref="K313:T313">[1]!'2329.TW-OperatingProfitRatio,Price,PriceChangeRatio,InOutRatioNumber,Value,YearReturn,MonthReturn,WeekReturn,FinanceBalanceDif,ChipsField2'</f>
        <v>9.78</v>
      </c>
      <c r="L313">
        <v>17.899999999999999</v>
      </c>
      <c r="M313">
        <v>1.99</v>
      </c>
      <c r="N313" t="str">
        <v>66.20%</v>
      </c>
      <c r="O313" t="str">
        <v>2439萬</v>
      </c>
      <c r="P313" t="str">
        <v>-23.63</v>
      </c>
      <c r="Q313" t="str">
        <v>-3.24</v>
      </c>
      <c r="R313" t="str">
        <v>-2.98</v>
      </c>
      <c r="S313">
        <v>40</v>
      </c>
      <c r="T313">
        <v>0</v>
      </c>
      <c r="U313">
        <f t="array" ref="U313:AD313">[1]!'2329.TW-ChipsField3,ChipsField1,ChipsField25,CashAndStockDividend,CashDividendYieldRate,ProfitFourSeason,ProfitSingle,CName,ExchangeIndustry,CompanyPos'</f>
        <v>8</v>
      </c>
      <c r="V313">
        <v>340</v>
      </c>
      <c r="W313" t="str">
        <v>2022/07/21</v>
      </c>
      <c r="X313" t="str">
        <v>1.00</v>
      </c>
      <c r="Y313">
        <v>5.59</v>
      </c>
      <c r="Z313" t="str">
        <v>3.16</v>
      </c>
      <c r="AA313" t="str">
        <v>0.65</v>
      </c>
      <c r="AB313" t="str">
        <v>華泰</v>
      </c>
      <c r="AC313" t="str">
        <v>上市半導體</v>
      </c>
      <c r="AD313" t="str">
        <v>與金士頓合作之NAND Flash、記憶卡封測廠</v>
      </c>
      <c r="AE313" t="str">
        <f t="array" ref="AE313:AH313">[1]!'2329.TW-CName,InvestorConferenceDate,DateofMeetingofShareHolders,TradingDate'</f>
        <v>華泰</v>
      </c>
      <c r="AF313" t="str">
        <v>2022/11/25</v>
      </c>
      <c r="AG313" t="str">
        <v>2022/06/10</v>
      </c>
      <c r="AH313" t="str">
        <v>2022/12/22</v>
      </c>
    </row>
    <row r="314" spans="1:34" x14ac:dyDescent="0.3">
      <c r="A314" t="str">
        <f t="array" ref="A314:J314">[1]!'2330.TW-ID,Name,MarketValue,Capital,NetIncomeGrowthRate,OperIncomeGrowthRate,FinancialStatementsTime,TFXRatio,MonthlyNetSalesYoY,RevenueMonth'</f>
        <v>2330</v>
      </c>
      <c r="B314" t="str">
        <v>台積電</v>
      </c>
      <c r="C314" t="str">
        <v>121354.2</v>
      </c>
      <c r="D314" t="str">
        <v>2593.04</v>
      </c>
      <c r="E314" t="str">
        <v>67.41</v>
      </c>
      <c r="F314" t="str">
        <v>70.42</v>
      </c>
      <c r="G314" t="str">
        <v>2022/09</v>
      </c>
      <c r="H314" t="str">
        <v>5.92</v>
      </c>
      <c r="I314" t="str">
        <v>50.21</v>
      </c>
      <c r="J314" t="str">
        <v>2022/11</v>
      </c>
      <c r="K314" t="str">
        <f t="array" ref="K314:T314">[1]!'2330.TW-OperatingProfitRatio,Price,PriceChangeRatio,InOutRatioNumber,Value,YearReturn,MonthReturn,WeekReturn,FinanceBalanceDif,ChipsField2'</f>
        <v>48.60</v>
      </c>
      <c r="L314">
        <v>468</v>
      </c>
      <c r="M314">
        <v>1.96</v>
      </c>
      <c r="N314" t="str">
        <v>66.94%</v>
      </c>
      <c r="O314" t="str">
        <v>65.2億</v>
      </c>
      <c r="P314" t="str">
        <v>-19.88</v>
      </c>
      <c r="Q314" t="str">
        <v>-2.35</v>
      </c>
      <c r="R314" t="str">
        <v>-2.04</v>
      </c>
      <c r="S314">
        <v>68</v>
      </c>
      <c r="T314">
        <v>-413</v>
      </c>
      <c r="U314">
        <f t="array" ref="U314:AD314">[1]!'2330.TW-ChipsField3,ChipsField1,ChipsField25,CashAndStockDividend,CashDividendYieldRate,ProfitFourSeason,ProfitSingle,CName,ExchangeIndustry,CompanyPos'</f>
        <v>-1033</v>
      </c>
      <c r="V314">
        <v>411</v>
      </c>
      <c r="W314" t="str">
        <v>2023/03/16</v>
      </c>
      <c r="X314" t="str">
        <v>2.75</v>
      </c>
      <c r="Y314">
        <v>2.35</v>
      </c>
      <c r="Z314" t="str">
        <v>34.20</v>
      </c>
      <c r="AA314" t="str">
        <v>10.83</v>
      </c>
      <c r="AB314" t="str">
        <v>台積電</v>
      </c>
      <c r="AC314" t="str">
        <v>上市半導體</v>
      </c>
      <c r="AD314" t="str">
        <v>全球第一大晶圓代工廠</v>
      </c>
      <c r="AE314" t="str">
        <f t="array" ref="AE314:AH314">[1]!'2330.TW-CName,InvestorConferenceDate,DateofMeetingofShareHolders,TradingDate'</f>
        <v>台積電</v>
      </c>
      <c r="AF314" t="str">
        <v>2022/10/13</v>
      </c>
      <c r="AG314" t="str">
        <v>2022/06/08</v>
      </c>
      <c r="AH314" t="str">
        <v>2022/12/22</v>
      </c>
    </row>
    <row r="315" spans="1:34" x14ac:dyDescent="0.3">
      <c r="A315" t="str">
        <f t="array" ref="A315:J315">[1]!'2337.TW-ID,Name,MarketValue,Capital,NetIncomeGrowthRate,OperIncomeGrowthRate,FinancialStatementsTime,TFXRatio,MonthlyNetSalesYoY,RevenueMonth'</f>
        <v>2337</v>
      </c>
      <c r="B315" t="str">
        <v>旺宏</v>
      </c>
      <c r="C315" t="str">
        <v>645.8</v>
      </c>
      <c r="D315" t="str">
        <v>185.59</v>
      </c>
      <c r="E315" t="str">
        <v>1.13</v>
      </c>
      <c r="F315" t="str">
        <v>23.60</v>
      </c>
      <c r="G315" t="str">
        <v>2022/09</v>
      </c>
      <c r="H315" t="str">
        <v>-25.87</v>
      </c>
      <c r="I315" t="str">
        <v>-41.63</v>
      </c>
      <c r="J315" t="str">
        <v>2022/11</v>
      </c>
      <c r="K315" t="str">
        <f t="array" ref="K315:T315">[1]!'2337.TW-OperatingProfitRatio,Price,PriceChangeRatio,InOutRatioNumber,Value,YearReturn,MonthReturn,WeekReturn,FinanceBalanceDif,ChipsField2'</f>
        <v>25.04</v>
      </c>
      <c r="L315">
        <v>34.799999999999997</v>
      </c>
      <c r="M315">
        <v>-0.14000000000000001</v>
      </c>
      <c r="N315" t="str">
        <v>64.29%</v>
      </c>
      <c r="O315" t="str">
        <v>8.24億</v>
      </c>
      <c r="P315" t="str">
        <v>-10.01</v>
      </c>
      <c r="Q315" t="str">
        <v>+1.75</v>
      </c>
      <c r="R315" t="str">
        <v>-1.42</v>
      </c>
      <c r="S315">
        <v>348</v>
      </c>
      <c r="T315">
        <v>21413</v>
      </c>
      <c r="U315">
        <f t="array" ref="U315:AD315">[1]!'2337.TW-ChipsField3,ChipsField1,ChipsField25,CashAndStockDividend,CashDividendYieldRate,ProfitFourSeason,ProfitSingle,CName,ExchangeIndustry,CompanyPos'</f>
        <v>526</v>
      </c>
      <c r="V315">
        <v>-24314</v>
      </c>
      <c r="W315" t="str">
        <v>2022/07/13</v>
      </c>
      <c r="X315" t="str">
        <v>1.80</v>
      </c>
      <c r="Y315">
        <v>5.17</v>
      </c>
      <c r="Z315" t="str">
        <v>6.52</v>
      </c>
      <c r="AA315" t="str">
        <v>1.35</v>
      </c>
      <c r="AB315" t="str">
        <v>旺宏</v>
      </c>
      <c r="AC315" t="str">
        <v>上市半導體</v>
      </c>
      <c r="AD315" t="str">
        <v>全球非揮發性記憶體整合元件領導廠</v>
      </c>
      <c r="AE315" t="str">
        <f t="array" ref="AE315:AH315">[1]!'2337.TW-CName,InvestorConferenceDate,DateofMeetingofShareHolders,TradingDate'</f>
        <v>旺宏</v>
      </c>
      <c r="AF315" t="str">
        <v>2022/10/25</v>
      </c>
      <c r="AG315" t="str">
        <v>2022/05/27</v>
      </c>
      <c r="AH315" t="str">
        <v>2022/12/22</v>
      </c>
    </row>
    <row r="316" spans="1:34" x14ac:dyDescent="0.3">
      <c r="A316" t="str">
        <f t="array" ref="A316:J316">[1]!'2338.TW-ID,Name,MarketValue,Capital,NetIncomeGrowthRate,OperIncomeGrowthRate,FinancialStatementsTime,TFXRatio,MonthlyNetSalesYoY,RevenueMonth'</f>
        <v>2338</v>
      </c>
      <c r="B316" t="str">
        <v>光罩</v>
      </c>
      <c r="C316" t="str">
        <v>218.6</v>
      </c>
      <c r="D316" t="str">
        <v>25.57</v>
      </c>
      <c r="E316" t="str">
        <v>-123.63</v>
      </c>
      <c r="F316" t="str">
        <v>263.98</v>
      </c>
      <c r="G316" t="str">
        <v>2022/09</v>
      </c>
      <c r="H316" t="str">
        <v>2.47</v>
      </c>
      <c r="I316" t="str">
        <v>13.24</v>
      </c>
      <c r="J316" t="str">
        <v>2022/11</v>
      </c>
      <c r="K316" t="str">
        <f t="array" ref="K316:T316">[1]!'2338.TW-OperatingProfitRatio,Price,PriceChangeRatio,InOutRatioNumber,Value,YearReturn,MonthReturn,WeekReturn,FinanceBalanceDif,ChipsField2'</f>
        <v>16.41</v>
      </c>
      <c r="L316">
        <v>85.5</v>
      </c>
      <c r="M316">
        <v>-0.23</v>
      </c>
      <c r="N316" t="str">
        <v>43.30%</v>
      </c>
      <c r="O316" t="str">
        <v>3.04億</v>
      </c>
      <c r="P316" t="str">
        <v>-11.00</v>
      </c>
      <c r="Q316" t="str">
        <v>+16.49</v>
      </c>
      <c r="R316" t="str">
        <v>-6.56</v>
      </c>
      <c r="S316">
        <v>-75</v>
      </c>
      <c r="T316">
        <v>-79</v>
      </c>
      <c r="U316">
        <f t="array" ref="U316:AD316">[1]!'2338.TW-ChipsField3,ChipsField1,ChipsField25,CashAndStockDividend,CashDividendYieldRate,ProfitFourSeason,ProfitSingle,CName,ExchangeIndustry,CompanyPos'</f>
        <v>10</v>
      </c>
      <c r="V316">
        <v>-260</v>
      </c>
      <c r="W316" t="str">
        <v>2022/08/17</v>
      </c>
      <c r="X316" t="str">
        <v>2.00</v>
      </c>
      <c r="Y316">
        <v>2.34</v>
      </c>
      <c r="Z316" t="str">
        <v>1.59</v>
      </c>
      <c r="AA316" t="str">
        <v>2.93</v>
      </c>
      <c r="AB316" t="str">
        <v>光罩</v>
      </c>
      <c r="AC316" t="str">
        <v>上市半導體</v>
      </c>
      <c r="AD316" t="str">
        <v>台灣專業光罩廠商</v>
      </c>
      <c r="AE316" t="str">
        <f t="array" ref="AE316:AH316">[1]!'2338.TW-CName,InvestorConferenceDate,DateofMeetingofShareHolders,TradingDate'</f>
        <v>光罩</v>
      </c>
      <c r="AF316" t="str">
        <v>2021/11/16</v>
      </c>
      <c r="AG316" t="str">
        <v>2022/07/26</v>
      </c>
      <c r="AH316" t="str">
        <v>2022/12/22</v>
      </c>
    </row>
    <row r="317" spans="1:34" x14ac:dyDescent="0.3">
      <c r="A317" t="str">
        <f t="array" ref="A317:J317">[1]!'2340.TW-ID,Name,MarketValue,Capital,NetIncomeGrowthRate,OperIncomeGrowthRate,FinancialStatementsTime,TFXRatio,MonthlyNetSalesYoY,RevenueMonth'</f>
        <v>2340</v>
      </c>
      <c r="B317" t="str">
        <v>台亞</v>
      </c>
      <c r="C317" t="str">
        <v>132.5</v>
      </c>
      <c r="D317" t="str">
        <v>43.86</v>
      </c>
      <c r="E317" t="str">
        <v>-43.80</v>
      </c>
      <c r="F317" t="str">
        <v>-49.79</v>
      </c>
      <c r="G317" t="str">
        <v>2022/09</v>
      </c>
      <c r="H317" t="str">
        <v>-7.66</v>
      </c>
      <c r="I317" t="str">
        <v>-32.95</v>
      </c>
      <c r="J317" t="str">
        <v>2022/11</v>
      </c>
      <c r="K317" t="str">
        <f t="array" ref="K317:T317">[1]!'2340.TW-OperatingProfitRatio,Price,PriceChangeRatio,InOutRatioNumber,Value,YearReturn,MonthReturn,WeekReturn,FinanceBalanceDif,ChipsField2'</f>
        <v>11.44</v>
      </c>
      <c r="L317">
        <v>35</v>
      </c>
      <c r="M317">
        <v>0.86</v>
      </c>
      <c r="N317" t="str">
        <v>59.14%</v>
      </c>
      <c r="O317" t="str">
        <v>2838萬</v>
      </c>
      <c r="P317" t="str">
        <v>-38.16</v>
      </c>
      <c r="Q317" t="str">
        <v>-6.91</v>
      </c>
      <c r="R317" t="str">
        <v>-4.24</v>
      </c>
      <c r="S317">
        <v>-25</v>
      </c>
      <c r="T317">
        <v>0</v>
      </c>
      <c r="U317">
        <f t="array" ref="U317:AD317">[1]!'2340.TW-ChipsField3,ChipsField1,ChipsField25,CashAndStockDividend,CashDividendYieldRate,ProfitFourSeason,ProfitSingle,CName,ExchangeIndustry,CompanyPos'</f>
        <v>-220</v>
      </c>
      <c r="V317">
        <v>79</v>
      </c>
      <c r="W317" t="str">
        <v>2022/07/21</v>
      </c>
      <c r="X317" t="str">
        <v>3.00</v>
      </c>
      <c r="Y317">
        <v>8.57</v>
      </c>
      <c r="Z317" t="str">
        <v>1.25</v>
      </c>
      <c r="AA317" t="str">
        <v>0.24</v>
      </c>
      <c r="AB317" t="str">
        <v>台亞</v>
      </c>
      <c r="AC317" t="str">
        <v>上市半導體</v>
      </c>
      <c r="AD317" t="str">
        <v>日亞化轉投資感測元件與LED發光元件公司</v>
      </c>
      <c r="AE317" t="str">
        <f t="array" ref="AE317:AH317">[1]!'2340.TW-CName,InvestorConferenceDate,DateofMeetingofShareHolders,TradingDate'</f>
        <v>台亞</v>
      </c>
      <c r="AF317" t="str">
        <v>2022/11/22</v>
      </c>
      <c r="AG317" t="str">
        <v>2022/06/23</v>
      </c>
      <c r="AH317" t="str">
        <v>2022/12/22</v>
      </c>
    </row>
    <row r="318" spans="1:34" x14ac:dyDescent="0.3">
      <c r="A318" t="str">
        <f t="array" ref="A318:J318">[1]!'2342.TW-ID,Name,MarketValue,Capital,NetIncomeGrowthRate,OperIncomeGrowthRate,FinancialStatementsTime,TFXRatio,MonthlyNetSalesYoY,RevenueMonth'</f>
        <v>2342</v>
      </c>
      <c r="B318" t="str">
        <v>茂矽</v>
      </c>
      <c r="C318" t="str">
        <v>59.5</v>
      </c>
      <c r="D318" t="str">
        <v>15.62</v>
      </c>
      <c r="E318" t="str">
        <v>207.21</v>
      </c>
      <c r="F318" t="str">
        <v>68.98</v>
      </c>
      <c r="G318" t="str">
        <v>2022/09</v>
      </c>
      <c r="H318" t="str">
        <v>-10.88</v>
      </c>
      <c r="I318" t="str">
        <v>-8.90</v>
      </c>
      <c r="J318" t="str">
        <v>2022/11</v>
      </c>
      <c r="K318" t="str">
        <f t="array" ref="K318:T318">[1]!'2342.TW-OperatingProfitRatio,Price,PriceChangeRatio,InOutRatioNumber,Value,YearReturn,MonthReturn,WeekReturn,FinanceBalanceDif,ChipsField2'</f>
        <v>17.02</v>
      </c>
      <c r="L318">
        <v>38.1</v>
      </c>
      <c r="M318">
        <v>0.53</v>
      </c>
      <c r="N318" t="str">
        <v>30.87%</v>
      </c>
      <c r="O318" t="str">
        <v>1792萬</v>
      </c>
      <c r="P318" t="str">
        <v>-17.30</v>
      </c>
      <c r="Q318" t="str">
        <v>+2.14</v>
      </c>
      <c r="R318" t="str">
        <v>-6.16</v>
      </c>
      <c r="S318">
        <v>-12</v>
      </c>
      <c r="T318">
        <v>0</v>
      </c>
      <c r="U318">
        <f t="array" ref="U318:AD318">[1]!'2342.TW-ChipsField3,ChipsField1,ChipsField25,CashAndStockDividend,CashDividendYieldRate,ProfitFourSeason,ProfitSingle,CName,ExchangeIndustry,CompanyPos'</f>
        <v>-2</v>
      </c>
      <c r="V318">
        <v>-99</v>
      </c>
      <c r="W318" t="str">
        <v>2023/02/02</v>
      </c>
      <c r="X318" t="str">
        <v>1.00</v>
      </c>
      <c r="Y318">
        <v>1.31</v>
      </c>
      <c r="Z318" t="str">
        <v>3.74</v>
      </c>
      <c r="AA318" t="str">
        <v>1.27</v>
      </c>
      <c r="AB318" t="str">
        <v>茂矽</v>
      </c>
      <c r="AC318" t="str">
        <v>上市半導體</v>
      </c>
      <c r="AD318" t="str">
        <v>轉型專注晶圓代工事業</v>
      </c>
      <c r="AE318" t="str">
        <f t="array" ref="AE318:AH318">[1]!'2342.TW-CName,InvestorConferenceDate,DateofMeetingofShareHolders,TradingDate'</f>
        <v>茂矽</v>
      </c>
      <c r="AF318" t="str">
        <v>2022/03/16</v>
      </c>
      <c r="AG318" t="str">
        <v>2022/05/18</v>
      </c>
      <c r="AH318" t="str">
        <v>2022/12/22</v>
      </c>
    </row>
    <row r="319" spans="1:34" x14ac:dyDescent="0.3">
      <c r="A319" t="str">
        <f t="array" ref="A319:J319">[1]!'2344.TW-ID,Name,MarketValue,Capital,NetIncomeGrowthRate,OperIncomeGrowthRate,FinancialStatementsTime,TFXRatio,MonthlyNetSalesYoY,RevenueMonth'</f>
        <v>2344</v>
      </c>
      <c r="B319" t="str">
        <v>華邦電</v>
      </c>
      <c r="C319" t="str">
        <v>807.9</v>
      </c>
      <c r="D319" t="str">
        <v>398.00</v>
      </c>
      <c r="E319" t="str">
        <v>37.14</v>
      </c>
      <c r="F319" t="str">
        <v>21.07</v>
      </c>
      <c r="G319" t="str">
        <v>2022/09</v>
      </c>
      <c r="H319" t="str">
        <v>4.72</v>
      </c>
      <c r="I319" t="str">
        <v>-23.83</v>
      </c>
      <c r="J319" t="str">
        <v>2022/11</v>
      </c>
      <c r="K319" t="str">
        <f t="array" ref="K319:T319">[1]!'2344.TW-OperatingProfitRatio,Price,PriceChangeRatio,InOutRatioNumber,Value,YearReturn,MonthReturn,WeekReturn,FinanceBalanceDif,ChipsField2'</f>
        <v>20.69</v>
      </c>
      <c r="L319">
        <v>20.3</v>
      </c>
      <c r="M319">
        <v>1.25</v>
      </c>
      <c r="N319" t="str">
        <v>49.84%</v>
      </c>
      <c r="O319" t="str">
        <v>1.34億</v>
      </c>
      <c r="P319" t="str">
        <v>-31.87</v>
      </c>
      <c r="Q319" t="str">
        <v>-5.36</v>
      </c>
      <c r="R319" t="str">
        <v>-4.02</v>
      </c>
      <c r="S319">
        <v>183</v>
      </c>
      <c r="T319">
        <v>10</v>
      </c>
      <c r="U319">
        <f t="array" ref="U319:AD319">[1]!'2344.TW-ChipsField3,ChipsField1,ChipsField25,CashAndStockDividend,CashDividendYieldRate,ProfitFourSeason,ProfitSingle,CName,ExchangeIndustry,CompanyPos'</f>
        <v>-795</v>
      </c>
      <c r="V319">
        <v>-5444</v>
      </c>
      <c r="W319" t="str">
        <v>2022/06/16</v>
      </c>
      <c r="X319" t="str">
        <v>1.00</v>
      </c>
      <c r="Y319">
        <v>4.93</v>
      </c>
      <c r="Z319" t="str">
        <v>4.17</v>
      </c>
      <c r="AA319" t="str">
        <v>0.67</v>
      </c>
      <c r="AB319" t="str">
        <v>華邦電</v>
      </c>
      <c r="AC319" t="str">
        <v>上市半導體</v>
      </c>
      <c r="AD319" t="str">
        <v>台灣利基型DRAM廠</v>
      </c>
      <c r="AE319" t="str">
        <f t="array" ref="AE319:AH319">[1]!'2344.TW-CName,InvestorConferenceDate,DateofMeetingofShareHolders,TradingDate'</f>
        <v>華邦電</v>
      </c>
      <c r="AF319" t="str">
        <v>2022/08/05</v>
      </c>
      <c r="AG319" t="str">
        <v>2022/05/31</v>
      </c>
      <c r="AH319" t="str">
        <v>2022/12/22</v>
      </c>
    </row>
    <row r="320" spans="1:34" x14ac:dyDescent="0.3">
      <c r="A320" t="str">
        <f t="array" ref="A320:J320">[1]!'2351.TW-ID,Name,MarketValue,Capital,NetIncomeGrowthRate,OperIncomeGrowthRate,FinancialStatementsTime,TFXRatio,MonthlyNetSalesYoY,RevenueMonth'</f>
        <v>2351</v>
      </c>
      <c r="B320" t="str">
        <v>順德</v>
      </c>
      <c r="C320" t="str">
        <v>179.0</v>
      </c>
      <c r="D320" t="str">
        <v>18.21</v>
      </c>
      <c r="E320" t="str">
        <v>21.99</v>
      </c>
      <c r="F320" t="str">
        <v>-3.74</v>
      </c>
      <c r="G320" t="str">
        <v>2022/09</v>
      </c>
      <c r="H320" t="str">
        <v>5.28</v>
      </c>
      <c r="I320" t="str">
        <v>-2.01</v>
      </c>
      <c r="J320" t="str">
        <v>2022/11</v>
      </c>
      <c r="K320" t="str">
        <f t="array" ref="K320:T320">[1]!'2351.TW-OperatingProfitRatio,Price,PriceChangeRatio,InOutRatioNumber,Value,YearReturn,MonthReturn,WeekReturn,FinanceBalanceDif,ChipsField2'</f>
        <v>10.17</v>
      </c>
      <c r="L320">
        <v>98.3</v>
      </c>
      <c r="M320">
        <v>1.65</v>
      </c>
      <c r="N320" t="str">
        <v>38.03%</v>
      </c>
      <c r="O320" t="str">
        <v>5529萬</v>
      </c>
      <c r="P320" t="str">
        <v>-37.93</v>
      </c>
      <c r="Q320" t="str">
        <v>-1.70</v>
      </c>
      <c r="R320" t="str">
        <v>-5.48</v>
      </c>
      <c r="S320">
        <v>34</v>
      </c>
      <c r="T320">
        <v>-300</v>
      </c>
      <c r="U320">
        <f t="array" ref="U320:AD320">[1]!'2351.TW-ChipsField3,ChipsField1,ChipsField25,CashAndStockDividend,CashDividendYieldRate,ProfitFourSeason,ProfitSingle,CName,ExchangeIndustry,CompanyPos'</f>
        <v>-15</v>
      </c>
      <c r="V320">
        <v>434</v>
      </c>
      <c r="W320" t="str">
        <v>2022/08/03</v>
      </c>
      <c r="X320" t="str">
        <v>3.00</v>
      </c>
      <c r="Y320">
        <v>3.05</v>
      </c>
      <c r="Z320" t="str">
        <v>5.46</v>
      </c>
      <c r="AA320" t="str">
        <v>1.41</v>
      </c>
      <c r="AB320" t="str">
        <v>順德</v>
      </c>
      <c r="AC320" t="str">
        <v>上市半導體</v>
      </c>
      <c r="AD320" t="str">
        <v>全球導線架前五大供應商之一</v>
      </c>
      <c r="AE320" t="str">
        <f t="array" ref="AE320:AH320">[1]!'2351.TW-CName,InvestorConferenceDate,DateofMeetingofShareHolders,TradingDate'</f>
        <v>順德</v>
      </c>
      <c r="AF320" t="str">
        <v>2022/05/18</v>
      </c>
      <c r="AG320" t="str">
        <v>2022/05/27</v>
      </c>
      <c r="AH320" t="str">
        <v>2022/12/22</v>
      </c>
    </row>
    <row r="321" spans="1:34" x14ac:dyDescent="0.3">
      <c r="A321" t="str">
        <f t="array" ref="A321:J321">[1]!'2363.TW-ID,Name,MarketValue,Capital,NetIncomeGrowthRate,OperIncomeGrowthRate,FinancialStatementsTime,TFXRatio,MonthlyNetSalesYoY,RevenueMonth'</f>
        <v>2363</v>
      </c>
      <c r="B321" t="str">
        <v>矽統</v>
      </c>
      <c r="C321" t="str">
        <v>120.7</v>
      </c>
      <c r="D321" t="str">
        <v>74.96</v>
      </c>
      <c r="E321" t="str">
        <v>114.86</v>
      </c>
      <c r="F321" t="str">
        <v>-33.72</v>
      </c>
      <c r="G321" t="str">
        <v>2022/09</v>
      </c>
      <c r="H321" t="str">
        <v>-5.93</v>
      </c>
      <c r="I321" t="str">
        <v>-43.49</v>
      </c>
      <c r="J321" t="str">
        <v>2022/11</v>
      </c>
      <c r="K321" t="str">
        <f t="array" ref="K321:T321">[1]!'2363.TW-OperatingProfitRatio,Price,PriceChangeRatio,InOutRatioNumber,Value,YearReturn,MonthReturn,WeekReturn,FinanceBalanceDif,ChipsField2'</f>
        <v>-255.81</v>
      </c>
      <c r="L321">
        <v>16.100000000000001</v>
      </c>
      <c r="M321">
        <v>1.9</v>
      </c>
      <c r="N321" t="str">
        <v>65.53%</v>
      </c>
      <c r="O321" t="str">
        <v>2055萬</v>
      </c>
      <c r="P321" t="str">
        <v>-27.27</v>
      </c>
      <c r="Q321" t="str">
        <v>-3.88</v>
      </c>
      <c r="R321" t="str">
        <v>-5.57</v>
      </c>
      <c r="S321">
        <v>-65</v>
      </c>
      <c r="T321">
        <v>0</v>
      </c>
      <c r="U321">
        <f t="array" ref="U321:AD321">[1]!'2363.TW-ChipsField3,ChipsField1,ChipsField25,CashAndStockDividend,CashDividendYieldRate,ProfitFourSeason,ProfitSingle,CName,ExchangeIndustry,CompanyPos'</f>
        <v>-8</v>
      </c>
      <c r="V321">
        <v>-171</v>
      </c>
      <c r="W321" t="str">
        <v>2022/08/24</v>
      </c>
      <c r="X321" t="str">
        <v>1.80</v>
      </c>
      <c r="Y321">
        <v>11.18</v>
      </c>
      <c r="Z321" t="str">
        <v>0.74</v>
      </c>
      <c r="AA321" t="str">
        <v>-0.12</v>
      </c>
      <c r="AB321" t="str">
        <v>矽統</v>
      </c>
      <c r="AC321" t="str">
        <v>上市半導體</v>
      </c>
      <c r="AD321" t="str">
        <v>轉型為觸控IC設計廠商</v>
      </c>
      <c r="AE321" t="str">
        <f t="array" ref="AE321:AH321">[1]!'2363.TW-CName,InvestorConferenceDate,DateofMeetingofShareHolders,TradingDate'</f>
        <v>矽統</v>
      </c>
      <c r="AF321" t="str">
        <v>--</v>
      </c>
      <c r="AG321" t="str">
        <v>2022/06/21</v>
      </c>
      <c r="AH321" t="str">
        <v>2022/12/22</v>
      </c>
    </row>
    <row r="322" spans="1:34" x14ac:dyDescent="0.3">
      <c r="A322" t="str">
        <f t="array" ref="A322:J322">[1]!'2369.TW-ID,Name,MarketValue,Capital,NetIncomeGrowthRate,OperIncomeGrowthRate,FinancialStatementsTime,TFXRatio,MonthlyNetSalesYoY,RevenueMonth'</f>
        <v>2369</v>
      </c>
      <c r="B322" t="str">
        <v>菱生</v>
      </c>
      <c r="C322" t="str">
        <v>50.9</v>
      </c>
      <c r="D322" t="str">
        <v>38.01</v>
      </c>
      <c r="E322" t="str">
        <v>-67.93</v>
      </c>
      <c r="F322" t="str">
        <v>-75.60</v>
      </c>
      <c r="G322" t="str">
        <v>2022/09</v>
      </c>
      <c r="H322" t="str">
        <v>2.39</v>
      </c>
      <c r="I322" t="str">
        <v>-41.35</v>
      </c>
      <c r="J322" t="str">
        <v>2022/11</v>
      </c>
      <c r="K322" t="str">
        <f t="array" ref="K322:T322">[1]!'2369.TW-OperatingProfitRatio,Price,PriceChangeRatio,InOutRatioNumber,Value,YearReturn,MonthReturn,WeekReturn,FinanceBalanceDif,ChipsField2'</f>
        <v>3.33</v>
      </c>
      <c r="L322">
        <v>13.4</v>
      </c>
      <c r="M322">
        <v>1.52</v>
      </c>
      <c r="N322" t="str">
        <v>57.56%</v>
      </c>
      <c r="O322" t="str">
        <v>322萬</v>
      </c>
      <c r="P322" t="str">
        <v>-43.69</v>
      </c>
      <c r="Q322" t="str">
        <v>-4.29</v>
      </c>
      <c r="R322" t="str">
        <v>-3.25</v>
      </c>
      <c r="S322">
        <v>7</v>
      </c>
      <c r="T322">
        <v>0</v>
      </c>
      <c r="U322">
        <f t="array" ref="U322:AD322">[1]!'2369.TW-ChipsField3,ChipsField1,ChipsField25,CashAndStockDividend,CashDividendYieldRate,ProfitFourSeason,ProfitSingle,CName,ExchangeIndustry,CompanyPos'</f>
        <v>-40</v>
      </c>
      <c r="V322">
        <v>0</v>
      </c>
      <c r="W322" t="str">
        <v>2022/08/04</v>
      </c>
      <c r="X322" t="str">
        <v>1.29</v>
      </c>
      <c r="Y322">
        <v>9.6300000000000008</v>
      </c>
      <c r="Z322" t="str">
        <v>1.28</v>
      </c>
      <c r="AA322" t="str">
        <v>-0.08</v>
      </c>
      <c r="AB322" t="str">
        <v>菱生</v>
      </c>
      <c r="AC322" t="str">
        <v>上市半導體</v>
      </c>
      <c r="AD322" t="str">
        <v>客戶以類比IC為主的小型封裝廠</v>
      </c>
      <c r="AE322" t="str">
        <f t="array" ref="AE322:AH322">[1]!'2369.TW-CName,InvestorConferenceDate,DateofMeetingofShareHolders,TradingDate'</f>
        <v>菱生</v>
      </c>
      <c r="AF322" t="str">
        <v>2022/11/22</v>
      </c>
      <c r="AG322" t="str">
        <v>2022/06/10</v>
      </c>
      <c r="AH322" t="str">
        <v>2022/12/22</v>
      </c>
    </row>
    <row r="323" spans="1:34" x14ac:dyDescent="0.3">
      <c r="A323" t="str">
        <f t="array" ref="A323:J323">[1]!'2379.TW-ID,Name,MarketValue,Capital,NetIncomeGrowthRate,OperIncomeGrowthRate,FinancialStatementsTime,TFXRatio,MonthlyNetSalesYoY,RevenueMonth'</f>
        <v>2379</v>
      </c>
      <c r="B323" t="str">
        <v>瑞昱</v>
      </c>
      <c r="C323" t="str">
        <v>1489.9</v>
      </c>
      <c r="D323" t="str">
        <v>51.29</v>
      </c>
      <c r="E323" t="str">
        <v>14.89</v>
      </c>
      <c r="F323" t="str">
        <v>10.33</v>
      </c>
      <c r="G323" t="str">
        <v>2022/09</v>
      </c>
      <c r="H323" t="str">
        <v>-9.81</v>
      </c>
      <c r="I323" t="str">
        <v>-20.57</v>
      </c>
      <c r="J323" t="str">
        <v>2022/11</v>
      </c>
      <c r="K323" t="str">
        <f t="array" ref="K323:T323">[1]!'2379.TW-OperatingProfitRatio,Price,PriceChangeRatio,InOutRatioNumber,Value,YearReturn,MonthReturn,WeekReturn,FinanceBalanceDif,ChipsField2'</f>
        <v>15.50</v>
      </c>
      <c r="L323">
        <v>290.5</v>
      </c>
      <c r="M323">
        <v>1.75</v>
      </c>
      <c r="N323" t="str">
        <v>22.26%</v>
      </c>
      <c r="O323" t="str">
        <v>13.7億</v>
      </c>
      <c r="P323" t="str">
        <v>-44.42</v>
      </c>
      <c r="Q323" t="str">
        <v>-10.62</v>
      </c>
      <c r="R323" t="str">
        <v>-3.65</v>
      </c>
      <c r="S323">
        <v>18</v>
      </c>
      <c r="T323">
        <v>2563</v>
      </c>
      <c r="U323">
        <f t="array" ref="U323:AD323">[1]!'2379.TW-ChipsField3,ChipsField1,ChipsField25,CashAndStockDividend,CashDividendYieldRate,ProfitFourSeason,ProfitSingle,CName,ExchangeIndustry,CompanyPos'</f>
        <v>-92</v>
      </c>
      <c r="V323">
        <v>-2697</v>
      </c>
      <c r="W323" t="str">
        <v>2022/09/12</v>
      </c>
      <c r="X323" t="str">
        <v>27.00</v>
      </c>
      <c r="Y323">
        <v>9.2899999999999991</v>
      </c>
      <c r="Z323" t="str">
        <v>36.49</v>
      </c>
      <c r="AA323" t="str">
        <v>8.20</v>
      </c>
      <c r="AB323" t="str">
        <v>瑞昱</v>
      </c>
      <c r="AC323" t="str">
        <v>上市半導體</v>
      </c>
      <c r="AD323" t="str">
        <v>全球超高速乙太網路IC設計龍頭廠商</v>
      </c>
      <c r="AE323" t="str">
        <f t="array" ref="AE323:AH323">[1]!'2379.TW-CName,InvestorConferenceDate,DateofMeetingofShareHolders,TradingDate'</f>
        <v>瑞昱</v>
      </c>
      <c r="AF323" t="str">
        <v>2022/10/28</v>
      </c>
      <c r="AG323" t="str">
        <v>2022/06/08</v>
      </c>
      <c r="AH323" t="str">
        <v>2022/12/22</v>
      </c>
    </row>
    <row r="324" spans="1:34" x14ac:dyDescent="0.3">
      <c r="A324" t="str">
        <f t="array" ref="A324:J324">[1]!'2388.TW-ID,Name,MarketValue,Capital,NetIncomeGrowthRate,OperIncomeGrowthRate,FinancialStatementsTime,TFXRatio,MonthlyNetSalesYoY,RevenueMonth'</f>
        <v>2388</v>
      </c>
      <c r="B324" t="str">
        <v>威盛</v>
      </c>
      <c r="C324" t="str">
        <v>344.9</v>
      </c>
      <c r="D324" t="str">
        <v>49.71</v>
      </c>
      <c r="E324" t="str">
        <v>-81.65</v>
      </c>
      <c r="F324" t="str">
        <v>116.27</v>
      </c>
      <c r="G324" t="str">
        <v>2022/09</v>
      </c>
      <c r="H324" t="str">
        <v>98.42</v>
      </c>
      <c r="I324" t="str">
        <v>68.97</v>
      </c>
      <c r="J324" t="str">
        <v>2022/11</v>
      </c>
      <c r="K324" t="str">
        <f t="array" ref="K324:T324">[1]!'2388.TW-OperatingProfitRatio,Price,PriceChangeRatio,InOutRatioNumber,Value,YearReturn,MonthReturn,WeekReturn,FinanceBalanceDif,ChipsField2'</f>
        <v>2.23</v>
      </c>
      <c r="L324">
        <v>69.400000000000006</v>
      </c>
      <c r="M324">
        <v>-0.28999999999999998</v>
      </c>
      <c r="N324" t="str">
        <v>36.21%</v>
      </c>
      <c r="O324" t="str">
        <v>6.01億</v>
      </c>
      <c r="P324" t="str">
        <v>-18.68</v>
      </c>
      <c r="Q324" t="str">
        <v>-1.98</v>
      </c>
      <c r="R324" t="str">
        <v>-6.85</v>
      </c>
      <c r="S324">
        <v>-56</v>
      </c>
      <c r="T324">
        <v>0</v>
      </c>
      <c r="U324">
        <f t="array" ref="U324:AD324">[1]!'2388.TW-ChipsField3,ChipsField1,ChipsField25,CashAndStockDividend,CashDividendYieldRate,ProfitFourSeason,ProfitSingle,CName,ExchangeIndustry,CompanyPos'</f>
        <v>-197</v>
      </c>
      <c r="V324">
        <v>-413</v>
      </c>
      <c r="W324" t="str">
        <v>2022/04/07</v>
      </c>
      <c r="X324" t="str">
        <v>1.00</v>
      </c>
      <c r="Y324">
        <v>1.44</v>
      </c>
      <c r="Z324" t="str">
        <v>6.12</v>
      </c>
      <c r="AA324" t="str">
        <v>0.41</v>
      </c>
      <c r="AB324" t="str">
        <v>威盛</v>
      </c>
      <c r="AC324" t="str">
        <v>上市半導體</v>
      </c>
      <c r="AD324" t="str">
        <v>支援x86平台之IC解決方案廠商</v>
      </c>
      <c r="AE324" t="str">
        <f t="array" ref="AE324:AH324">[1]!'2388.TW-CName,InvestorConferenceDate,DateofMeetingofShareHolders,TradingDate'</f>
        <v>威盛</v>
      </c>
      <c r="AF324" t="str">
        <v>2022/11/04</v>
      </c>
      <c r="AG324" t="str">
        <v>2022/06/17</v>
      </c>
      <c r="AH324" t="str">
        <v>2022/12/22</v>
      </c>
    </row>
    <row r="325" spans="1:34" x14ac:dyDescent="0.3">
      <c r="A325" t="str">
        <f t="array" ref="A325:J325">[1]!'2401.TW-ID,Name,MarketValue,Capital,NetIncomeGrowthRate,OperIncomeGrowthRate,FinancialStatementsTime,TFXRatio,MonthlyNetSalesYoY,RevenueMonth'</f>
        <v>2401</v>
      </c>
      <c r="B325" t="str">
        <v>凌陽</v>
      </c>
      <c r="C325" t="str">
        <v>136.5</v>
      </c>
      <c r="D325" t="str">
        <v>59.20</v>
      </c>
      <c r="E325" t="str">
        <v>-38.73</v>
      </c>
      <c r="F325" t="str">
        <v>-39.32</v>
      </c>
      <c r="G325" t="str">
        <v>2022/09</v>
      </c>
      <c r="H325" t="str">
        <v>-17.24</v>
      </c>
      <c r="I325" t="str">
        <v>-45.05</v>
      </c>
      <c r="J325" t="str">
        <v>2022/11</v>
      </c>
      <c r="K325" t="str">
        <f t="array" ref="K325:T325">[1]!'2401.TW-OperatingProfitRatio,Price,PriceChangeRatio,InOutRatioNumber,Value,YearReturn,MonthReturn,WeekReturn,FinanceBalanceDif,ChipsField2'</f>
        <v>8.19</v>
      </c>
      <c r="L325">
        <v>23.05</v>
      </c>
      <c r="M325">
        <v>0.66</v>
      </c>
      <c r="N325" t="str">
        <v>42.16%</v>
      </c>
      <c r="O325" t="str">
        <v>1284萬</v>
      </c>
      <c r="P325" t="str">
        <v>-35.97</v>
      </c>
      <c r="Q325" t="str">
        <v>-4.75</v>
      </c>
      <c r="R325" t="str">
        <v>-7.43</v>
      </c>
      <c r="S325">
        <v>56</v>
      </c>
      <c r="T325">
        <v>0</v>
      </c>
      <c r="U325">
        <f t="array" ref="U325:AD325">[1]!'2401.TW-ChipsField3,ChipsField1,ChipsField25,CashAndStockDividend,CashDividendYieldRate,ProfitFourSeason,ProfitSingle,CName,ExchangeIndustry,CompanyPos'</f>
        <v>-89</v>
      </c>
      <c r="V325">
        <v>43</v>
      </c>
      <c r="W325" t="str">
        <v>2022/07/14</v>
      </c>
      <c r="X325" t="str">
        <v>2.00</v>
      </c>
      <c r="Y325">
        <v>8.68</v>
      </c>
      <c r="Z325" t="str">
        <v>1.23</v>
      </c>
      <c r="AA325" t="str">
        <v>0.03</v>
      </c>
      <c r="AB325" t="str">
        <v>凌陽</v>
      </c>
      <c r="AC325" t="str">
        <v>上市半導體</v>
      </c>
      <c r="AD325" t="str">
        <v>台灣多媒體IC設計廠商</v>
      </c>
      <c r="AE325" t="str">
        <f t="array" ref="AE325:AH325">[1]!'2401.TW-CName,InvestorConferenceDate,DateofMeetingofShareHolders,TradingDate'</f>
        <v>凌陽</v>
      </c>
      <c r="AF325" t="str">
        <v>2022/08/17</v>
      </c>
      <c r="AG325" t="str">
        <v>2022/06/08</v>
      </c>
      <c r="AH325" t="str">
        <v>2022/12/22</v>
      </c>
    </row>
    <row r="326" spans="1:34" x14ac:dyDescent="0.3">
      <c r="A326" t="str">
        <f t="array" ref="A326:J326">[1]!'2408.TW-ID,Name,MarketValue,Capital,NetIncomeGrowthRate,OperIncomeGrowthRate,FinancialStatementsTime,TFXRatio,MonthlyNetSalesYoY,RevenueMonth'</f>
        <v>2408</v>
      </c>
      <c r="B326" t="str">
        <v>南亞科</v>
      </c>
      <c r="C326" t="str">
        <v>1601.5</v>
      </c>
      <c r="D326" t="str">
        <v>309.80</v>
      </c>
      <c r="E326" t="str">
        <v>-3.84</v>
      </c>
      <c r="F326" t="str">
        <v>-34.53</v>
      </c>
      <c r="G326" t="str">
        <v>2022/09</v>
      </c>
      <c r="H326" t="str">
        <v>-0.40</v>
      </c>
      <c r="I326" t="str">
        <v>-61.81</v>
      </c>
      <c r="J326" t="str">
        <v>2022/11</v>
      </c>
      <c r="K326" t="str">
        <f t="array" ref="K326:T326">[1]!'2408.TW-OperatingProfitRatio,Price,PriceChangeRatio,InOutRatioNumber,Value,YearReturn,MonthReturn,WeekReturn,FinanceBalanceDif,ChipsField2'</f>
        <v>25.61</v>
      </c>
      <c r="L326">
        <v>51.7</v>
      </c>
      <c r="M326">
        <v>0.39</v>
      </c>
      <c r="N326" t="str">
        <v>37.03%</v>
      </c>
      <c r="O326" t="str">
        <v>3.30億</v>
      </c>
      <c r="P326" t="str">
        <v>-28.01</v>
      </c>
      <c r="Q326" t="str">
        <v>-11.47</v>
      </c>
      <c r="R326" t="str">
        <v>-6.85</v>
      </c>
      <c r="S326">
        <v>-4</v>
      </c>
      <c r="T326">
        <v>457</v>
      </c>
      <c r="U326">
        <f t="array" ref="U326:AD326">[1]!'2408.TW-ChipsField3,ChipsField1,ChipsField25,CashAndStockDividend,CashDividendYieldRate,ProfitFourSeason,ProfitSingle,CName,ExchangeIndustry,CompanyPos'</f>
        <v>-483</v>
      </c>
      <c r="V326">
        <v>-713</v>
      </c>
      <c r="W326" t="str">
        <v>2022/06/30</v>
      </c>
      <c r="X326" t="str">
        <v>3.70</v>
      </c>
      <c r="Y326">
        <v>7.16</v>
      </c>
      <c r="Z326" t="str">
        <v>7.18</v>
      </c>
      <c r="AA326" t="str">
        <v>0.85</v>
      </c>
      <c r="AB326" t="str">
        <v>南亞科</v>
      </c>
      <c r="AC326" t="str">
        <v>上市半導體</v>
      </c>
      <c r="AD326" t="str">
        <v>轉型利基型及消費型DRAM廠</v>
      </c>
      <c r="AE326" t="str">
        <f t="array" ref="AE326:AH326">[1]!'2408.TW-CName,InvestorConferenceDate,DateofMeetingofShareHolders,TradingDate'</f>
        <v>南亞科</v>
      </c>
      <c r="AF326" t="str">
        <v>2022/10/11</v>
      </c>
      <c r="AG326" t="str">
        <v>2022/05/26</v>
      </c>
      <c r="AH326" t="str">
        <v>2022/12/22</v>
      </c>
    </row>
    <row r="327" spans="1:34" x14ac:dyDescent="0.3">
      <c r="A327" t="str">
        <f t="array" ref="A327:J327">[1]!'2434.TW-ID,Name,MarketValue,Capital,NetIncomeGrowthRate,OperIncomeGrowthRate,FinancialStatementsTime,TFXRatio,MonthlyNetSalesYoY,RevenueMonth'</f>
        <v>2434</v>
      </c>
      <c r="B327" t="str">
        <v>統懋</v>
      </c>
      <c r="C327" t="str">
        <v>4.9</v>
      </c>
      <c r="D327" t="str">
        <v>3.70</v>
      </c>
      <c r="E327" t="str">
        <v>58.28</v>
      </c>
      <c r="F327" t="str">
        <v>-257.48</v>
      </c>
      <c r="G327" t="str">
        <v>2022/09</v>
      </c>
      <c r="H327" t="str">
        <v>-1.10</v>
      </c>
      <c r="I327" t="str">
        <v>-16.77</v>
      </c>
      <c r="J327" t="str">
        <v>2022/11</v>
      </c>
      <c r="K327" t="str">
        <f t="array" ref="K327:T327">[1]!'2434.TW-OperatingProfitRatio,Price,PriceChangeRatio,InOutRatioNumber,Value,YearReturn,MonthReturn,WeekReturn,FinanceBalanceDif,ChipsField2'</f>
        <v>-74.52</v>
      </c>
      <c r="L327">
        <v>28.9</v>
      </c>
      <c r="M327">
        <v>0</v>
      </c>
      <c r="N327" t="str">
        <v>52.78%</v>
      </c>
      <c r="O327" t="str">
        <v>205萬</v>
      </c>
      <c r="P327" t="str">
        <v>-26.84</v>
      </c>
      <c r="Q327" t="str">
        <v>-3.83</v>
      </c>
      <c r="R327" t="str">
        <v>-0.69</v>
      </c>
      <c r="S327">
        <v>0</v>
      </c>
      <c r="T327">
        <v>0</v>
      </c>
      <c r="U327">
        <f t="array" ref="U327:AD327">[1]!'2434.TW-ChipsField3,ChipsField1,ChipsField25,CashAndStockDividend,CashDividendYieldRate,ProfitFourSeason,ProfitSingle,CName,ExchangeIndustry,CompanyPos'</f>
        <v>0</v>
      </c>
      <c r="V327">
        <v>0</v>
      </c>
      <c r="W327" t="str">
        <v>--</v>
      </c>
      <c r="X327" t="str">
        <v>0.00</v>
      </c>
      <c r="Y327">
        <v>0</v>
      </c>
      <c r="Z327" t="str">
        <v>-0.28</v>
      </c>
      <c r="AA327" t="str">
        <v>0.62</v>
      </c>
      <c r="AB327" t="str">
        <v>統懋</v>
      </c>
      <c r="AC327" t="str">
        <v>上市半導體</v>
      </c>
      <c r="AD327" t="str">
        <v>台灣上下游垂直整合之二極體廠</v>
      </c>
      <c r="AE327" t="str">
        <f t="array" ref="AE327:AH327">[1]!'2434.TW-CName,InvestorConferenceDate,DateofMeetingofShareHolders,TradingDate'</f>
        <v>統懋</v>
      </c>
      <c r="AF327" t="str">
        <v>2022/12/21</v>
      </c>
      <c r="AG327" t="str">
        <v>2022/06/15</v>
      </c>
      <c r="AH327" t="str">
        <v>2022/12/22</v>
      </c>
    </row>
    <row r="328" spans="1:34" x14ac:dyDescent="0.3">
      <c r="A328" t="str">
        <f t="array" ref="A328:J328">[1]!'2436.TW-ID,Name,MarketValue,Capital,NetIncomeGrowthRate,OperIncomeGrowthRate,FinancialStatementsTime,TFXRatio,MonthlyNetSalesYoY,RevenueMonth'</f>
        <v>2436</v>
      </c>
      <c r="B328" t="str">
        <v>偉詮電</v>
      </c>
      <c r="C328" t="str">
        <v>74.1</v>
      </c>
      <c r="D328" t="str">
        <v>17.80</v>
      </c>
      <c r="E328" t="str">
        <v>-76.19</v>
      </c>
      <c r="F328" t="str">
        <v>-5.53</v>
      </c>
      <c r="G328" t="str">
        <v>2022/09</v>
      </c>
      <c r="H328" t="str">
        <v>1.43</v>
      </c>
      <c r="I328" t="str">
        <v>-28.35</v>
      </c>
      <c r="J328" t="str">
        <v>2022/11</v>
      </c>
      <c r="K328" t="str">
        <f t="array" ref="K328:T328">[1]!'2436.TW-OperatingProfitRatio,Price,PriceChangeRatio,InOutRatioNumber,Value,YearReturn,MonthReturn,WeekReturn,FinanceBalanceDif,ChipsField2'</f>
        <v>11.86</v>
      </c>
      <c r="L328">
        <v>41.65</v>
      </c>
      <c r="M328">
        <v>0.85</v>
      </c>
      <c r="N328" t="str">
        <v>44.36%</v>
      </c>
      <c r="O328" t="str">
        <v>2729萬</v>
      </c>
      <c r="P328" t="str">
        <v>-55.57</v>
      </c>
      <c r="Q328" t="str">
        <v>-7.24</v>
      </c>
      <c r="R328" t="str">
        <v>-7.55</v>
      </c>
      <c r="S328">
        <v>-72</v>
      </c>
      <c r="T328">
        <v>0</v>
      </c>
      <c r="U328">
        <f t="array" ref="U328:AD328">[1]!'2436.TW-ChipsField3,ChipsField1,ChipsField25,CashAndStockDividend,CashDividendYieldRate,ProfitFourSeason,ProfitSingle,CName,ExchangeIndustry,CompanyPos'</f>
        <v>-7</v>
      </c>
      <c r="V328">
        <v>-87</v>
      </c>
      <c r="W328" t="str">
        <v>2022/09/01</v>
      </c>
      <c r="X328" t="str">
        <v>3.00</v>
      </c>
      <c r="Y328">
        <v>7.2</v>
      </c>
      <c r="Z328" t="str">
        <v>1.82</v>
      </c>
      <c r="AA328" t="str">
        <v>-0.15</v>
      </c>
      <c r="AB328" t="str">
        <v>偉詮電</v>
      </c>
      <c r="AC328" t="str">
        <v>上市半導體</v>
      </c>
      <c r="AD328" t="str">
        <v>台灣類比IC暨消費性IC設計廠商</v>
      </c>
      <c r="AE328" t="str">
        <f t="array" ref="AE328:AH328">[1]!'2436.TW-CName,InvestorConferenceDate,DateofMeetingofShareHolders,TradingDate'</f>
        <v>偉詮電</v>
      </c>
      <c r="AF328" t="str">
        <v>2022/08/25</v>
      </c>
      <c r="AG328" t="str">
        <v>2022/06/23</v>
      </c>
      <c r="AH328" t="str">
        <v>2022/12/22</v>
      </c>
    </row>
    <row r="329" spans="1:34" x14ac:dyDescent="0.3">
      <c r="A329" t="str">
        <f t="array" ref="A329:J329">[1]!'2441.TW-ID,Name,MarketValue,Capital,NetIncomeGrowthRate,OperIncomeGrowthRate,FinancialStatementsTime,TFXRatio,MonthlyNetSalesYoY,RevenueMonth'</f>
        <v>2441</v>
      </c>
      <c r="B329" t="str">
        <v>超豐</v>
      </c>
      <c r="C329" t="str">
        <v>280.7</v>
      </c>
      <c r="D329" t="str">
        <v>56.88</v>
      </c>
      <c r="E329" t="str">
        <v>-16.39</v>
      </c>
      <c r="F329" t="str">
        <v>-22.89</v>
      </c>
      <c r="G329" t="str">
        <v>2022/09</v>
      </c>
      <c r="H329" t="str">
        <v>1.29</v>
      </c>
      <c r="I329" t="str">
        <v>-38.94</v>
      </c>
      <c r="J329" t="str">
        <v>2022/11</v>
      </c>
      <c r="K329" t="str">
        <f t="array" ref="K329:T329">[1]!'2441.TW-OperatingProfitRatio,Price,PriceChangeRatio,InOutRatioNumber,Value,YearReturn,MonthReturn,WeekReturn,FinanceBalanceDif,ChipsField2'</f>
        <v>25.13</v>
      </c>
      <c r="L329">
        <v>49.35</v>
      </c>
      <c r="M329">
        <v>5.9</v>
      </c>
      <c r="N329" t="str">
        <v>76.38%</v>
      </c>
      <c r="O329" t="str">
        <v>6.00億</v>
      </c>
      <c r="P329" t="str">
        <v>-29.68</v>
      </c>
      <c r="Q329" t="str">
        <v>+1.75</v>
      </c>
      <c r="R329" t="str">
        <v>+1.75</v>
      </c>
      <c r="S329">
        <v>54</v>
      </c>
      <c r="T329">
        <v>-5798</v>
      </c>
      <c r="U329">
        <f t="array" ref="U329:AD329">[1]!'2441.TW-ChipsField3,ChipsField1,ChipsField25,CashAndStockDividend,CashDividendYieldRate,ProfitFourSeason,ProfitSingle,CName,ExchangeIndustry,CompanyPos'</f>
        <v>47</v>
      </c>
      <c r="V329">
        <v>3995</v>
      </c>
      <c r="W329" t="str">
        <v>2022/08/25</v>
      </c>
      <c r="X329" t="str">
        <v>5.00</v>
      </c>
      <c r="Y329">
        <v>10.130000000000001</v>
      </c>
      <c r="Z329" t="str">
        <v>7.10</v>
      </c>
      <c r="AA329" t="str">
        <v>1.07</v>
      </c>
      <c r="AB329" t="str">
        <v>超豐</v>
      </c>
      <c r="AC329" t="str">
        <v>上市半導體</v>
      </c>
      <c r="AD329" t="str">
        <v>力成轉投資之消費性IC後段封測廠</v>
      </c>
      <c r="AE329" t="str">
        <f t="array" ref="AE329:AH329">[1]!'2441.TW-CName,InvestorConferenceDate,DateofMeetingofShareHolders,TradingDate'</f>
        <v>超豐</v>
      </c>
      <c r="AF329" t="str">
        <v>2022/07/26</v>
      </c>
      <c r="AG329" t="str">
        <v>2022/05/26</v>
      </c>
      <c r="AH329" t="str">
        <v>2022/12/22</v>
      </c>
    </row>
    <row r="330" spans="1:34" x14ac:dyDescent="0.3">
      <c r="A330" t="str">
        <f t="array" ref="A330:J330">[1]!'2449.TW-ID,Name,MarketValue,Capital,NetIncomeGrowthRate,OperIncomeGrowthRate,FinancialStatementsTime,TFXRatio,MonthlyNetSalesYoY,RevenueMonth'</f>
        <v>2449</v>
      </c>
      <c r="B330" t="str">
        <v>京元電子</v>
      </c>
      <c r="C330" t="str">
        <v>453.0</v>
      </c>
      <c r="D330" t="str">
        <v>122.27</v>
      </c>
      <c r="E330" t="str">
        <v>53.40</v>
      </c>
      <c r="F330" t="str">
        <v>59.46</v>
      </c>
      <c r="G330" t="str">
        <v>2022/09</v>
      </c>
      <c r="H330" t="str">
        <v>-5.30</v>
      </c>
      <c r="I330" t="str">
        <v>-9.90</v>
      </c>
      <c r="J330" t="str">
        <v>2022/11</v>
      </c>
      <c r="K330" t="str">
        <f t="array" ref="K330:T330">[1]!'2449.TW-OperatingProfitRatio,Price,PriceChangeRatio,InOutRatioNumber,Value,YearReturn,MonthReturn,WeekReturn,FinanceBalanceDif,ChipsField2'</f>
        <v>25.55</v>
      </c>
      <c r="L330">
        <v>37.049999999999997</v>
      </c>
      <c r="M330">
        <v>1.51</v>
      </c>
      <c r="N330" t="str">
        <v>71.41%</v>
      </c>
      <c r="O330" t="str">
        <v>2.93億</v>
      </c>
      <c r="P330" t="str">
        <v>-7.50</v>
      </c>
      <c r="Q330" t="str">
        <v>+4.22</v>
      </c>
      <c r="R330" t="str">
        <v>+1.65</v>
      </c>
      <c r="S330">
        <v>3</v>
      </c>
      <c r="T330">
        <v>-3087</v>
      </c>
      <c r="U330">
        <f t="array" ref="U330:AD330">[1]!'2449.TW-ChipsField3,ChipsField1,ChipsField25,CashAndStockDividend,CashDividendYieldRate,ProfitFourSeason,ProfitSingle,CName,ExchangeIndustry,CompanyPos'</f>
        <v>105</v>
      </c>
      <c r="V330">
        <v>3710</v>
      </c>
      <c r="W330" t="str">
        <v>2022/07/21</v>
      </c>
      <c r="X330" t="str">
        <v>3.00</v>
      </c>
      <c r="Y330">
        <v>8.1</v>
      </c>
      <c r="Z330" t="str">
        <v>5.70</v>
      </c>
      <c r="AA330" t="str">
        <v>1.22</v>
      </c>
      <c r="AB330" t="str">
        <v>京元電子</v>
      </c>
      <c r="AC330" t="str">
        <v>上市半導體</v>
      </c>
      <c r="AD330" t="str">
        <v>全球最大IC測試廠之一</v>
      </c>
      <c r="AE330" t="str">
        <f t="array" ref="AE330:AH330">[1]!'2449.TW-CName,InvestorConferenceDate,DateofMeetingofShareHolders,TradingDate'</f>
        <v>京元電子</v>
      </c>
      <c r="AF330" t="str">
        <v>2021/04/07</v>
      </c>
      <c r="AG330" t="str">
        <v>2022/06/29</v>
      </c>
      <c r="AH330" t="str">
        <v>2022/12/22</v>
      </c>
    </row>
    <row r="331" spans="1:34" x14ac:dyDescent="0.3">
      <c r="A331" t="str">
        <f t="array" ref="A331:J331">[1]!'2451.TW-ID,Name,MarketValue,Capital,NetIncomeGrowthRate,OperIncomeGrowthRate,FinancialStatementsTime,TFXRatio,MonthlyNetSalesYoY,RevenueMonth'</f>
        <v>2451</v>
      </c>
      <c r="B331" t="str">
        <v>創見</v>
      </c>
      <c r="C331" t="str">
        <v>285.3</v>
      </c>
      <c r="D331" t="str">
        <v>42.91</v>
      </c>
      <c r="E331" t="str">
        <v>17.75</v>
      </c>
      <c r="F331" t="str">
        <v>-45.73</v>
      </c>
      <c r="G331" t="str">
        <v>2022/09</v>
      </c>
      <c r="H331" t="str">
        <v>-0.58</v>
      </c>
      <c r="I331" t="str">
        <v>-23.78</v>
      </c>
      <c r="J331" t="str">
        <v>2022/11</v>
      </c>
      <c r="K331" t="str">
        <f t="array" ref="K331:T331">[1]!'2451.TW-OperatingProfitRatio,Price,PriceChangeRatio,InOutRatioNumber,Value,YearReturn,MonthReturn,WeekReturn,FinanceBalanceDif,ChipsField2'</f>
        <v>13.13</v>
      </c>
      <c r="L331">
        <v>66.5</v>
      </c>
      <c r="M331">
        <v>1.06</v>
      </c>
      <c r="N331" t="str">
        <v>33.33%</v>
      </c>
      <c r="O331" t="str">
        <v>887萬</v>
      </c>
      <c r="P331" t="str">
        <v>-0.30</v>
      </c>
      <c r="Q331" t="str">
        <v>+1.53</v>
      </c>
      <c r="R331" t="str">
        <v>-0.60</v>
      </c>
      <c r="S331">
        <v>-5</v>
      </c>
      <c r="T331">
        <v>60</v>
      </c>
      <c r="U331">
        <f t="array" ref="U331:AD331">[1]!'2451.TW-ChipsField3,ChipsField1,ChipsField25,CashAndStockDividend,CashDividendYieldRate,ProfitFourSeason,ProfitSingle,CName,ExchangeIndustry,CompanyPos'</f>
        <v>-12</v>
      </c>
      <c r="V331">
        <v>-89</v>
      </c>
      <c r="W331" t="str">
        <v>2022/07/04</v>
      </c>
      <c r="X331" t="str">
        <v>6.00</v>
      </c>
      <c r="Y331">
        <v>9.02</v>
      </c>
      <c r="Z331" t="str">
        <v>6.75</v>
      </c>
      <c r="AA331" t="str">
        <v>1.13</v>
      </c>
      <c r="AB331" t="str">
        <v>創見</v>
      </c>
      <c r="AC331" t="str">
        <v>上市半導體</v>
      </c>
      <c r="AD331" t="str">
        <v>「Transcend」品牌之記憶體模組廠</v>
      </c>
      <c r="AE331" t="str">
        <f t="array" ref="AE331:AH331">[1]!'2451.TW-CName,InvestorConferenceDate,DateofMeetingofShareHolders,TradingDate'</f>
        <v>創見</v>
      </c>
      <c r="AF331" t="str">
        <v>2022/11/11</v>
      </c>
      <c r="AG331" t="str">
        <v>2022/06/17</v>
      </c>
      <c r="AH331" t="str">
        <v>2022/12/22</v>
      </c>
    </row>
    <row r="332" spans="1:34" x14ac:dyDescent="0.3">
      <c r="A332" t="str">
        <f t="array" ref="A332:J332">[1]!'2454.TW-ID,Name,MarketValue,Capital,NetIncomeGrowthRate,OperIncomeGrowthRate,FinancialStatementsTime,TFXRatio,MonthlyNetSalesYoY,RevenueMonth'</f>
        <v>2454</v>
      </c>
      <c r="B332" t="str">
        <v>聯發科</v>
      </c>
      <c r="C332" t="str">
        <v>10572.3</v>
      </c>
      <c r="D332" t="str">
        <v>159.94</v>
      </c>
      <c r="E332" t="str">
        <v>22.50</v>
      </c>
      <c r="F332" t="str">
        <v>38.79</v>
      </c>
      <c r="G332" t="str">
        <v>2022/09</v>
      </c>
      <c r="H332" t="str">
        <v>8.21</v>
      </c>
      <c r="I332" t="str">
        <v>-19.79</v>
      </c>
      <c r="J332" t="str">
        <v>2022/11</v>
      </c>
      <c r="K332" t="str">
        <f t="array" ref="K332:T332">[1]!'2454.TW-OperatingProfitRatio,Price,PriceChangeRatio,InOutRatioNumber,Value,YearReturn,MonthReturn,WeekReturn,FinanceBalanceDif,ChipsField2'</f>
        <v>24.67</v>
      </c>
      <c r="L332">
        <v>661</v>
      </c>
      <c r="M332">
        <v>1.07</v>
      </c>
      <c r="N332" t="str">
        <v>38.71%</v>
      </c>
      <c r="O332" t="str">
        <v>26.7億</v>
      </c>
      <c r="P332" t="str">
        <v>-33.33</v>
      </c>
      <c r="Q332" t="str">
        <v>-8.19</v>
      </c>
      <c r="R332" t="str">
        <v>-7.94</v>
      </c>
      <c r="S332">
        <v>5</v>
      </c>
      <c r="T332">
        <v>-536</v>
      </c>
      <c r="U332">
        <f t="array" ref="U332:AD332">[1]!'2454.TW-ChipsField3,ChipsField1,ChipsField25,CashAndStockDividend,CashDividendYieldRate,ProfitFourSeason,ProfitSingle,CName,ExchangeIndustry,CompanyPos'</f>
        <v>-250</v>
      </c>
      <c r="V332">
        <v>1129</v>
      </c>
      <c r="W332" t="str">
        <v>2022/06/23</v>
      </c>
      <c r="X332" t="str">
        <v>73.00</v>
      </c>
      <c r="Y332">
        <v>11.04</v>
      </c>
      <c r="Z332" t="str">
        <v>81.98</v>
      </c>
      <c r="AA332" t="str">
        <v>19.54</v>
      </c>
      <c r="AB332" t="str">
        <v>聯發科</v>
      </c>
      <c r="AC332" t="str">
        <v>上市半導體</v>
      </c>
      <c r="AD332" t="str">
        <v>全球智慧型手機晶片大廠</v>
      </c>
      <c r="AE332" t="str">
        <f t="array" ref="AE332:AH332">[1]!'2454.TW-CName,InvestorConferenceDate,DateofMeetingofShareHolders,TradingDate'</f>
        <v>聯發科</v>
      </c>
      <c r="AF332" t="str">
        <v>2022/10/28</v>
      </c>
      <c r="AG332" t="str">
        <v>2022/05/31</v>
      </c>
      <c r="AH332" t="str">
        <v>2022/12/22</v>
      </c>
    </row>
    <row r="333" spans="1:34" x14ac:dyDescent="0.3">
      <c r="A333" t="str">
        <f t="array" ref="A333:J333">[1]!'2458.TW-ID,Name,MarketValue,Capital,NetIncomeGrowthRate,OperIncomeGrowthRate,FinancialStatementsTime,TFXRatio,MonthlyNetSalesYoY,RevenueMonth'</f>
        <v>2458</v>
      </c>
      <c r="B333" t="str">
        <v>義隆</v>
      </c>
      <c r="C333" t="str">
        <v>266.2</v>
      </c>
      <c r="D333" t="str">
        <v>30.39</v>
      </c>
      <c r="E333" t="str">
        <v>-45.68</v>
      </c>
      <c r="F333" t="str">
        <v>-38.98</v>
      </c>
      <c r="G333" t="str">
        <v>2022/09</v>
      </c>
      <c r="H333" t="str">
        <v>-1.64</v>
      </c>
      <c r="I333" t="str">
        <v>-50.97</v>
      </c>
      <c r="J333" t="str">
        <v>2022/11</v>
      </c>
      <c r="K333" t="str">
        <f t="array" ref="K333:T333">[1]!'2458.TW-OperatingProfitRatio,Price,PriceChangeRatio,InOutRatioNumber,Value,YearReturn,MonthReturn,WeekReturn,FinanceBalanceDif,ChipsField2'</f>
        <v>24.99</v>
      </c>
      <c r="L333">
        <v>87.6</v>
      </c>
      <c r="M333">
        <v>2.7</v>
      </c>
      <c r="N333" t="str">
        <v>55.42%</v>
      </c>
      <c r="O333" t="str">
        <v>5946萬</v>
      </c>
      <c r="P333" t="str">
        <v>-41.08</v>
      </c>
      <c r="Q333" t="str">
        <v>+1.39</v>
      </c>
      <c r="R333" t="str">
        <v>-3.20</v>
      </c>
      <c r="S333">
        <v>0</v>
      </c>
      <c r="T333">
        <v>-1</v>
      </c>
      <c r="U333">
        <f t="array" ref="U333:AD333">[1]!'2458.TW-ChipsField3,ChipsField1,ChipsField25,CashAndStockDividend,CashDividendYieldRate,ProfitFourSeason,ProfitSingle,CName,ExchangeIndustry,CompanyPos'</f>
        <v>107</v>
      </c>
      <c r="V333">
        <v>-556</v>
      </c>
      <c r="W333" t="str">
        <v>2022/07/07</v>
      </c>
      <c r="X333" t="str">
        <v>13.81</v>
      </c>
      <c r="Y333">
        <v>15.76</v>
      </c>
      <c r="Z333" t="str">
        <v>11.98</v>
      </c>
      <c r="AA333" t="str">
        <v>1.83</v>
      </c>
      <c r="AB333" t="str">
        <v>義隆</v>
      </c>
      <c r="AC333" t="str">
        <v>上市半導體</v>
      </c>
      <c r="AD333" t="str">
        <v>全球NB觸控板模組與觸控IC龍頭</v>
      </c>
      <c r="AE333" t="str">
        <f t="array" ref="AE333:AH333">[1]!'2458.TW-CName,InvestorConferenceDate,DateofMeetingofShareHolders,TradingDate'</f>
        <v>義隆</v>
      </c>
      <c r="AF333" t="str">
        <v>2022/11/03</v>
      </c>
      <c r="AG333" t="str">
        <v>2022/06/15</v>
      </c>
      <c r="AH333" t="str">
        <v>2022/12/22</v>
      </c>
    </row>
    <row r="334" spans="1:34" x14ac:dyDescent="0.3">
      <c r="A334" t="str">
        <f t="array" ref="A334:J334">[1]!'2481.TW-ID,Name,MarketValue,Capital,NetIncomeGrowthRate,OperIncomeGrowthRate,FinancialStatementsTime,TFXRatio,MonthlyNetSalesYoY,RevenueMonth'</f>
        <v>2481</v>
      </c>
      <c r="B334" t="str">
        <v>強茂</v>
      </c>
      <c r="C334" t="str">
        <v>232.0</v>
      </c>
      <c r="D334" t="str">
        <v>38.28</v>
      </c>
      <c r="E334" t="str">
        <v>8.12</v>
      </c>
      <c r="F334" t="str">
        <v>-17.27</v>
      </c>
      <c r="G334" t="str">
        <v>2022/09</v>
      </c>
      <c r="H334" t="str">
        <v>-0.28</v>
      </c>
      <c r="I334" t="str">
        <v>-18.01</v>
      </c>
      <c r="J334" t="str">
        <v>2022/11</v>
      </c>
      <c r="K334" t="str">
        <f t="array" ref="K334:T334">[1]!'2481.TW-OperatingProfitRatio,Price,PriceChangeRatio,InOutRatioNumber,Value,YearReturn,MonthReturn,WeekReturn,FinanceBalanceDif,ChipsField2'</f>
        <v>13.71</v>
      </c>
      <c r="L334">
        <v>60.6</v>
      </c>
      <c r="M334">
        <v>0</v>
      </c>
      <c r="N334" t="str">
        <v>42.82%</v>
      </c>
      <c r="O334" t="str">
        <v>1.01億</v>
      </c>
      <c r="P334" t="str">
        <v>-40.77</v>
      </c>
      <c r="Q334" t="str">
        <v>+0.50</v>
      </c>
      <c r="R334" t="str">
        <v>-6.77</v>
      </c>
      <c r="S334">
        <v>10</v>
      </c>
      <c r="T334">
        <v>0</v>
      </c>
      <c r="U334">
        <f t="array" ref="U334:AD334">[1]!'2481.TW-ChipsField3,ChipsField1,ChipsField25,CashAndStockDividend,CashDividendYieldRate,ProfitFourSeason,ProfitSingle,CName,ExchangeIndustry,CompanyPos'</f>
        <v>-62</v>
      </c>
      <c r="V334">
        <v>-404</v>
      </c>
      <c r="W334" t="str">
        <v>2022/07/05</v>
      </c>
      <c r="X334" t="str">
        <v>3.00</v>
      </c>
      <c r="Y334">
        <v>4.95</v>
      </c>
      <c r="Z334" t="str">
        <v>5.53</v>
      </c>
      <c r="AA334" t="str">
        <v>1.11</v>
      </c>
      <c r="AB334" t="str">
        <v>強茂</v>
      </c>
      <c r="AC334" t="str">
        <v>上市半導體</v>
      </c>
      <c r="AD334" t="str">
        <v>亞洲最大小訊號整流二極體領導廠</v>
      </c>
      <c r="AE334" t="str">
        <f t="array" ref="AE334:AH334">[1]!'2481.TW-CName,InvestorConferenceDate,DateofMeetingofShareHolders,TradingDate'</f>
        <v>強茂</v>
      </c>
      <c r="AF334" t="str">
        <v>2022/08/17</v>
      </c>
      <c r="AG334" t="str">
        <v>2022/06/14</v>
      </c>
      <c r="AH334" t="str">
        <v>2022/12/22</v>
      </c>
    </row>
    <row r="335" spans="1:34" x14ac:dyDescent="0.3">
      <c r="A335" t="str">
        <f t="array" ref="A335:J335">[1]!'3006.TW-ID,Name,MarketValue,Capital,NetIncomeGrowthRate,OperIncomeGrowthRate,FinancialStatementsTime,TFXRatio,MonthlyNetSalesYoY,RevenueMonth'</f>
        <v>3006</v>
      </c>
      <c r="B335" t="str">
        <v>晶豪科</v>
      </c>
      <c r="C335" t="str">
        <v>189.4</v>
      </c>
      <c r="D335" t="str">
        <v>28.62</v>
      </c>
      <c r="E335" t="str">
        <v>-47.52</v>
      </c>
      <c r="F335" t="str">
        <v>-64.95</v>
      </c>
      <c r="G335" t="str">
        <v>2022/09</v>
      </c>
      <c r="H335" t="str">
        <v>-4.23</v>
      </c>
      <c r="I335" t="str">
        <v>-54.40</v>
      </c>
      <c r="J335" t="str">
        <v>2022/11</v>
      </c>
      <c r="K335" t="str">
        <f t="array" ref="K335:T335">[1]!'3006.TW-OperatingProfitRatio,Price,PriceChangeRatio,InOutRatioNumber,Value,YearReturn,MonthReturn,WeekReturn,FinanceBalanceDif,ChipsField2'</f>
        <v>11.43</v>
      </c>
      <c r="L335">
        <v>66.2</v>
      </c>
      <c r="M335">
        <v>-0.15</v>
      </c>
      <c r="N335" t="str">
        <v>44.36%</v>
      </c>
      <c r="O335" t="str">
        <v>1.65億</v>
      </c>
      <c r="P335" t="str">
        <v>-55.77</v>
      </c>
      <c r="Q335" t="str">
        <v>-12.32</v>
      </c>
      <c r="R335" t="str">
        <v>-6.89</v>
      </c>
      <c r="S335">
        <v>-141</v>
      </c>
      <c r="T335">
        <v>0</v>
      </c>
      <c r="U335">
        <f t="array" ref="U335:AD335">[1]!'3006.TW-ChipsField3,ChipsField1,ChipsField25,CashAndStockDividend,CashDividendYieldRate,ProfitFourSeason,ProfitSingle,CName,ExchangeIndustry,CompanyPos'</f>
        <v>-130</v>
      </c>
      <c r="V335">
        <v>112</v>
      </c>
      <c r="W335" t="str">
        <v>2022/07/01</v>
      </c>
      <c r="X335" t="str">
        <v>8.00</v>
      </c>
      <c r="Y335">
        <v>12.08</v>
      </c>
      <c r="Z335" t="str">
        <v>11.10</v>
      </c>
      <c r="AA335" t="str">
        <v>0.30</v>
      </c>
      <c r="AB335" t="str">
        <v>晶豪科</v>
      </c>
      <c r="AC335" t="str">
        <v>上市半導體</v>
      </c>
      <c r="AD335" t="str">
        <v>台灣利基型記憶體IC設計廠商</v>
      </c>
      <c r="AE335" t="str">
        <f t="array" ref="AE335:AH335">[1]!'3006.TW-CName,InvestorConferenceDate,DateofMeetingofShareHolders,TradingDate'</f>
        <v>晶豪科</v>
      </c>
      <c r="AF335" t="str">
        <v>2022/11/24</v>
      </c>
      <c r="AG335" t="str">
        <v>2022/06/15</v>
      </c>
      <c r="AH335" t="str">
        <v>2022/12/22</v>
      </c>
    </row>
    <row r="336" spans="1:34" x14ac:dyDescent="0.3">
      <c r="A336" t="str">
        <f t="array" ref="A336:J336">[1]!'3014.TW-ID,Name,MarketValue,Capital,NetIncomeGrowthRate,OperIncomeGrowthRate,FinancialStatementsTime,TFXRatio,MonthlyNetSalesYoY,RevenueMonth'</f>
        <v>3014</v>
      </c>
      <c r="B336" t="str">
        <v>聯陽</v>
      </c>
      <c r="C336" t="str">
        <v>116.1</v>
      </c>
      <c r="D336" t="str">
        <v>16.11</v>
      </c>
      <c r="E336" t="str">
        <v>-27.60</v>
      </c>
      <c r="F336" t="str">
        <v>-33.27</v>
      </c>
      <c r="G336" t="str">
        <v>2022/09</v>
      </c>
      <c r="H336" t="str">
        <v>17.31</v>
      </c>
      <c r="I336" t="str">
        <v>-27.99</v>
      </c>
      <c r="J336" t="str">
        <v>2022/11</v>
      </c>
      <c r="K336" t="str">
        <f t="array" ref="K336:T336">[1]!'3014.TW-OperatingProfitRatio,Price,PriceChangeRatio,InOutRatioNumber,Value,YearReturn,MonthReturn,WeekReturn,FinanceBalanceDif,ChipsField2'</f>
        <v>26.70</v>
      </c>
      <c r="L336">
        <v>72.099999999999994</v>
      </c>
      <c r="M336">
        <v>1.26</v>
      </c>
      <c r="N336" t="str">
        <v>49.40%</v>
      </c>
      <c r="O336" t="str">
        <v>1226萬</v>
      </c>
      <c r="P336" t="str">
        <v>-21.55</v>
      </c>
      <c r="Q336" t="str">
        <v>+3.00</v>
      </c>
      <c r="R336" t="str">
        <v>-3.99</v>
      </c>
      <c r="S336">
        <v>-10</v>
      </c>
      <c r="T336">
        <v>0</v>
      </c>
      <c r="U336">
        <f t="array" ref="U336:AD336">[1]!'3014.TW-ChipsField3,ChipsField1,ChipsField25,CashAndStockDividend,CashDividendYieldRate,ProfitFourSeason,ProfitSingle,CName,ExchangeIndustry,CompanyPos'</f>
        <v>-8</v>
      </c>
      <c r="V336">
        <v>72</v>
      </c>
      <c r="W336" t="str">
        <v>2022/07/14</v>
      </c>
      <c r="X336" t="str">
        <v>9.00</v>
      </c>
      <c r="Y336">
        <v>12.48</v>
      </c>
      <c r="Z336" t="str">
        <v>8.82</v>
      </c>
      <c r="AA336" t="str">
        <v>1.93</v>
      </c>
      <c r="AB336" t="str">
        <v>聯陽</v>
      </c>
      <c r="AC336" t="str">
        <v>上市半導體</v>
      </c>
      <c r="AD336" t="str">
        <v>全球輸出入(I/O)控制IC領導廠商</v>
      </c>
      <c r="AE336" t="str">
        <f t="array" ref="AE336:AH336">[1]!'3014.TW-CName,InvestorConferenceDate,DateofMeetingofShareHolders,TradingDate'</f>
        <v>聯陽</v>
      </c>
      <c r="AF336" t="str">
        <v>2022/10/07</v>
      </c>
      <c r="AG336" t="str">
        <v>2022/06/21</v>
      </c>
      <c r="AH336" t="str">
        <v>2022/12/22</v>
      </c>
    </row>
    <row r="337" spans="1:34" x14ac:dyDescent="0.3">
      <c r="A337" t="str">
        <f t="array" ref="A337:J337">[1]!'3016.TW-ID,Name,MarketValue,Capital,NetIncomeGrowthRate,OperIncomeGrowthRate,FinancialStatementsTime,TFXRatio,MonthlyNetSalesYoY,RevenueMonth'</f>
        <v>3016</v>
      </c>
      <c r="B337" t="str">
        <v>嘉晶</v>
      </c>
      <c r="C337" t="str">
        <v>204.9</v>
      </c>
      <c r="D337" t="str">
        <v>28.85</v>
      </c>
      <c r="E337" t="str">
        <v>123.45</v>
      </c>
      <c r="F337" t="str">
        <v>107.51</v>
      </c>
      <c r="G337" t="str">
        <v>2022/09</v>
      </c>
      <c r="H337" t="str">
        <v>-0.20</v>
      </c>
      <c r="I337" t="str">
        <v>-2.15</v>
      </c>
      <c r="J337" t="str">
        <v>2022/11</v>
      </c>
      <c r="K337" t="str">
        <f t="array" ref="K337:T337">[1]!'3016.TW-OperatingProfitRatio,Price,PriceChangeRatio,InOutRatioNumber,Value,YearReturn,MonthReturn,WeekReturn,FinanceBalanceDif,ChipsField2'</f>
        <v>14.70</v>
      </c>
      <c r="L337">
        <v>71</v>
      </c>
      <c r="M337">
        <v>1.1399999999999999</v>
      </c>
      <c r="N337" t="str">
        <v>36.80%</v>
      </c>
      <c r="O337" t="str">
        <v>4099萬</v>
      </c>
      <c r="P337" t="str">
        <v>-45.61</v>
      </c>
      <c r="Q337" t="str">
        <v>-8.62</v>
      </c>
      <c r="R337" t="str">
        <v>-6.70</v>
      </c>
      <c r="S337">
        <v>17</v>
      </c>
      <c r="T337">
        <v>0</v>
      </c>
      <c r="U337">
        <f t="array" ref="U337:AD337">[1]!'3016.TW-ChipsField3,ChipsField1,ChipsField25,CashAndStockDividend,CashDividendYieldRate,ProfitFourSeason,ProfitSingle,CName,ExchangeIndustry,CompanyPos'</f>
        <v>-16</v>
      </c>
      <c r="V337">
        <v>-41</v>
      </c>
      <c r="W337" t="str">
        <v>2022/07/15</v>
      </c>
      <c r="X337" t="str">
        <v>1.18</v>
      </c>
      <c r="Y337">
        <v>1.66</v>
      </c>
      <c r="Z337" t="str">
        <v>2.49</v>
      </c>
      <c r="AA337" t="str">
        <v>0.70</v>
      </c>
      <c r="AB337" t="str">
        <v>嘉晶</v>
      </c>
      <c r="AC337" t="str">
        <v>上市半導體</v>
      </c>
      <c r="AD337" t="str">
        <v>台灣專業磊晶矽晶圓業者</v>
      </c>
      <c r="AE337" t="str">
        <f t="array" ref="AE337:AH337">[1]!'3016.TW-CName,InvestorConferenceDate,DateofMeetingofShareHolders,TradingDate'</f>
        <v>嘉晶</v>
      </c>
      <c r="AF337" t="str">
        <v>2022/09/22</v>
      </c>
      <c r="AG337" t="str">
        <v>2022/06/21</v>
      </c>
      <c r="AH337" t="str">
        <v>2022/12/22</v>
      </c>
    </row>
    <row r="338" spans="1:34" x14ac:dyDescent="0.3">
      <c r="A338" t="str">
        <f t="array" ref="A338:J338">[1]!'3034.TW-ID,Name,MarketValue,Capital,NetIncomeGrowthRate,OperIncomeGrowthRate,FinancialStatementsTime,TFXRatio,MonthlyNetSalesYoY,RevenueMonth'</f>
        <v>3034</v>
      </c>
      <c r="B338" t="str">
        <v>聯詠</v>
      </c>
      <c r="C338" t="str">
        <v>1837.7</v>
      </c>
      <c r="D338" t="str">
        <v>60.85</v>
      </c>
      <c r="E338" t="str">
        <v>-14.34</v>
      </c>
      <c r="F338" t="str">
        <v>-19.82</v>
      </c>
      <c r="G338" t="str">
        <v>2022/09</v>
      </c>
      <c r="H338" t="str">
        <v>13.19</v>
      </c>
      <c r="I338" t="str">
        <v>-35.54</v>
      </c>
      <c r="J338" t="str">
        <v>2022/11</v>
      </c>
      <c r="K338" t="str">
        <f t="array" ref="K338:T338">[1]!'3034.TW-OperatingProfitRatio,Price,PriceChangeRatio,InOutRatioNumber,Value,YearReturn,MonthReturn,WeekReturn,FinanceBalanceDif,ChipsField2'</f>
        <v>31.44</v>
      </c>
      <c r="L338">
        <v>302</v>
      </c>
      <c r="M338">
        <v>1.34</v>
      </c>
      <c r="N338" t="str">
        <v>38.72%</v>
      </c>
      <c r="O338" t="str">
        <v>26.7億</v>
      </c>
      <c r="P338" t="str">
        <v>-31.88</v>
      </c>
      <c r="Q338" t="str">
        <v>+1.34</v>
      </c>
      <c r="R338" t="str">
        <v>-1.63</v>
      </c>
      <c r="S338">
        <v>121</v>
      </c>
      <c r="T338">
        <v>-2451</v>
      </c>
      <c r="U338">
        <f t="array" ref="U338:AD338">[1]!'3034.TW-ChipsField3,ChipsField1,ChipsField25,CashAndStockDividend,CashDividendYieldRate,ProfitFourSeason,ProfitSingle,CName,ExchangeIndustry,CompanyPos'</f>
        <v>-5</v>
      </c>
      <c r="V338">
        <v>1756</v>
      </c>
      <c r="W338" t="str">
        <v>2022/07/12</v>
      </c>
      <c r="X338" t="str">
        <v>51.50</v>
      </c>
      <c r="Y338">
        <v>17.05</v>
      </c>
      <c r="Z338" t="str">
        <v>57.29</v>
      </c>
      <c r="AA338" t="str">
        <v>7.07</v>
      </c>
      <c r="AB338" t="str">
        <v>聯詠</v>
      </c>
      <c r="AC338" t="str">
        <v>上市半導體</v>
      </c>
      <c r="AD338" t="str">
        <v>全球面板驅動IC設計龍頭廠</v>
      </c>
      <c r="AE338" t="str">
        <f t="array" ref="AE338:AH338">[1]!'3034.TW-CName,InvestorConferenceDate,DateofMeetingofShareHolders,TradingDate'</f>
        <v>聯詠</v>
      </c>
      <c r="AF338" t="str">
        <v>2022/08/05</v>
      </c>
      <c r="AG338" t="str">
        <v>2022/06/08</v>
      </c>
      <c r="AH338" t="str">
        <v>2022/12/22</v>
      </c>
    </row>
    <row r="339" spans="1:34" x14ac:dyDescent="0.3">
      <c r="A339" t="str">
        <f t="array" ref="A339:J339">[1]!'3035.TW-ID,Name,MarketValue,Capital,NetIncomeGrowthRate,OperIncomeGrowthRate,FinancialStatementsTime,TFXRatio,MonthlyNetSalesYoY,RevenueMonth'</f>
        <v>3035</v>
      </c>
      <c r="B339" t="str">
        <v>智原</v>
      </c>
      <c r="C339" t="str">
        <v>392.7</v>
      </c>
      <c r="D339" t="str">
        <v>24.86</v>
      </c>
      <c r="E339" t="str">
        <v>164.64</v>
      </c>
      <c r="F339" t="str">
        <v>180.62</v>
      </c>
      <c r="G339" t="str">
        <v>2022/09</v>
      </c>
      <c r="H339" t="str">
        <v>-3.35</v>
      </c>
      <c r="I339" t="str">
        <v>20.10</v>
      </c>
      <c r="J339" t="str">
        <v>2022/11</v>
      </c>
      <c r="K339" t="str">
        <f t="array" ref="K339:T339">[1]!'3035.TW-OperatingProfitRatio,Price,PriceChangeRatio,InOutRatioNumber,Value,YearReturn,MonthReturn,WeekReturn,FinanceBalanceDif,ChipsField2'</f>
        <v>23.13</v>
      </c>
      <c r="L339">
        <v>158</v>
      </c>
      <c r="M339">
        <v>0.32</v>
      </c>
      <c r="N339" t="str">
        <v>38.71%</v>
      </c>
      <c r="O339" t="str">
        <v>11.2億</v>
      </c>
      <c r="P339" t="str">
        <v>-32.23</v>
      </c>
      <c r="Q339" t="str">
        <v>-3.66</v>
      </c>
      <c r="R339" t="str">
        <v>-8.67</v>
      </c>
      <c r="S339">
        <v>65</v>
      </c>
      <c r="T339">
        <v>-32</v>
      </c>
      <c r="U339">
        <f t="array" ref="U339:AD339">[1]!'3035.TW-ChipsField3,ChipsField1,ChipsField25,CashAndStockDividend,CashDividendYieldRate,ProfitFourSeason,ProfitSingle,CName,ExchangeIndustry,CompanyPos'</f>
        <v>38</v>
      </c>
      <c r="V339">
        <v>-176</v>
      </c>
      <c r="W339" t="str">
        <v>2022/07/14</v>
      </c>
      <c r="X339" t="str">
        <v>3.30</v>
      </c>
      <c r="Y339">
        <v>2.09</v>
      </c>
      <c r="Z339" t="str">
        <v>9.69</v>
      </c>
      <c r="AA339" t="str">
        <v>2.41</v>
      </c>
      <c r="AB339" t="str">
        <v>智原</v>
      </c>
      <c r="AC339" t="str">
        <v>上市半導體</v>
      </c>
      <c r="AD339" t="str">
        <v>聯電體系的ASIC及設計IP廠</v>
      </c>
      <c r="AE339" t="str">
        <f t="array" ref="AE339:AH339">[1]!'3035.TW-CName,InvestorConferenceDate,DateofMeetingofShareHolders,TradingDate'</f>
        <v>智原</v>
      </c>
      <c r="AF339" t="str">
        <v>2022/10/25</v>
      </c>
      <c r="AG339" t="str">
        <v>2022/05/24</v>
      </c>
      <c r="AH339" t="str">
        <v>2022/12/22</v>
      </c>
    </row>
    <row r="340" spans="1:34" x14ac:dyDescent="0.3">
      <c r="A340" t="str">
        <f t="array" ref="A340:J340">[1]!'3041.TW-ID,Name,MarketValue,Capital,NetIncomeGrowthRate,OperIncomeGrowthRate,FinancialStatementsTime,TFXRatio,MonthlyNetSalesYoY,RevenueMonth'</f>
        <v>3041</v>
      </c>
      <c r="B340" t="str">
        <v>揚智</v>
      </c>
      <c r="C340" t="str">
        <v>40.9</v>
      </c>
      <c r="D340" t="str">
        <v>19.42</v>
      </c>
      <c r="E340" t="str">
        <v>148.84</v>
      </c>
      <c r="F340" t="str">
        <v>215.77</v>
      </c>
      <c r="G340" t="str">
        <v>2022/09</v>
      </c>
      <c r="H340" t="str">
        <v>67.68</v>
      </c>
      <c r="I340" t="str">
        <v>-10.44</v>
      </c>
      <c r="J340" t="str">
        <v>2022/11</v>
      </c>
      <c r="K340" t="str">
        <f t="array" ref="K340:T340">[1]!'3041.TW-OperatingProfitRatio,Price,PriceChangeRatio,InOutRatioNumber,Value,YearReturn,MonthReturn,WeekReturn,FinanceBalanceDif,ChipsField2'</f>
        <v>6.17</v>
      </c>
      <c r="L340">
        <v>21.05</v>
      </c>
      <c r="M340">
        <v>3.44</v>
      </c>
      <c r="N340" t="str">
        <v>59.68%</v>
      </c>
      <c r="O340" t="str">
        <v>2632萬</v>
      </c>
      <c r="P340" t="str">
        <v>-45.25</v>
      </c>
      <c r="Q340" t="str">
        <v>+2.18</v>
      </c>
      <c r="R340" t="str">
        <v>-5.82</v>
      </c>
      <c r="S340">
        <v>-23</v>
      </c>
      <c r="T340">
        <v>0</v>
      </c>
      <c r="U340">
        <f t="array" ref="U340:AD340">[1]!'3041.TW-ChipsField3,ChipsField1,ChipsField25,CashAndStockDividend,CashDividendYieldRate,ProfitFourSeason,ProfitSingle,CName,ExchangeIndustry,CompanyPos'</f>
        <v>-1</v>
      </c>
      <c r="V340">
        <v>-25</v>
      </c>
      <c r="W340" t="str">
        <v>--</v>
      </c>
      <c r="X340" t="str">
        <v>0.00</v>
      </c>
      <c r="Y340">
        <v>0</v>
      </c>
      <c r="Z340" t="str">
        <v>0.28</v>
      </c>
      <c r="AA340" t="str">
        <v>0.00</v>
      </c>
      <c r="AB340" t="str">
        <v>揚智</v>
      </c>
      <c r="AC340" t="str">
        <v>上市半導體</v>
      </c>
      <c r="AD340" t="str">
        <v>專注於數位機上盒系統單晶片開發的領導廠商</v>
      </c>
      <c r="AE340" t="str">
        <f t="array" ref="AE340:AH340">[1]!'3041.TW-CName,InvestorConferenceDate,DateofMeetingofShareHolders,TradingDate'</f>
        <v>揚智</v>
      </c>
      <c r="AF340" t="str">
        <v>2022/03/28</v>
      </c>
      <c r="AG340" t="str">
        <v>2022/06/14</v>
      </c>
      <c r="AH340" t="str">
        <v>2022/12/22</v>
      </c>
    </row>
    <row r="341" spans="1:34" x14ac:dyDescent="0.3">
      <c r="A341" t="str">
        <f t="array" ref="A341:J341">[1]!'3054.TW-ID,Name,MarketValue,Capital,NetIncomeGrowthRate,OperIncomeGrowthRate,FinancialStatementsTime,TFXRatio,MonthlyNetSalesYoY,RevenueMonth'</f>
        <v>3054</v>
      </c>
      <c r="B341" t="str">
        <v>立萬利</v>
      </c>
      <c r="C341" t="str">
        <v>16.7</v>
      </c>
      <c r="D341" t="str">
        <v>8.34</v>
      </c>
      <c r="E341" t="str">
        <v>-409.00</v>
      </c>
      <c r="F341" t="str">
        <v>24.22</v>
      </c>
      <c r="G341" t="str">
        <v>2022/09</v>
      </c>
      <c r="H341" t="str">
        <v>3.57</v>
      </c>
      <c r="I341" t="str">
        <v>-27.24</v>
      </c>
      <c r="J341" t="str">
        <v>2022/11</v>
      </c>
      <c r="K341" t="str">
        <f t="array" ref="K341:T341">[1]!'3054.TW-OperatingProfitRatio,Price,PriceChangeRatio,InOutRatioNumber,Value,YearReturn,MonthReturn,WeekReturn,FinanceBalanceDif,ChipsField2'</f>
        <v>-124.46</v>
      </c>
      <c r="L341">
        <v>20</v>
      </c>
      <c r="M341">
        <v>1.52</v>
      </c>
      <c r="N341" t="str">
        <v>100.00%</v>
      </c>
      <c r="O341" t="str">
        <v>28.1萬</v>
      </c>
      <c r="P341" t="str">
        <v>-16.32</v>
      </c>
      <c r="Q341" t="str">
        <v>+2.56</v>
      </c>
      <c r="R341" t="str">
        <v>+2.30</v>
      </c>
      <c r="S341">
        <v>0</v>
      </c>
      <c r="T341">
        <v>0</v>
      </c>
      <c r="U341">
        <f t="array" ref="U341:AD341">[1]!'3054.TW-ChipsField3,ChipsField1,ChipsField25,CashAndStockDividend,CashDividendYieldRate,ProfitFourSeason,ProfitSingle,CName,ExchangeIndustry,CompanyPos'</f>
        <v>0</v>
      </c>
      <c r="V341">
        <v>-5</v>
      </c>
      <c r="W341" t="str">
        <v>--</v>
      </c>
      <c r="X341" t="str">
        <v>0.00</v>
      </c>
      <c r="Y341">
        <v>0</v>
      </c>
      <c r="Z341" t="str">
        <v>-1.21</v>
      </c>
      <c r="AA341" t="str">
        <v>-0.15</v>
      </c>
      <c r="AB341" t="str">
        <v>立萬利</v>
      </c>
      <c r="AC341" t="str">
        <v>上市半導體</v>
      </c>
      <c r="AD341" t="str">
        <v>轉型以生技保健相關產品之銷售廠商</v>
      </c>
      <c r="AE341" t="str">
        <f t="array" ref="AE341:AH341">[1]!'3054.TW-CName,InvestorConferenceDate,DateofMeetingofShareHolders,TradingDate'</f>
        <v>立萬利</v>
      </c>
      <c r="AF341" t="str">
        <v>2022/10/18</v>
      </c>
      <c r="AG341" t="str">
        <v>2022/06/15</v>
      </c>
      <c r="AH341" t="str">
        <v>2022/12/22</v>
      </c>
    </row>
    <row r="342" spans="1:34" x14ac:dyDescent="0.3">
      <c r="A342" t="str">
        <f t="array" ref="A342:J342">[1]!'3094.TW-ID,Name,MarketValue,Capital,NetIncomeGrowthRate,OperIncomeGrowthRate,FinancialStatementsTime,TFXRatio,MonthlyNetSalesYoY,RevenueMonth'</f>
        <v>3094</v>
      </c>
      <c r="B342" t="str">
        <v>聯傑</v>
      </c>
      <c r="C342" t="str">
        <v>20.4</v>
      </c>
      <c r="D342" t="str">
        <v>8.31</v>
      </c>
      <c r="E342" t="str">
        <v>11.29</v>
      </c>
      <c r="F342" t="str">
        <v>20.75</v>
      </c>
      <c r="G342" t="str">
        <v>2022/09</v>
      </c>
      <c r="H342" t="str">
        <v>-14.15</v>
      </c>
      <c r="I342" t="str">
        <v>-1.24</v>
      </c>
      <c r="J342" t="str">
        <v>2022/11</v>
      </c>
      <c r="K342" t="str">
        <f t="array" ref="K342:T342">[1]!'3094.TW-OperatingProfitRatio,Price,PriceChangeRatio,InOutRatioNumber,Value,YearReturn,MonthReturn,WeekReturn,FinanceBalanceDif,ChipsField2'</f>
        <v>23.09</v>
      </c>
      <c r="L342">
        <v>24.5</v>
      </c>
      <c r="M342">
        <v>0.82</v>
      </c>
      <c r="N342" t="str">
        <v>56.25%</v>
      </c>
      <c r="O342" t="str">
        <v>165萬</v>
      </c>
      <c r="P342" t="str">
        <v>-29.42</v>
      </c>
      <c r="Q342" t="str">
        <v>-4.48</v>
      </c>
      <c r="R342" t="str">
        <v>-4.67</v>
      </c>
      <c r="S342">
        <v>0</v>
      </c>
      <c r="T342">
        <v>0</v>
      </c>
      <c r="U342">
        <f t="array" ref="U342:AD342">[1]!'3094.TW-ChipsField3,ChipsField1,ChipsField25,CashAndStockDividend,CashDividendYieldRate,ProfitFourSeason,ProfitSingle,CName,ExchangeIndustry,CompanyPos'</f>
        <v>-3</v>
      </c>
      <c r="V342">
        <v>-1</v>
      </c>
      <c r="W342" t="str">
        <v>2022/07/27</v>
      </c>
      <c r="X342" t="str">
        <v>0.99</v>
      </c>
      <c r="Y342">
        <v>4.04</v>
      </c>
      <c r="Z342" t="str">
        <v>0.92</v>
      </c>
      <c r="AA342" t="str">
        <v>0.23</v>
      </c>
      <c r="AB342" t="str">
        <v>聯傑</v>
      </c>
      <c r="AC342" t="str">
        <v>上市半導體</v>
      </c>
      <c r="AD342" t="str">
        <v>聯電旗下嵌入式乙太網路IC設計廠商</v>
      </c>
      <c r="AE342" t="str">
        <f t="array" ref="AE342:AH342">[1]!'3094.TW-CName,InvestorConferenceDate,DateofMeetingofShareHolders,TradingDate'</f>
        <v>聯傑</v>
      </c>
      <c r="AF342" t="str">
        <v>2022/12/16</v>
      </c>
      <c r="AG342" t="str">
        <v>2022/06/29</v>
      </c>
      <c r="AH342" t="str">
        <v>2022/12/22</v>
      </c>
    </row>
    <row r="343" spans="1:34" x14ac:dyDescent="0.3">
      <c r="A343" t="str">
        <f t="array" ref="A343:J343">[1]!'3189.TW-ID,Name,MarketValue,Capital,NetIncomeGrowthRate,OperIncomeGrowthRate,FinancialStatementsTime,TFXRatio,MonthlyNetSalesYoY,RevenueMonth'</f>
        <v>3189</v>
      </c>
      <c r="B343" t="str">
        <v>景碩</v>
      </c>
      <c r="C343" t="str">
        <v>484.5</v>
      </c>
      <c r="D343" t="str">
        <v>45.28</v>
      </c>
      <c r="E343" t="str">
        <v>118.35</v>
      </c>
      <c r="F343" t="str">
        <v>140.22</v>
      </c>
      <c r="G343" t="str">
        <v>2022/09</v>
      </c>
      <c r="H343" t="str">
        <v>-16.72</v>
      </c>
      <c r="I343" t="str">
        <v>-14.10</v>
      </c>
      <c r="J343" t="str">
        <v>2022/11</v>
      </c>
      <c r="K343" t="str">
        <f t="array" ref="K343:T343">[1]!'3189.TW-OperatingProfitRatio,Price,PriceChangeRatio,InOutRatioNumber,Value,YearReturn,MonthReturn,WeekReturn,FinanceBalanceDif,ChipsField2'</f>
        <v>23.39</v>
      </c>
      <c r="L343">
        <v>107</v>
      </c>
      <c r="M343">
        <v>0.47</v>
      </c>
      <c r="N343" t="str">
        <v>58.98%</v>
      </c>
      <c r="O343" t="str">
        <v>14.5億</v>
      </c>
      <c r="P343" t="str">
        <v>-51.82</v>
      </c>
      <c r="Q343" t="str">
        <v>-8.55</v>
      </c>
      <c r="R343" t="str">
        <v>-8.15</v>
      </c>
      <c r="S343">
        <v>837</v>
      </c>
      <c r="T343">
        <v>4023</v>
      </c>
      <c r="U343">
        <f t="array" ref="U343:AD343">[1]!'3189.TW-ChipsField3,ChipsField1,ChipsField25,CashAndStockDividend,CashDividendYieldRate,ProfitFourSeason,ProfitSingle,CName,ExchangeIndustry,CompanyPos'</f>
        <v>100</v>
      </c>
      <c r="V343">
        <v>-7842</v>
      </c>
      <c r="W343" t="str">
        <v>2022/07/28</v>
      </c>
      <c r="X343" t="str">
        <v>4.50</v>
      </c>
      <c r="Y343">
        <v>4.21</v>
      </c>
      <c r="Z343" t="str">
        <v>15.86</v>
      </c>
      <c r="AA343" t="str">
        <v>4.79</v>
      </c>
      <c r="AB343" t="str">
        <v>景碩</v>
      </c>
      <c r="AC343" t="str">
        <v>上市半導體</v>
      </c>
      <c r="AD343" t="str">
        <v>全球第二大的FC CSP載板廠</v>
      </c>
      <c r="AE343" t="str">
        <f t="array" ref="AE343:AH343">[1]!'3189.TW-CName,InvestorConferenceDate,DateofMeetingofShareHolders,TradingDate'</f>
        <v>景碩</v>
      </c>
      <c r="AF343" t="str">
        <v>2022/01/06</v>
      </c>
      <c r="AG343" t="str">
        <v>2022/05/27</v>
      </c>
      <c r="AH343" t="str">
        <v>2022/12/22</v>
      </c>
    </row>
    <row r="344" spans="1:34" x14ac:dyDescent="0.3">
      <c r="A344" t="str">
        <f t="array" ref="A344:J344">[1]!'3257.TW-ID,Name,MarketValue,Capital,NetIncomeGrowthRate,OperIncomeGrowthRate,FinancialStatementsTime,TFXRatio,MonthlyNetSalesYoY,RevenueMonth'</f>
        <v>3257</v>
      </c>
      <c r="B344" t="str">
        <v>虹冠電</v>
      </c>
      <c r="C344" t="str">
        <v>34.6</v>
      </c>
      <c r="D344" t="str">
        <v>8.00</v>
      </c>
      <c r="E344" t="str">
        <v>-62.92</v>
      </c>
      <c r="F344" t="str">
        <v>-76.86</v>
      </c>
      <c r="G344" t="str">
        <v>2022/09</v>
      </c>
      <c r="H344" t="str">
        <v>23.40</v>
      </c>
      <c r="I344" t="str">
        <v>-71.48</v>
      </c>
      <c r="J344" t="str">
        <v>2022/11</v>
      </c>
      <c r="K344" t="str">
        <f t="array" ref="K344:T344">[1]!'3257.TW-OperatingProfitRatio,Price,PriceChangeRatio,InOutRatioNumber,Value,YearReturn,MonthReturn,WeekReturn,FinanceBalanceDif,ChipsField2'</f>
        <v>18.43</v>
      </c>
      <c r="L344">
        <v>43.3</v>
      </c>
      <c r="M344">
        <v>0.12</v>
      </c>
      <c r="N344" t="str">
        <v>39.13%</v>
      </c>
      <c r="O344" t="str">
        <v>100萬</v>
      </c>
      <c r="P344" t="str">
        <v>-29.30</v>
      </c>
      <c r="Q344" t="str">
        <v>+9.34</v>
      </c>
      <c r="R344" t="str">
        <v>-1.93</v>
      </c>
      <c r="S344">
        <v>2</v>
      </c>
      <c r="T344">
        <v>0</v>
      </c>
      <c r="U344">
        <f t="array" ref="U344:AD344">[1]!'3257.TW-ChipsField3,ChipsField1,ChipsField25,CashAndStockDividend,CashDividendYieldRate,ProfitFourSeason,ProfitSingle,CName,ExchangeIndustry,CompanyPos'</f>
        <v>-3</v>
      </c>
      <c r="V344">
        <v>4</v>
      </c>
      <c r="W344" t="str">
        <v>2022/05/27</v>
      </c>
      <c r="X344" t="str">
        <v>5.00</v>
      </c>
      <c r="Y344">
        <v>11.55</v>
      </c>
      <c r="Z344" t="str">
        <v>2.51</v>
      </c>
      <c r="AA344" t="str">
        <v>0.08</v>
      </c>
      <c r="AB344" t="str">
        <v>虹冠電</v>
      </c>
      <c r="AC344" t="str">
        <v>上市半導體</v>
      </c>
      <c r="AD344" t="str">
        <v>台灣AC-DC類比電源管理IC供應商</v>
      </c>
      <c r="AE344" t="str">
        <f t="array" ref="AE344:AH344">[1]!'3257.TW-CName,InvestorConferenceDate,DateofMeetingofShareHolders,TradingDate'</f>
        <v>虹冠電</v>
      </c>
      <c r="AF344" t="str">
        <v>2022/12/19</v>
      </c>
      <c r="AG344" t="str">
        <v>2022/05/27</v>
      </c>
      <c r="AH344" t="str">
        <v>2022/12/22</v>
      </c>
    </row>
    <row r="345" spans="1:34" x14ac:dyDescent="0.3">
      <c r="A345" t="str">
        <f t="array" ref="A345:J345">[1]!'3413.TW-ID,Name,MarketValue,Capital,NetIncomeGrowthRate,OperIncomeGrowthRate,FinancialStatementsTime,TFXRatio,MonthlyNetSalesYoY,RevenueMonth'</f>
        <v>3413</v>
      </c>
      <c r="B345" t="str">
        <v>京鼎</v>
      </c>
      <c r="C345" t="str">
        <v>165.1</v>
      </c>
      <c r="D345" t="str">
        <v>9.69</v>
      </c>
      <c r="E345" t="str">
        <v>67.30</v>
      </c>
      <c r="F345" t="str">
        <v>37.78</v>
      </c>
      <c r="G345" t="str">
        <v>2022/09</v>
      </c>
      <c r="H345" t="str">
        <v>2.01</v>
      </c>
      <c r="I345" t="str">
        <v>29.76</v>
      </c>
      <c r="J345" t="str">
        <v>2022/11</v>
      </c>
      <c r="K345" t="str">
        <f t="array" ref="K345:T345">[1]!'3413.TW-OperatingProfitRatio,Price,PriceChangeRatio,InOutRatioNumber,Value,YearReturn,MonthReturn,WeekReturn,FinanceBalanceDif,ChipsField2'</f>
        <v>18.85</v>
      </c>
      <c r="L345">
        <v>186.5</v>
      </c>
      <c r="M345">
        <v>1.08</v>
      </c>
      <c r="N345" t="str">
        <v>41.38%</v>
      </c>
      <c r="O345" t="str">
        <v>5569萬</v>
      </c>
      <c r="P345" t="str">
        <v>-15.99</v>
      </c>
      <c r="Q345" t="str">
        <v>-1.06</v>
      </c>
      <c r="R345" t="str">
        <v>-3.87</v>
      </c>
      <c r="S345">
        <v>101</v>
      </c>
      <c r="T345">
        <v>0</v>
      </c>
      <c r="U345">
        <f t="array" ref="U345:AD345">[1]!'3413.TW-ChipsField3,ChipsField1,ChipsField25,CashAndStockDividend,CashDividendYieldRate,ProfitFourSeason,ProfitSingle,CName,ExchangeIndustry,CompanyPos'</f>
        <v>-9</v>
      </c>
      <c r="V345">
        <v>-140</v>
      </c>
      <c r="W345" t="str">
        <v>2022/06/28</v>
      </c>
      <c r="X345" t="str">
        <v>8.69</v>
      </c>
      <c r="Y345">
        <v>4.66</v>
      </c>
      <c r="Z345" t="str">
        <v>24.66</v>
      </c>
      <c r="AA345" t="str">
        <v>8.14</v>
      </c>
      <c r="AB345" t="str">
        <v>京鼎</v>
      </c>
      <c r="AC345" t="str">
        <v>上市半導體</v>
      </c>
      <c r="AD345" t="str">
        <v>鴻海集團旗下專注於半導體設備的廠商</v>
      </c>
      <c r="AE345" t="str">
        <f t="array" ref="AE345:AH345">[1]!'3413.TW-CName,InvestorConferenceDate,DateofMeetingofShareHolders,TradingDate'</f>
        <v>京鼎</v>
      </c>
      <c r="AF345" t="str">
        <v>2022/12/09</v>
      </c>
      <c r="AG345" t="str">
        <v>2022/05/27</v>
      </c>
      <c r="AH345" t="str">
        <v>2022/12/22</v>
      </c>
    </row>
    <row r="346" spans="1:34" x14ac:dyDescent="0.3">
      <c r="A346" t="str">
        <f t="array" ref="A346:J346">[1]!'3443.TW-ID,Name,MarketValue,Capital,NetIncomeGrowthRate,OperIncomeGrowthRate,FinancialStatementsTime,TFXRatio,MonthlyNetSalesYoY,RevenueMonth'</f>
        <v>3443</v>
      </c>
      <c r="B346" t="str">
        <v>創意</v>
      </c>
      <c r="C346" t="str">
        <v>978.3</v>
      </c>
      <c r="D346" t="str">
        <v>13.40</v>
      </c>
      <c r="E346" t="str">
        <v>150.12</v>
      </c>
      <c r="F346" t="str">
        <v>143.22</v>
      </c>
      <c r="G346" t="str">
        <v>2022/09</v>
      </c>
      <c r="H346" t="str">
        <v>4.89</v>
      </c>
      <c r="I346" t="str">
        <v>51.71</v>
      </c>
      <c r="J346" t="str">
        <v>2022/11</v>
      </c>
      <c r="K346" t="str">
        <f t="array" ref="K346:T346">[1]!'3443.TW-OperatingProfitRatio,Price,PriceChangeRatio,InOutRatioNumber,Value,YearReturn,MonthReturn,WeekReturn,FinanceBalanceDif,ChipsField2'</f>
        <v>16.36</v>
      </c>
      <c r="L346">
        <v>730</v>
      </c>
      <c r="M346">
        <v>-2.67</v>
      </c>
      <c r="N346" t="str">
        <v>42.25%</v>
      </c>
      <c r="O346" t="str">
        <v>49.4億</v>
      </c>
      <c r="P346" t="str">
        <v>+20.77</v>
      </c>
      <c r="Q346" t="str">
        <v>-0.68</v>
      </c>
      <c r="R346" t="str">
        <v>-7.59</v>
      </c>
      <c r="S346">
        <v>93</v>
      </c>
      <c r="T346">
        <v>-555</v>
      </c>
      <c r="U346">
        <f t="array" ref="U346:AD346">[1]!'3443.TW-ChipsField3,ChipsField1,ChipsField25,CashAndStockDividend,CashDividendYieldRate,ProfitFourSeason,ProfitSingle,CName,ExchangeIndustry,CompanyPos'</f>
        <v>126</v>
      </c>
      <c r="V346">
        <v>128</v>
      </c>
      <c r="W346" t="str">
        <v>2022/06/02</v>
      </c>
      <c r="X346" t="str">
        <v>7.00</v>
      </c>
      <c r="Y346">
        <v>0.96</v>
      </c>
      <c r="Z346" t="str">
        <v>21.48</v>
      </c>
      <c r="AA346" t="str">
        <v>7.90</v>
      </c>
      <c r="AB346" t="str">
        <v>創意</v>
      </c>
      <c r="AC346" t="str">
        <v>上市半導體</v>
      </c>
      <c r="AD346" t="str">
        <v>台積電轉投資之設計IP與客製化ASIC廠</v>
      </c>
      <c r="AE346" t="str">
        <f t="array" ref="AE346:AH346">[1]!'3443.TW-CName,InvestorConferenceDate,DateofMeetingofShareHolders,TradingDate'</f>
        <v>創意</v>
      </c>
      <c r="AF346" t="str">
        <v>2022/08/10</v>
      </c>
      <c r="AG346" t="str">
        <v>2022/05/19</v>
      </c>
      <c r="AH346" t="str">
        <v>2022/12/22</v>
      </c>
    </row>
    <row r="347" spans="1:34" x14ac:dyDescent="0.3">
      <c r="A347" t="str">
        <f t="array" ref="A347:J347">[1]!'3450.TW-ID,Name,MarketValue,Capital,NetIncomeGrowthRate,OperIncomeGrowthRate,FinancialStatementsTime,TFXRatio,MonthlyNetSalesYoY,RevenueMonth'</f>
        <v>3450</v>
      </c>
      <c r="B347" t="str">
        <v>聯鈞</v>
      </c>
      <c r="C347" t="str">
        <v>54.5</v>
      </c>
      <c r="D347" t="str">
        <v>14.57</v>
      </c>
      <c r="E347" t="str">
        <v>-0.39</v>
      </c>
      <c r="F347" t="str">
        <v>-39.55</v>
      </c>
      <c r="G347" t="str">
        <v>2022/09</v>
      </c>
      <c r="H347" t="str">
        <v>3.45</v>
      </c>
      <c r="I347" t="str">
        <v>-5.21</v>
      </c>
      <c r="J347" t="str">
        <v>2022/11</v>
      </c>
      <c r="K347" t="str">
        <f t="array" ref="K347:T347">[1]!'3450.TW-OperatingProfitRatio,Price,PriceChangeRatio,InOutRatioNumber,Value,YearReturn,MonthReturn,WeekReturn,FinanceBalanceDif,ChipsField2'</f>
        <v>10.04</v>
      </c>
      <c r="L347">
        <v>37.4</v>
      </c>
      <c r="M347">
        <v>0.67</v>
      </c>
      <c r="N347" t="str">
        <v>36.61%</v>
      </c>
      <c r="O347" t="str">
        <v>456萬</v>
      </c>
      <c r="P347" t="str">
        <v>-28.79</v>
      </c>
      <c r="Q347" t="str">
        <v>-2.35</v>
      </c>
      <c r="R347" t="str">
        <v>-4.10</v>
      </c>
      <c r="S347">
        <v>6</v>
      </c>
      <c r="T347">
        <v>0</v>
      </c>
      <c r="U347">
        <f t="array" ref="U347:AD347">[1]!'3450.TW-ChipsField3,ChipsField1,ChipsField25,CashAndStockDividend,CashDividendYieldRate,ProfitFourSeason,ProfitSingle,CName,ExchangeIndustry,CompanyPos'</f>
        <v>-9</v>
      </c>
      <c r="V347">
        <v>18</v>
      </c>
      <c r="W347" t="str">
        <v>2022/07/18</v>
      </c>
      <c r="X347" t="str">
        <v>1.80</v>
      </c>
      <c r="Y347">
        <v>4.8099999999999996</v>
      </c>
      <c r="Z347" t="str">
        <v>1.99</v>
      </c>
      <c r="AA347" t="str">
        <v>0.60</v>
      </c>
      <c r="AB347" t="str">
        <v>聯鈞</v>
      </c>
      <c r="AC347" t="str">
        <v>上市半導體</v>
      </c>
      <c r="AD347" t="str">
        <v>全球前三大雷射二極體封測代工廠</v>
      </c>
      <c r="AE347" t="str">
        <f t="array" ref="AE347:AH347">[1]!'3450.TW-CName,InvestorConferenceDate,DateofMeetingofShareHolders,TradingDate'</f>
        <v>聯鈞</v>
      </c>
      <c r="AF347" t="str">
        <v>2022/11/16</v>
      </c>
      <c r="AG347" t="str">
        <v>2022/06/29</v>
      </c>
      <c r="AH347" t="str">
        <v>2022/12/22</v>
      </c>
    </row>
    <row r="348" spans="1:34" x14ac:dyDescent="0.3">
      <c r="A348" t="str">
        <f t="array" ref="A348:J348">[1]!'3530.TW-ID,Name,MarketValue,Capital,NetIncomeGrowthRate,OperIncomeGrowthRate,FinancialStatementsTime,TFXRatio,MonthlyNetSalesYoY,RevenueMonth'</f>
        <v>3530</v>
      </c>
      <c r="B348" t="str">
        <v>晶相光</v>
      </c>
      <c r="C348" t="str">
        <v>56.4</v>
      </c>
      <c r="D348" t="str">
        <v>7.82</v>
      </c>
      <c r="E348" t="str">
        <v>-73.41</v>
      </c>
      <c r="F348" t="str">
        <v>-74.98</v>
      </c>
      <c r="G348" t="str">
        <v>2022/09</v>
      </c>
      <c r="H348" t="str">
        <v>20.32</v>
      </c>
      <c r="I348" t="str">
        <v>-60.13</v>
      </c>
      <c r="J348" t="str">
        <v>2022/11</v>
      </c>
      <c r="K348" t="str">
        <f t="array" ref="K348:T348">[1]!'3530.TW-OperatingProfitRatio,Price,PriceChangeRatio,InOutRatioNumber,Value,YearReturn,MonthReturn,WeekReturn,FinanceBalanceDif,ChipsField2'</f>
        <v>11.44</v>
      </c>
      <c r="L348">
        <v>72.099999999999994</v>
      </c>
      <c r="M348">
        <v>-1.9</v>
      </c>
      <c r="N348" t="str">
        <v>16.67%</v>
      </c>
      <c r="O348" t="str">
        <v>614萬</v>
      </c>
      <c r="P348" t="str">
        <v>-44.60</v>
      </c>
      <c r="Q348" t="str">
        <v>-5.01</v>
      </c>
      <c r="R348" t="str">
        <v>-6.73</v>
      </c>
      <c r="S348">
        <v>4</v>
      </c>
      <c r="T348">
        <v>0</v>
      </c>
      <c r="U348">
        <f t="array" ref="U348:AD348">[1]!'3530.TW-ChipsField3,ChipsField1,ChipsField25,CashAndStockDividend,CashDividendYieldRate,ProfitFourSeason,ProfitSingle,CName,ExchangeIndustry,CompanyPos'</f>
        <v>-1</v>
      </c>
      <c r="V348">
        <v>6</v>
      </c>
      <c r="W348" t="str">
        <v>2022/07/14</v>
      </c>
      <c r="X348" t="str">
        <v>3.50</v>
      </c>
      <c r="Y348">
        <v>4.8499999999999996</v>
      </c>
      <c r="Z348" t="str">
        <v>3.78</v>
      </c>
      <c r="AA348" t="str">
        <v>-0.04</v>
      </c>
      <c r="AB348" t="str">
        <v>晶相光</v>
      </c>
      <c r="AC348" t="str">
        <v>上市半導體</v>
      </c>
      <c r="AD348" t="str">
        <v>力晶與OmniVision合資之CMOS晶片廠</v>
      </c>
      <c r="AE348" t="str">
        <f t="array" ref="AE348:AH348">[1]!'3530.TW-CName,InvestorConferenceDate,DateofMeetingofShareHolders,TradingDate'</f>
        <v>晶相光</v>
      </c>
      <c r="AF348" t="str">
        <v>2022/12/20</v>
      </c>
      <c r="AG348" t="str">
        <v>2022/06/23</v>
      </c>
      <c r="AH348" t="str">
        <v>2022/12/22</v>
      </c>
    </row>
    <row r="349" spans="1:34" x14ac:dyDescent="0.3">
      <c r="A349" t="str">
        <f t="array" ref="A349:J349">[1]!'3532.TW-ID,Name,MarketValue,Capital,NetIncomeGrowthRate,OperIncomeGrowthRate,FinancialStatementsTime,TFXRatio,MonthlyNetSalesYoY,RevenueMonth'</f>
        <v>3532</v>
      </c>
      <c r="B349" t="str">
        <v>台勝科</v>
      </c>
      <c r="C349" t="str">
        <v>562.4</v>
      </c>
      <c r="D349" t="str">
        <v>38.78</v>
      </c>
      <c r="E349" t="str">
        <v>271.79</v>
      </c>
      <c r="F349" t="str">
        <v>181.89</v>
      </c>
      <c r="G349" t="str">
        <v>2022/09</v>
      </c>
      <c r="H349" t="str">
        <v>-1.54</v>
      </c>
      <c r="I349" t="str">
        <v>41.17</v>
      </c>
      <c r="J349" t="str">
        <v>2022/11</v>
      </c>
      <c r="K349" t="str">
        <f t="array" ref="K349:T349">[1]!'3532.TW-OperatingProfitRatio,Price,PriceChangeRatio,InOutRatioNumber,Value,YearReturn,MonthReturn,WeekReturn,FinanceBalanceDif,ChipsField2'</f>
        <v>31.98</v>
      </c>
      <c r="L349">
        <v>145</v>
      </c>
      <c r="M349">
        <v>0.35</v>
      </c>
      <c r="N349" t="str">
        <v>44.01%</v>
      </c>
      <c r="O349" t="str">
        <v>1.06億</v>
      </c>
      <c r="P349" t="str">
        <v>-49.35</v>
      </c>
      <c r="Q349" t="str">
        <v>-12.39</v>
      </c>
      <c r="R349" t="str">
        <v>-6.45</v>
      </c>
      <c r="S349">
        <v>15</v>
      </c>
      <c r="T349">
        <v>0</v>
      </c>
      <c r="U349">
        <f t="array" ref="U349:AD349">[1]!'3532.TW-ChipsField3,ChipsField1,ChipsField25,CashAndStockDividend,CashDividendYieldRate,ProfitFourSeason,ProfitSingle,CName,ExchangeIndustry,CompanyPos'</f>
        <v>-131</v>
      </c>
      <c r="V349">
        <v>145</v>
      </c>
      <c r="W349" t="str">
        <v>2022/07/13</v>
      </c>
      <c r="X349" t="str">
        <v>2.22</v>
      </c>
      <c r="Y349">
        <v>1.53</v>
      </c>
      <c r="Z349" t="str">
        <v>10.85</v>
      </c>
      <c r="AA349" t="str">
        <v>3.98</v>
      </c>
      <c r="AB349" t="str">
        <v>台勝科</v>
      </c>
      <c r="AC349" t="str">
        <v>上市半導體</v>
      </c>
      <c r="AD349" t="str">
        <v>台塑與Sumco合資成立的矽晶圓製造商</v>
      </c>
      <c r="AE349" t="str">
        <f t="array" ref="AE349:AH349">[1]!'3532.TW-CName,InvestorConferenceDate,DateofMeetingofShareHolders,TradingDate'</f>
        <v>台勝科</v>
      </c>
      <c r="AF349" t="str">
        <v>2022/11/28</v>
      </c>
      <c r="AG349" t="str">
        <v>2022/06/17</v>
      </c>
      <c r="AH349" t="str">
        <v>2022/12/22</v>
      </c>
    </row>
    <row r="350" spans="1:34" x14ac:dyDescent="0.3">
      <c r="A350" t="str">
        <f t="array" ref="A350:J350">[1]!'3536.TW-ID,Name,MarketValue,Capital,NetIncomeGrowthRate,OperIncomeGrowthRate,FinancialStatementsTime,TFXRatio,MonthlyNetSalesYoY,RevenueMonth'</f>
        <v>3536</v>
      </c>
      <c r="B350" t="str">
        <v>誠創</v>
      </c>
      <c r="C350" t="str">
        <v>4.7</v>
      </c>
      <c r="D350" t="str">
        <v>10.68</v>
      </c>
      <c r="E350" t="str">
        <v>-12.41</v>
      </c>
      <c r="F350" t="str">
        <v>6.32</v>
      </c>
      <c r="G350" t="str">
        <v>2022/09</v>
      </c>
      <c r="H350" t="str">
        <v>14.80</v>
      </c>
      <c r="I350" t="str">
        <v>2.85</v>
      </c>
      <c r="J350" t="str">
        <v>2022/11</v>
      </c>
      <c r="K350" t="str">
        <f t="array" ref="K350:T350">[1]!'3536.TW-OperatingProfitRatio,Price,PriceChangeRatio,InOutRatioNumber,Value,YearReturn,MonthReturn,WeekReturn,FinanceBalanceDif,ChipsField2'</f>
        <v>-25.52</v>
      </c>
      <c r="L350">
        <v>4.4000000000000004</v>
      </c>
      <c r="M350">
        <v>10</v>
      </c>
      <c r="N350" t="str">
        <v>92.61%</v>
      </c>
      <c r="O350" t="str">
        <v>103萬</v>
      </c>
      <c r="P350" t="str">
        <v>-24.27</v>
      </c>
      <c r="Q350" t="str">
        <v>+30.95</v>
      </c>
      <c r="R350" t="str">
        <v>+6.54</v>
      </c>
      <c r="S350">
        <v>0</v>
      </c>
      <c r="T350">
        <v>0</v>
      </c>
      <c r="U350">
        <f t="array" ref="U350:AD350">[1]!'3536.TW-ChipsField3,ChipsField1,ChipsField25,CashAndStockDividend,CashDividendYieldRate,ProfitFourSeason,ProfitSingle,CName,ExchangeIndustry,CompanyPos'</f>
        <v>0</v>
      </c>
      <c r="V350">
        <v>0</v>
      </c>
      <c r="W350" t="str">
        <v>--</v>
      </c>
      <c r="X350" t="str">
        <v>0.00</v>
      </c>
      <c r="Y350">
        <v>0</v>
      </c>
      <c r="Z350" t="str">
        <v>-1.01</v>
      </c>
      <c r="AA350" t="str">
        <v>-0.26</v>
      </c>
      <c r="AB350" t="str">
        <v>誠創</v>
      </c>
      <c r="AC350" t="str">
        <v>上市半導體</v>
      </c>
      <c r="AD350" t="str">
        <v>從事整流器件、UVC殺菌及精密陶瓷產品之製造</v>
      </c>
      <c r="AE350" t="str">
        <f t="array" ref="AE350:AH350">[1]!'3536.TW-CName,InvestorConferenceDate,DateofMeetingofShareHolders,TradingDate'</f>
        <v>誠創</v>
      </c>
      <c r="AF350" t="str">
        <v>2022/12/28</v>
      </c>
      <c r="AG350" t="str">
        <v>2022/06/30</v>
      </c>
      <c r="AH350" t="str">
        <v>2022/12/22</v>
      </c>
    </row>
    <row r="351" spans="1:34" x14ac:dyDescent="0.3">
      <c r="A351" t="str">
        <f t="array" ref="A351:J351">[1]!'3545.TW-ID,Name,MarketValue,Capital,NetIncomeGrowthRate,OperIncomeGrowthRate,FinancialStatementsTime,TFXRatio,MonthlyNetSalesYoY,RevenueMonth'</f>
        <v>3545</v>
      </c>
      <c r="B351" t="str">
        <v>敦泰</v>
      </c>
      <c r="C351" t="str">
        <v>125.7</v>
      </c>
      <c r="D351" t="str">
        <v>21.64</v>
      </c>
      <c r="E351" t="str">
        <v>-141.24</v>
      </c>
      <c r="F351" t="str">
        <v>-141.98</v>
      </c>
      <c r="G351" t="str">
        <v>2022/09</v>
      </c>
      <c r="H351" t="str">
        <v>-4.87</v>
      </c>
      <c r="I351" t="str">
        <v>-42.06</v>
      </c>
      <c r="J351" t="str">
        <v>2022/11</v>
      </c>
      <c r="K351" t="str">
        <f t="array" ref="K351:T351">[1]!'3545.TW-OperatingProfitRatio,Price,PriceChangeRatio,InOutRatioNumber,Value,YearReturn,MonthReturn,WeekReturn,FinanceBalanceDif,ChipsField2'</f>
        <v>-23.56</v>
      </c>
      <c r="L351">
        <v>58.1</v>
      </c>
      <c r="M351">
        <v>2.65</v>
      </c>
      <c r="N351" t="str">
        <v>56.32%</v>
      </c>
      <c r="O351" t="str">
        <v>8385萬</v>
      </c>
      <c r="P351" t="str">
        <v>-59.72</v>
      </c>
      <c r="Q351" t="str">
        <v>-11.30</v>
      </c>
      <c r="R351" t="str">
        <v>-7.48</v>
      </c>
      <c r="S351">
        <v>56</v>
      </c>
      <c r="T351">
        <v>0</v>
      </c>
      <c r="U351">
        <f t="array" ref="U351:AD351">[1]!'3545.TW-ChipsField3,ChipsField1,ChipsField25,CashAndStockDividend,CashDividendYieldRate,ProfitFourSeason,ProfitSingle,CName,ExchangeIndustry,CompanyPos'</f>
        <v>-51</v>
      </c>
      <c r="V351">
        <v>-135</v>
      </c>
      <c r="W351" t="str">
        <v>2022/07/28</v>
      </c>
      <c r="X351" t="str">
        <v>15.84</v>
      </c>
      <c r="Y351">
        <v>27.26</v>
      </c>
      <c r="Z351" t="str">
        <v>-3.02</v>
      </c>
      <c r="AA351" t="str">
        <v>-13.57</v>
      </c>
      <c r="AB351" t="str">
        <v>敦泰</v>
      </c>
      <c r="AC351" t="str">
        <v>上市半導體</v>
      </c>
      <c r="AD351" t="str">
        <v>台灣中小尺寸LCD驅動IC廠</v>
      </c>
      <c r="AE351" t="str">
        <f t="array" ref="AE351:AH351">[1]!'3545.TW-CName,InvestorConferenceDate,DateofMeetingofShareHolders,TradingDate'</f>
        <v>敦泰</v>
      </c>
      <c r="AF351" t="str">
        <v>2022/11/11</v>
      </c>
      <c r="AG351" t="str">
        <v>2022/06/09</v>
      </c>
      <c r="AH351" t="str">
        <v>2022/12/22</v>
      </c>
    </row>
    <row r="352" spans="1:34" x14ac:dyDescent="0.3">
      <c r="A352" t="str">
        <f t="array" ref="A352:J352">[1]!'3583.TW-ID,Name,MarketValue,Capital,NetIncomeGrowthRate,OperIncomeGrowthRate,FinancialStatementsTime,TFXRatio,MonthlyNetSalesYoY,RevenueMonth'</f>
        <v>3583</v>
      </c>
      <c r="B352" t="str">
        <v>辛耘</v>
      </c>
      <c r="C352" t="str">
        <v>58.2</v>
      </c>
      <c r="D352" t="str">
        <v>8.11</v>
      </c>
      <c r="E352" t="str">
        <v>43.06</v>
      </c>
      <c r="F352" t="str">
        <v>26.53</v>
      </c>
      <c r="G352" t="str">
        <v>2022/09</v>
      </c>
      <c r="H352" t="str">
        <v>6.73</v>
      </c>
      <c r="I352" t="str">
        <v>8.96</v>
      </c>
      <c r="J352" t="str">
        <v>2022/11</v>
      </c>
      <c r="K352" t="str">
        <f t="array" ref="K352:T352">[1]!'3583.TW-OperatingProfitRatio,Price,PriceChangeRatio,InOutRatioNumber,Value,YearReturn,MonthReturn,WeekReturn,FinanceBalanceDif,ChipsField2'</f>
        <v>11.89</v>
      </c>
      <c r="L352">
        <v>71.7</v>
      </c>
      <c r="M352">
        <v>0.7</v>
      </c>
      <c r="N352" t="str">
        <v>55.86%</v>
      </c>
      <c r="O352" t="str">
        <v>799萬</v>
      </c>
      <c r="P352" t="str">
        <v>-8.46</v>
      </c>
      <c r="Q352" t="str">
        <v>-1.51</v>
      </c>
      <c r="R352" t="str">
        <v>-6.76</v>
      </c>
      <c r="S352">
        <v>-5</v>
      </c>
      <c r="T352">
        <v>0</v>
      </c>
      <c r="U352">
        <f t="array" ref="U352:AD352">[1]!'3583.TW-ChipsField3,ChipsField1,ChipsField25,CashAndStockDividend,CashDividendYieldRate,ProfitFourSeason,ProfitSingle,CName,ExchangeIndustry,CompanyPos'</f>
        <v>0</v>
      </c>
      <c r="V352">
        <v>14</v>
      </c>
      <c r="W352" t="str">
        <v>2022/06/23</v>
      </c>
      <c r="X352" t="str">
        <v>2.50</v>
      </c>
      <c r="Y352">
        <v>3.49</v>
      </c>
      <c r="Z352" t="str">
        <v>6.82</v>
      </c>
      <c r="AA352" t="str">
        <v>1.89</v>
      </c>
      <c r="AB352" t="str">
        <v>辛耘</v>
      </c>
      <c r="AC352" t="str">
        <v>上市半導體</v>
      </c>
      <c r="AD352" t="str">
        <v>半導體製程設備及再生晶圓廠商</v>
      </c>
      <c r="AE352" t="str">
        <f t="array" ref="AE352:AH352">[1]!'3583.TW-CName,InvestorConferenceDate,DateofMeetingofShareHolders,TradingDate'</f>
        <v>辛耘</v>
      </c>
      <c r="AF352" t="str">
        <v>2022/06/16</v>
      </c>
      <c r="AG352" t="str">
        <v>2022/06/16</v>
      </c>
      <c r="AH352" t="str">
        <v>2022/12/22</v>
      </c>
    </row>
    <row r="353" spans="1:34" x14ac:dyDescent="0.3">
      <c r="A353" t="str">
        <f t="array" ref="A353:J353">[1]!'3588.TW-ID,Name,MarketValue,Capital,NetIncomeGrowthRate,OperIncomeGrowthRate,FinancialStatementsTime,TFXRatio,MonthlyNetSalesYoY,RevenueMonth'</f>
        <v>3588</v>
      </c>
      <c r="B353" t="str">
        <v>通嘉</v>
      </c>
      <c r="C353" t="str">
        <v>30.9</v>
      </c>
      <c r="D353" t="str">
        <v>5.69</v>
      </c>
      <c r="E353" t="str">
        <v>-24.51</v>
      </c>
      <c r="F353" t="str">
        <v>-33.55</v>
      </c>
      <c r="G353" t="str">
        <v>2022/09</v>
      </c>
      <c r="H353" t="str">
        <v>1.82</v>
      </c>
      <c r="I353" t="str">
        <v>-51.16</v>
      </c>
      <c r="J353" t="str">
        <v>2022/11</v>
      </c>
      <c r="K353" t="str">
        <f t="array" ref="K353:T353">[1]!'3588.TW-OperatingProfitRatio,Price,PriceChangeRatio,InOutRatioNumber,Value,YearReturn,MonthReturn,WeekReturn,FinanceBalanceDif,ChipsField2'</f>
        <v>12.56</v>
      </c>
      <c r="L353">
        <v>54.3</v>
      </c>
      <c r="M353">
        <v>0.56000000000000005</v>
      </c>
      <c r="N353" t="str">
        <v>45.65%</v>
      </c>
      <c r="O353" t="str">
        <v>2060萬</v>
      </c>
      <c r="P353" t="str">
        <v>-58.60</v>
      </c>
      <c r="Q353" t="str">
        <v>-10.40</v>
      </c>
      <c r="R353" t="str">
        <v>-11.27</v>
      </c>
      <c r="S353">
        <v>19</v>
      </c>
      <c r="T353">
        <v>0</v>
      </c>
      <c r="U353">
        <f t="array" ref="U353:AD353">[1]!'3588.TW-ChipsField3,ChipsField1,ChipsField25,CashAndStockDividend,CashDividendYieldRate,ProfitFourSeason,ProfitSingle,CName,ExchangeIndustry,CompanyPos'</f>
        <v>0</v>
      </c>
      <c r="V353">
        <v>-19</v>
      </c>
      <c r="W353" t="str">
        <v>2022/07/29</v>
      </c>
      <c r="X353" t="str">
        <v>4.00</v>
      </c>
      <c r="Y353">
        <v>7.37</v>
      </c>
      <c r="Z353" t="str">
        <v>5.16</v>
      </c>
      <c r="AA353" t="str">
        <v>0.19</v>
      </c>
      <c r="AB353" t="str">
        <v>通嘉</v>
      </c>
      <c r="AC353" t="str">
        <v>上市半導體</v>
      </c>
      <c r="AD353" t="str">
        <v>台灣少數跨AC/DC及DC/DC的電源管理IC設計廠商</v>
      </c>
      <c r="AE353" t="str">
        <f t="array" ref="AE353:AH353">[1]!'3588.TW-CName,InvestorConferenceDate,DateofMeetingofShareHolders,TradingDate'</f>
        <v>通嘉</v>
      </c>
      <c r="AF353" t="str">
        <v>2022/12/15</v>
      </c>
      <c r="AG353" t="str">
        <v>2022/06/09</v>
      </c>
      <c r="AH353" t="str">
        <v>2022/12/22</v>
      </c>
    </row>
    <row r="354" spans="1:34" x14ac:dyDescent="0.3">
      <c r="A354" t="str">
        <f t="array" ref="A354:J354">[1]!'3592.TW-ID,Name,MarketValue,Capital,NetIncomeGrowthRate,OperIncomeGrowthRate,FinancialStatementsTime,TFXRatio,MonthlyNetSalesYoY,RevenueMonth'</f>
        <v>3592</v>
      </c>
      <c r="B354" t="str">
        <v>瑞鼎</v>
      </c>
      <c r="C354" t="str">
        <v>233.3</v>
      </c>
      <c r="D354" t="str">
        <v>7.59</v>
      </c>
      <c r="E354" t="str">
        <v>12.25</v>
      </c>
      <c r="F354" t="str">
        <v>-14.68</v>
      </c>
      <c r="G354" t="str">
        <v>2022/09</v>
      </c>
      <c r="H354" t="str">
        <v>4.92</v>
      </c>
      <c r="I354" t="str">
        <v>-34.12</v>
      </c>
      <c r="J354" t="str">
        <v>2022/11</v>
      </c>
      <c r="K354" t="str">
        <f t="array" ref="K354:T354">[1]!'3592.TW-OperatingProfitRatio,Price,PriceChangeRatio,InOutRatioNumber,Value,YearReturn,MonthReturn,WeekReturn,FinanceBalanceDif,ChipsField2'</f>
        <v>16.86</v>
      </c>
      <c r="L354">
        <v>307.5</v>
      </c>
      <c r="M354">
        <v>3.54</v>
      </c>
      <c r="N354" t="str">
        <v>53.84%</v>
      </c>
      <c r="O354" t="str">
        <v>2.78億</v>
      </c>
      <c r="P354" t="str">
        <v>--</v>
      </c>
      <c r="Q354" t="str">
        <v>-0.16</v>
      </c>
      <c r="R354" t="str">
        <v>0.00</v>
      </c>
      <c r="S354">
        <v>14</v>
      </c>
      <c r="T354">
        <v>2</v>
      </c>
      <c r="U354">
        <f t="array" ref="U354:AD354">[1]!'3592.TW-ChipsField3,ChipsField1,ChipsField25,CashAndStockDividend,CashDividendYieldRate,ProfitFourSeason,ProfitSingle,CName,ExchangeIndustry,CompanyPos'</f>
        <v>-3</v>
      </c>
      <c r="V354">
        <v>27</v>
      </c>
      <c r="W354" t="str">
        <v>2022/07/04</v>
      </c>
      <c r="X354" t="str">
        <v>45.00</v>
      </c>
      <c r="Y354">
        <v>14.63</v>
      </c>
      <c r="Z354" t="str">
        <v>64.05</v>
      </c>
      <c r="AA354" t="str">
        <v>7.28</v>
      </c>
      <c r="AB354" t="str">
        <v>瑞鼎</v>
      </c>
      <c r="AC354" t="str">
        <v>上市半導體</v>
      </c>
      <c r="AD354" t="str">
        <v>友達集團旗下驅動IC設計公司</v>
      </c>
      <c r="AE354" t="str">
        <f t="array" ref="AE354:AH354">[1]!'3592.TW-CName,InvestorConferenceDate,DateofMeetingofShareHolders,TradingDate'</f>
        <v>瑞鼎</v>
      </c>
      <c r="AF354" t="str">
        <v>2022/11/15</v>
      </c>
      <c r="AG354" t="str">
        <v>2022/05/30</v>
      </c>
      <c r="AH354" t="str">
        <v>2022/12/22</v>
      </c>
    </row>
    <row r="355" spans="1:34" x14ac:dyDescent="0.3">
      <c r="A355" t="str">
        <f t="array" ref="A355:J355">[1]!'3661.TW-ID,Name,MarketValue,Capital,NetIncomeGrowthRate,OperIncomeGrowthRate,FinancialStatementsTime,TFXRatio,MonthlyNetSalesYoY,RevenueMonth'</f>
        <v>3661</v>
      </c>
      <c r="B355" t="str">
        <v>世芯-KY</v>
      </c>
      <c r="C355" t="str">
        <v>583.6</v>
      </c>
      <c r="D355" t="str">
        <v>7.18</v>
      </c>
      <c r="E355" t="str">
        <v>16.15</v>
      </c>
      <c r="F355" t="str">
        <v>19.07</v>
      </c>
      <c r="G355" t="str">
        <v>2022/09</v>
      </c>
      <c r="H355" t="str">
        <v>43.47</v>
      </c>
      <c r="I355" t="str">
        <v>108.14</v>
      </c>
      <c r="J355" t="str">
        <v>2022/11</v>
      </c>
      <c r="K355" t="str">
        <f t="array" ref="K355:T355">[1]!'3661.TW-OperatingProfitRatio,Price,PriceChangeRatio,InOutRatioNumber,Value,YearReturn,MonthReturn,WeekReturn,FinanceBalanceDif,ChipsField2'</f>
        <v>18.42</v>
      </c>
      <c r="L355">
        <v>814</v>
      </c>
      <c r="M355">
        <v>0.62</v>
      </c>
      <c r="N355" t="str">
        <v>49.93%</v>
      </c>
      <c r="O355" t="str">
        <v>30.7億</v>
      </c>
      <c r="P355" t="str">
        <v>-15.97</v>
      </c>
      <c r="Q355" t="str">
        <v>-8.54</v>
      </c>
      <c r="R355" t="str">
        <v>-10.65</v>
      </c>
      <c r="S355">
        <v>81</v>
      </c>
      <c r="T355">
        <v>-18</v>
      </c>
      <c r="U355">
        <f t="array" ref="U355:AD355">[1]!'3661.TW-ChipsField3,ChipsField1,ChipsField25,CashAndStockDividend,CashDividendYieldRate,ProfitFourSeason,ProfitSingle,CName,ExchangeIndustry,CompanyPos'</f>
        <v>7</v>
      </c>
      <c r="V355">
        <v>-117</v>
      </c>
      <c r="W355" t="str">
        <v>2022/09/16</v>
      </c>
      <c r="X355" t="str">
        <v>11.80</v>
      </c>
      <c r="Y355">
        <v>1.45</v>
      </c>
      <c r="Z355" t="str">
        <v>23.60</v>
      </c>
      <c r="AA355" t="str">
        <v>6.20</v>
      </c>
      <c r="AB355" t="str">
        <v>世芯-KY</v>
      </c>
      <c r="AC355" t="str">
        <v>上市半導體</v>
      </c>
      <c r="AD355" t="str">
        <v>全球ASIC及設計IP業者</v>
      </c>
      <c r="AE355" t="str">
        <f t="array" ref="AE355:AH355">[1]!'3661.TW-CName,InvestorConferenceDate,DateofMeetingofShareHolders,TradingDate'</f>
        <v>世芯-KY</v>
      </c>
      <c r="AF355" t="str">
        <v>2022/11/04</v>
      </c>
      <c r="AG355" t="str">
        <v>2022/06/10</v>
      </c>
      <c r="AH355" t="str">
        <v>2022/12/22</v>
      </c>
    </row>
    <row r="356" spans="1:34" x14ac:dyDescent="0.3">
      <c r="A356" t="str">
        <f t="array" ref="A356:J356">[1]!'3686.TW-ID,Name,MarketValue,Capital,NetIncomeGrowthRate,OperIncomeGrowthRate,FinancialStatementsTime,TFXRatio,MonthlyNetSalesYoY,RevenueMonth'</f>
        <v>3686</v>
      </c>
      <c r="B356" t="str">
        <v>達能</v>
      </c>
      <c r="C356" t="str">
        <v>12.7</v>
      </c>
      <c r="D356" t="str">
        <v>7.65</v>
      </c>
      <c r="E356" t="str">
        <v>74.00</v>
      </c>
      <c r="F356" t="str">
        <v>35.71</v>
      </c>
      <c r="G356" t="str">
        <v>2022/09</v>
      </c>
      <c r="H356" t="str">
        <v>45.48</v>
      </c>
      <c r="I356" t="str">
        <v>6.33</v>
      </c>
      <c r="J356" t="str">
        <v>2022/11</v>
      </c>
      <c r="K356" t="str">
        <f t="array" ref="K356:T356">[1]!'3686.TW-OperatingProfitRatio,Price,PriceChangeRatio,InOutRatioNumber,Value,YearReturn,MonthReturn,WeekReturn,FinanceBalanceDif,ChipsField2'</f>
        <v>-60.46</v>
      </c>
      <c r="L356">
        <v>16.600000000000001</v>
      </c>
      <c r="M356">
        <v>-0.6</v>
      </c>
      <c r="N356" t="str">
        <v>52.83%</v>
      </c>
      <c r="O356" t="str">
        <v>2094萬</v>
      </c>
      <c r="P356" t="str">
        <v>-30.72</v>
      </c>
      <c r="Q356" t="str">
        <v>+32.80</v>
      </c>
      <c r="R356" t="str">
        <v>+10.67</v>
      </c>
      <c r="S356">
        <v>0</v>
      </c>
      <c r="T356">
        <v>0</v>
      </c>
      <c r="U356">
        <f t="array" ref="U356:AD356">[1]!'3686.TW-ChipsField3,ChipsField1,ChipsField25,CashAndStockDividend,CashDividendYieldRate,ProfitFourSeason,ProfitSingle,CName,ExchangeIndustry,CompanyPos'</f>
        <v>0</v>
      </c>
      <c r="V356">
        <v>-87</v>
      </c>
      <c r="W356" t="str">
        <v>--</v>
      </c>
      <c r="X356" t="str">
        <v>0.00</v>
      </c>
      <c r="Y356">
        <v>0</v>
      </c>
      <c r="Z356" t="str">
        <v>0.46</v>
      </c>
      <c r="AA356" t="str">
        <v>-0.08</v>
      </c>
      <c r="AB356" t="str">
        <v>達能</v>
      </c>
      <c r="AC356" t="str">
        <v>上市半導體</v>
      </c>
      <c r="AD356" t="str">
        <v>台灣太陽能多晶矽晶片製造商</v>
      </c>
      <c r="AE356" t="str">
        <f t="array" ref="AE356:AH356">[1]!'3686.TW-CName,InvestorConferenceDate,DateofMeetingofShareHolders,TradingDate'</f>
        <v>達能</v>
      </c>
      <c r="AF356" t="str">
        <v>2022/12/21</v>
      </c>
      <c r="AG356" t="str">
        <v>2022/06/21</v>
      </c>
      <c r="AH356" t="str">
        <v>2022/12/22</v>
      </c>
    </row>
    <row r="357" spans="1:34" x14ac:dyDescent="0.3">
      <c r="A357" t="str">
        <f t="array" ref="A357:J357">[1]!'3711.TW-ID,Name,MarketValue,Capital,NetIncomeGrowthRate,OperIncomeGrowthRate,FinancialStatementsTime,TFXRatio,MonthlyNetSalesYoY,RevenueMonth'</f>
        <v>3711</v>
      </c>
      <c r="B357" t="str">
        <v>日月光投控</v>
      </c>
      <c r="C357" t="str">
        <v>4246.4</v>
      </c>
      <c r="D357" t="str">
        <v>436.47</v>
      </c>
      <c r="E357" t="str">
        <v>41.85</v>
      </c>
      <c r="F357" t="str">
        <v>42.09</v>
      </c>
      <c r="G357" t="str">
        <v>2022/09</v>
      </c>
      <c r="H357" t="str">
        <v>-6.33</v>
      </c>
      <c r="I357" t="str">
        <v>-0.69</v>
      </c>
      <c r="J357" t="str">
        <v>2022/11</v>
      </c>
      <c r="K357" t="str">
        <f t="array" ref="K357:T357">[1]!'3711.TW-OperatingProfitRatio,Price,PriceChangeRatio,InOutRatioNumber,Value,YearReturn,MonthReturn,WeekReturn,FinanceBalanceDif,ChipsField2'</f>
        <v>12.24</v>
      </c>
      <c r="L357">
        <v>97.3</v>
      </c>
      <c r="M357">
        <v>2.1</v>
      </c>
      <c r="N357" t="str">
        <v>67.49%</v>
      </c>
      <c r="O357" t="str">
        <v>22.3億</v>
      </c>
      <c r="P357" t="str">
        <v>+3.34</v>
      </c>
      <c r="Q357" t="str">
        <v>+3.29</v>
      </c>
      <c r="R357" t="str">
        <v>-0.71</v>
      </c>
      <c r="S357">
        <v>-230</v>
      </c>
      <c r="T357">
        <v>12493</v>
      </c>
      <c r="U357">
        <f t="array" ref="U357:AD357">[1]!'3711.TW-ChipsField3,ChipsField1,ChipsField25,CashAndStockDividend,CashDividendYieldRate,ProfitFourSeason,ProfitSingle,CName,ExchangeIndustry,CompanyPos'</f>
        <v>-310</v>
      </c>
      <c r="V357">
        <v>-10343</v>
      </c>
      <c r="W357" t="str">
        <v>2022/06/29</v>
      </c>
      <c r="X357" t="str">
        <v>7.00</v>
      </c>
      <c r="Y357">
        <v>7.19</v>
      </c>
      <c r="Z357" t="str">
        <v>17.92</v>
      </c>
      <c r="AA357" t="str">
        <v>4.03</v>
      </c>
      <c r="AB357" t="str">
        <v>日月光投控</v>
      </c>
      <c r="AC357" t="str">
        <v>上市半導體</v>
      </c>
      <c r="AD357" t="str">
        <v>日月光及矽品規劃籌組新投資控股公司</v>
      </c>
      <c r="AE357" t="str">
        <f t="array" ref="AE357:AH357">[1]!'3711.TW-CName,InvestorConferenceDate,DateofMeetingofShareHolders,TradingDate'</f>
        <v>日月光投控</v>
      </c>
      <c r="AF357" t="str">
        <v>2022/10/27</v>
      </c>
      <c r="AG357" t="str">
        <v>2022/06/23</v>
      </c>
      <c r="AH357" t="str">
        <v>2022/12/22</v>
      </c>
    </row>
    <row r="358" spans="1:34" x14ac:dyDescent="0.3">
      <c r="A358" t="str">
        <f t="array" ref="A358:J358">[1]!'4919.TW-ID,Name,MarketValue,Capital,NetIncomeGrowthRate,OperIncomeGrowthRate,FinancialStatementsTime,TFXRatio,MonthlyNetSalesYoY,RevenueMonth'</f>
        <v>4919</v>
      </c>
      <c r="B358" t="str">
        <v>新唐</v>
      </c>
      <c r="C358" t="str">
        <v>501.6</v>
      </c>
      <c r="D358" t="str">
        <v>41.98</v>
      </c>
      <c r="E358" t="str">
        <v>89.40</v>
      </c>
      <c r="F358" t="str">
        <v>80.92</v>
      </c>
      <c r="G358" t="str">
        <v>2022/09</v>
      </c>
      <c r="H358" t="str">
        <v>9.79</v>
      </c>
      <c r="I358" t="str">
        <v>-1.22</v>
      </c>
      <c r="J358" t="str">
        <v>2022/11</v>
      </c>
      <c r="K358" t="str">
        <f t="array" ref="K358:T358">[1]!'4919.TW-OperatingProfitRatio,Price,PriceChangeRatio,InOutRatioNumber,Value,YearReturn,MonthReturn,WeekReturn,FinanceBalanceDif,ChipsField2'</f>
        <v>11.84</v>
      </c>
      <c r="L358">
        <v>119.5</v>
      </c>
      <c r="M358">
        <v>-0.42</v>
      </c>
      <c r="N358" t="str">
        <v>32.72%</v>
      </c>
      <c r="O358" t="str">
        <v>5.17億</v>
      </c>
      <c r="P358" t="str">
        <v>-10.60</v>
      </c>
      <c r="Q358" t="str">
        <v>+1.27</v>
      </c>
      <c r="R358" t="str">
        <v>-4.40</v>
      </c>
      <c r="S358">
        <v>-294</v>
      </c>
      <c r="T358">
        <v>0</v>
      </c>
      <c r="U358">
        <f t="array" ref="U358:AD358">[1]!'4919.TW-ChipsField3,ChipsField1,ChipsField25,CashAndStockDividend,CashDividendYieldRate,ProfitFourSeason,ProfitSingle,CName,ExchangeIndustry,CompanyPos'</f>
        <v>-94</v>
      </c>
      <c r="V358">
        <v>-710</v>
      </c>
      <c r="W358" t="str">
        <v>2022/08/01</v>
      </c>
      <c r="X358" t="str">
        <v>5.00</v>
      </c>
      <c r="Y358">
        <v>4.18</v>
      </c>
      <c r="Z358" t="str">
        <v>11.05</v>
      </c>
      <c r="AA358" t="str">
        <v>2.25</v>
      </c>
      <c r="AB358" t="str">
        <v>新唐</v>
      </c>
      <c r="AC358" t="str">
        <v>上市半導體</v>
      </c>
      <c r="AD358" t="str">
        <v>華邦旗下整合元件製造(IDM)廠，提供IC設計與製造服務</v>
      </c>
      <c r="AE358" t="str">
        <f t="array" ref="AE358:AH358">[1]!'4919.TW-CName,InvestorConferenceDate,DateofMeetingofShareHolders,TradingDate'</f>
        <v>新唐</v>
      </c>
      <c r="AF358" t="str">
        <v>2022/11/04</v>
      </c>
      <c r="AG358" t="str">
        <v>2022/06/02</v>
      </c>
      <c r="AH358" t="str">
        <v>2022/12/22</v>
      </c>
    </row>
    <row r="359" spans="1:34" x14ac:dyDescent="0.3">
      <c r="A359" t="str">
        <f t="array" ref="A359:J359">[1]!'4952.TW-ID,Name,MarketValue,Capital,NetIncomeGrowthRate,OperIncomeGrowthRate,FinancialStatementsTime,TFXRatio,MonthlyNetSalesYoY,RevenueMonth'</f>
        <v>4952</v>
      </c>
      <c r="B359" t="str">
        <v>凌通</v>
      </c>
      <c r="C359" t="str">
        <v>52.0</v>
      </c>
      <c r="D359" t="str">
        <v>10.88</v>
      </c>
      <c r="E359" t="str">
        <v>12.63</v>
      </c>
      <c r="F359" t="str">
        <v>1.27</v>
      </c>
      <c r="G359" t="str">
        <v>2022/09</v>
      </c>
      <c r="H359" t="str">
        <v>-13.45</v>
      </c>
      <c r="I359" t="str">
        <v>-42.95</v>
      </c>
      <c r="J359" t="str">
        <v>2022/11</v>
      </c>
      <c r="K359" t="str">
        <f t="array" ref="K359:T359">[1]!'4952.TW-OperatingProfitRatio,Price,PriceChangeRatio,InOutRatioNumber,Value,YearReturn,MonthReturn,WeekReturn,FinanceBalanceDif,ChipsField2'</f>
        <v>22.17</v>
      </c>
      <c r="L359">
        <v>47.8</v>
      </c>
      <c r="M359">
        <v>1.59</v>
      </c>
      <c r="N359" t="str">
        <v>40.36%</v>
      </c>
      <c r="O359" t="str">
        <v>3929萬</v>
      </c>
      <c r="P359" t="str">
        <v>-22.92</v>
      </c>
      <c r="Q359" t="str">
        <v>-0.21</v>
      </c>
      <c r="R359" t="str">
        <v>-1.44</v>
      </c>
      <c r="S359">
        <v>25</v>
      </c>
      <c r="T359">
        <v>0</v>
      </c>
      <c r="U359">
        <f t="array" ref="U359:AD359">[1]!'4952.TW-ChipsField3,ChipsField1,ChipsField25,CashAndStockDividend,CashDividendYieldRate,ProfitFourSeason,ProfitSingle,CName,ExchangeIndustry,CompanyPos'</f>
        <v>-6</v>
      </c>
      <c r="V359">
        <v>-43</v>
      </c>
      <c r="W359" t="str">
        <v>2022/06/22</v>
      </c>
      <c r="X359" t="str">
        <v>5.40</v>
      </c>
      <c r="Y359">
        <v>11.3</v>
      </c>
      <c r="Z359" t="str">
        <v>6.63</v>
      </c>
      <c r="AA359" t="str">
        <v>1.07</v>
      </c>
      <c r="AB359" t="str">
        <v>凌通</v>
      </c>
      <c r="AC359" t="str">
        <v>上市半導體</v>
      </c>
      <c r="AD359" t="str">
        <v>凌陽轉投資的消費性IC廠</v>
      </c>
      <c r="AE359" t="str">
        <f t="array" ref="AE359:AH359">[1]!'4952.TW-CName,InvestorConferenceDate,DateofMeetingofShareHolders,TradingDate'</f>
        <v>凌通</v>
      </c>
      <c r="AF359" t="str">
        <v>2022/08/17</v>
      </c>
      <c r="AG359" t="str">
        <v>2022/05/27</v>
      </c>
      <c r="AH359" t="str">
        <v>2022/12/22</v>
      </c>
    </row>
    <row r="360" spans="1:34" x14ac:dyDescent="0.3">
      <c r="A360" t="str">
        <f t="array" ref="A360:J360">[1]!'4961.TW-ID,Name,MarketValue,Capital,NetIncomeGrowthRate,OperIncomeGrowthRate,FinancialStatementsTime,TFXRatio,MonthlyNetSalesYoY,RevenueMonth'</f>
        <v>4961</v>
      </c>
      <c r="B360" t="str">
        <v>天鈺</v>
      </c>
      <c r="C360" t="str">
        <v>216.4</v>
      </c>
      <c r="D360" t="str">
        <v>18.65</v>
      </c>
      <c r="E360" t="str">
        <v>-39.24</v>
      </c>
      <c r="F360" t="str">
        <v>-38.29</v>
      </c>
      <c r="G360" t="str">
        <v>2022/09</v>
      </c>
      <c r="H360" t="str">
        <v>14.97</v>
      </c>
      <c r="I360" t="str">
        <v>-32.04</v>
      </c>
      <c r="J360" t="str">
        <v>2022/11</v>
      </c>
      <c r="K360" t="str">
        <f t="array" ref="K360:T360">[1]!'4961.TW-OperatingProfitRatio,Price,PriceChangeRatio,InOutRatioNumber,Value,YearReturn,MonthReturn,WeekReturn,FinanceBalanceDif,ChipsField2'</f>
        <v>22.75</v>
      </c>
      <c r="L360">
        <v>116</v>
      </c>
      <c r="M360">
        <v>1.75</v>
      </c>
      <c r="N360" t="str">
        <v>56.19%</v>
      </c>
      <c r="O360" t="str">
        <v>1.61億</v>
      </c>
      <c r="P360" t="str">
        <v>-52.79</v>
      </c>
      <c r="Q360" t="str">
        <v>-3.33</v>
      </c>
      <c r="R360" t="str">
        <v>-3.33</v>
      </c>
      <c r="S360">
        <v>-26</v>
      </c>
      <c r="T360">
        <v>0</v>
      </c>
      <c r="U360">
        <f t="array" ref="U360:AD360">[1]!'4961.TW-ChipsField3,ChipsField1,ChipsField25,CashAndStockDividend,CashDividendYieldRate,ProfitFourSeason,ProfitSingle,CName,ExchangeIndustry,CompanyPos'</f>
        <v>-4</v>
      </c>
      <c r="V360">
        <v>-114</v>
      </c>
      <c r="W360" t="str">
        <v>2022/08/04</v>
      </c>
      <c r="X360" t="str">
        <v>17.00</v>
      </c>
      <c r="Y360">
        <v>14.66</v>
      </c>
      <c r="Z360" t="str">
        <v>22.53</v>
      </c>
      <c r="AA360" t="str">
        <v>2.48</v>
      </c>
      <c r="AB360" t="str">
        <v>天鈺</v>
      </c>
      <c r="AC360" t="str">
        <v>上市半導體</v>
      </c>
      <c r="AD360" t="str">
        <v>鴻海旗下顯示器驅動IC設計廠</v>
      </c>
      <c r="AE360" t="str">
        <f t="array" ref="AE360:AH360">[1]!'4961.TW-CName,InvestorConferenceDate,DateofMeetingofShareHolders,TradingDate'</f>
        <v>天鈺</v>
      </c>
      <c r="AF360" t="str">
        <v>2022/11/04</v>
      </c>
      <c r="AG360" t="str">
        <v>2022/06/22</v>
      </c>
      <c r="AH360" t="str">
        <v>2022/12/22</v>
      </c>
    </row>
    <row r="361" spans="1:34" x14ac:dyDescent="0.3">
      <c r="A361" t="str">
        <f t="array" ref="A361:J361">[1]!'4967.TW-ID,Name,MarketValue,Capital,NetIncomeGrowthRate,OperIncomeGrowthRate,FinancialStatementsTime,TFXRatio,MonthlyNetSalesYoY,RevenueMonth'</f>
        <v>4967</v>
      </c>
      <c r="B361" t="str">
        <v>十銓</v>
      </c>
      <c r="C361" t="str">
        <v>21.6</v>
      </c>
      <c r="D361" t="str">
        <v>7.15</v>
      </c>
      <c r="E361" t="str">
        <v>-170.52</v>
      </c>
      <c r="F361" t="str">
        <v>-272.77</v>
      </c>
      <c r="G361" t="str">
        <v>2022/09</v>
      </c>
      <c r="H361" t="str">
        <v>17.51</v>
      </c>
      <c r="I361" t="str">
        <v>-20.81</v>
      </c>
      <c r="J361" t="str">
        <v>2022/11</v>
      </c>
      <c r="K361" t="str">
        <f t="array" ref="K361:T361">[1]!'4967.TW-OperatingProfitRatio,Price,PriceChangeRatio,InOutRatioNumber,Value,YearReturn,MonthReturn,WeekReturn,FinanceBalanceDif,ChipsField2'</f>
        <v>-2.92</v>
      </c>
      <c r="L361">
        <v>30.2</v>
      </c>
      <c r="M361">
        <v>1.34</v>
      </c>
      <c r="N361" t="str">
        <v>50.56%</v>
      </c>
      <c r="O361" t="str">
        <v>271萬</v>
      </c>
      <c r="P361" t="str">
        <v>-49.81</v>
      </c>
      <c r="Q361" t="str">
        <v>-2.89</v>
      </c>
      <c r="R361" t="str">
        <v>-1.31</v>
      </c>
      <c r="S361">
        <v>1</v>
      </c>
      <c r="T361">
        <v>0</v>
      </c>
      <c r="U361">
        <f t="array" ref="U361:AD361">[1]!'4967.TW-ChipsField3,ChipsField1,ChipsField25,CashAndStockDividend,CashDividendYieldRate,ProfitFourSeason,ProfitSingle,CName,ExchangeIndustry,CompanyPos'</f>
        <v>0</v>
      </c>
      <c r="V361">
        <v>-6</v>
      </c>
      <c r="W361" t="str">
        <v>--</v>
      </c>
      <c r="X361" t="str">
        <v>0.00</v>
      </c>
      <c r="Y361">
        <v>0</v>
      </c>
      <c r="Z361" t="str">
        <v>-2.99</v>
      </c>
      <c r="AA361" t="str">
        <v>-1.12</v>
      </c>
      <c r="AB361" t="str">
        <v>十銓</v>
      </c>
      <c r="AC361" t="str">
        <v>上市半導體</v>
      </c>
      <c r="AD361" t="str">
        <v>全球知名DRAM模組廠</v>
      </c>
      <c r="AE361" t="str">
        <f t="array" ref="AE361:AH361">[1]!'4967.TW-CName,InvestorConferenceDate,DateofMeetingofShareHolders,TradingDate'</f>
        <v>十銓</v>
      </c>
      <c r="AF361" t="str">
        <v>2022/12/15</v>
      </c>
      <c r="AG361" t="str">
        <v>2022/06/30</v>
      </c>
      <c r="AH361" t="str">
        <v>2022/12/22</v>
      </c>
    </row>
    <row r="362" spans="1:34" x14ac:dyDescent="0.3">
      <c r="A362" t="str">
        <f t="array" ref="A362:J362">[1]!'4968.TW-ID,Name,MarketValue,Capital,NetIncomeGrowthRate,OperIncomeGrowthRate,FinancialStatementsTime,TFXRatio,MonthlyNetSalesYoY,RevenueMonth'</f>
        <v>4968</v>
      </c>
      <c r="B362" t="str">
        <v>立積</v>
      </c>
      <c r="C362" t="str">
        <v>100.1</v>
      </c>
      <c r="D362" t="str">
        <v>9.02</v>
      </c>
      <c r="E362" t="str">
        <v>-74.23</v>
      </c>
      <c r="F362" t="str">
        <v>-96.54</v>
      </c>
      <c r="G362" t="str">
        <v>2022/09</v>
      </c>
      <c r="H362" t="str">
        <v>-9.01</v>
      </c>
      <c r="I362" t="str">
        <v>16.14</v>
      </c>
      <c r="J362" t="str">
        <v>2022/11</v>
      </c>
      <c r="K362" t="str">
        <f t="array" ref="K362:T362">[1]!'4968.TW-OperatingProfitRatio,Price,PriceChangeRatio,InOutRatioNumber,Value,YearReturn,MonthReturn,WeekReturn,FinanceBalanceDif,ChipsField2'</f>
        <v>0.82</v>
      </c>
      <c r="L362">
        <v>111</v>
      </c>
      <c r="M362">
        <v>1.37</v>
      </c>
      <c r="N362" t="str">
        <v>44.47%</v>
      </c>
      <c r="O362" t="str">
        <v>1.29億</v>
      </c>
      <c r="P362" t="str">
        <v>-60.42</v>
      </c>
      <c r="Q362" t="str">
        <v>0.00</v>
      </c>
      <c r="R362" t="str">
        <v>-9.76</v>
      </c>
      <c r="S362">
        <v>55</v>
      </c>
      <c r="T362">
        <v>-32</v>
      </c>
      <c r="U362">
        <f t="array" ref="U362:AD362">[1]!'4968.TW-ChipsField3,ChipsField1,ChipsField25,CashAndStockDividend,CashDividendYieldRate,ProfitFourSeason,ProfitSingle,CName,ExchangeIndustry,CompanyPos'</f>
        <v>-47</v>
      </c>
      <c r="V362">
        <v>-18</v>
      </c>
      <c r="W362" t="str">
        <v>2022/07/04</v>
      </c>
      <c r="X362" t="str">
        <v>3.50</v>
      </c>
      <c r="Y362">
        <v>3.15</v>
      </c>
      <c r="Z362" t="str">
        <v>0.76</v>
      </c>
      <c r="AA362" t="str">
        <v>1.10</v>
      </c>
      <c r="AB362" t="str">
        <v>立積</v>
      </c>
      <c r="AC362" t="str">
        <v>上市半導體</v>
      </c>
      <c r="AD362" t="str">
        <v>台灣採用矽及砷化鎵技術的RF射頻前端IC廠</v>
      </c>
      <c r="AE362" t="str">
        <f t="array" ref="AE362:AH362">[1]!'4968.TW-CName,InvestorConferenceDate,DateofMeetingofShareHolders,TradingDate'</f>
        <v>立積</v>
      </c>
      <c r="AF362" t="str">
        <v>2022/10/27</v>
      </c>
      <c r="AG362" t="str">
        <v>2022/05/26</v>
      </c>
      <c r="AH362" t="str">
        <v>2022/12/22</v>
      </c>
    </row>
    <row r="363" spans="1:34" x14ac:dyDescent="0.3">
      <c r="A363" t="str">
        <f t="array" ref="A363:J363">[1]!'5222.TW-ID,Name,MarketValue,Capital,NetIncomeGrowthRate,OperIncomeGrowthRate,FinancialStatementsTime,TFXRatio,MonthlyNetSalesYoY,RevenueMonth'</f>
        <v>5222</v>
      </c>
      <c r="B363" t="str">
        <v>全訊</v>
      </c>
      <c r="C363" t="str">
        <v>93.3</v>
      </c>
      <c r="D363" t="str">
        <v>6.78</v>
      </c>
      <c r="E363" t="str">
        <v>-16.77</v>
      </c>
      <c r="F363" t="str">
        <v>13.39</v>
      </c>
      <c r="G363" t="str">
        <v>2022/09</v>
      </c>
      <c r="H363" t="str">
        <v>10.89</v>
      </c>
      <c r="I363" t="str">
        <v>32.37</v>
      </c>
      <c r="J363" t="str">
        <v>2022/11</v>
      </c>
      <c r="K363" t="str">
        <f t="array" ref="K363:T363">[1]!'5222.TW-OperatingProfitRatio,Price,PriceChangeRatio,InOutRatioNumber,Value,YearReturn,MonthReturn,WeekReturn,FinanceBalanceDif,ChipsField2'</f>
        <v>34.39</v>
      </c>
      <c r="L363">
        <v>137.5</v>
      </c>
      <c r="M363">
        <v>-1.79</v>
      </c>
      <c r="N363" t="str">
        <v>22.56%</v>
      </c>
      <c r="O363" t="str">
        <v>2760萬</v>
      </c>
      <c r="P363" t="str">
        <v>-31.94</v>
      </c>
      <c r="Q363" t="str">
        <v>+5.36</v>
      </c>
      <c r="R363" t="str">
        <v>-3.17</v>
      </c>
      <c r="S363">
        <v>-12</v>
      </c>
      <c r="T363">
        <v>0</v>
      </c>
      <c r="U363">
        <f t="array" ref="U363:AD363">[1]!'5222.TW-ChipsField3,ChipsField1,ChipsField25,CashAndStockDividend,CashDividendYieldRate,ProfitFourSeason,ProfitSingle,CName,ExchangeIndustry,CompanyPos'</f>
        <v>14</v>
      </c>
      <c r="V363">
        <v>117</v>
      </c>
      <c r="W363" t="str">
        <v>2022/04/01</v>
      </c>
      <c r="X363" t="str">
        <v>3.50</v>
      </c>
      <c r="Y363">
        <v>2.5499999999999998</v>
      </c>
      <c r="Z363" t="str">
        <v>3.33</v>
      </c>
      <c r="AA363" t="str">
        <v>1.02</v>
      </c>
      <c r="AB363" t="str">
        <v>全訊</v>
      </c>
      <c r="AC363" t="str">
        <v>上市半導體</v>
      </c>
      <c r="AD363" t="str">
        <v>功率放大器及低雜訊放大器微波元件製造商</v>
      </c>
      <c r="AE363" t="str">
        <f t="array" ref="AE363:AH363">[1]!'5222.TW-CName,InvestorConferenceDate,DateofMeetingofShareHolders,TradingDate'</f>
        <v>全訊</v>
      </c>
      <c r="AF363" t="str">
        <v>2022/12/22</v>
      </c>
      <c r="AG363" t="str">
        <v>2022/06/28</v>
      </c>
      <c r="AH363" t="str">
        <v>2022/12/22</v>
      </c>
    </row>
    <row r="364" spans="1:34" x14ac:dyDescent="0.3">
      <c r="A364" t="str">
        <f t="array" ref="A364:J364">[1]!'5269.TW-ID,Name,MarketValue,Capital,NetIncomeGrowthRate,OperIncomeGrowthRate,FinancialStatementsTime,TFXRatio,MonthlyNetSalesYoY,RevenueMonth'</f>
        <v>5269</v>
      </c>
      <c r="B364" t="str">
        <v>祥碩</v>
      </c>
      <c r="C364" t="str">
        <v>496.7</v>
      </c>
      <c r="D364" t="str">
        <v>6.94</v>
      </c>
      <c r="E364" t="str">
        <v>-7.26</v>
      </c>
      <c r="F364" t="str">
        <v>-29.23</v>
      </c>
      <c r="G364" t="str">
        <v>2022/09</v>
      </c>
      <c r="H364" t="str">
        <v>-6.51</v>
      </c>
      <c r="I364" t="str">
        <v>-18.99</v>
      </c>
      <c r="J364" t="str">
        <v>2022/11</v>
      </c>
      <c r="K364" t="str">
        <f t="array" ref="K364:T364">[1]!'5269.TW-OperatingProfitRatio,Price,PriceChangeRatio,InOutRatioNumber,Value,YearReturn,MonthReturn,WeekReturn,FinanceBalanceDif,ChipsField2'</f>
        <v>27.06</v>
      </c>
      <c r="L364">
        <v>716</v>
      </c>
      <c r="M364">
        <v>1.7</v>
      </c>
      <c r="N364" t="str">
        <v>61.73%</v>
      </c>
      <c r="O364" t="str">
        <v>4.98億</v>
      </c>
      <c r="P364" t="str">
        <v>-58.30</v>
      </c>
      <c r="Q364" t="str">
        <v>-2.98</v>
      </c>
      <c r="R364" t="str">
        <v>-0.97</v>
      </c>
      <c r="S364">
        <v>-4</v>
      </c>
      <c r="T364">
        <v>9</v>
      </c>
      <c r="U364">
        <f t="array" ref="U364:AD364">[1]!'5269.TW-ChipsField3,ChipsField1,ChipsField25,CashAndStockDividend,CashDividendYieldRate,ProfitFourSeason,ProfitSingle,CName,ExchangeIndustry,CompanyPos'</f>
        <v>6</v>
      </c>
      <c r="V364">
        <v>90</v>
      </c>
      <c r="W364" t="str">
        <v>2022/08/25</v>
      </c>
      <c r="X364" t="str">
        <v>26.00</v>
      </c>
      <c r="Y364">
        <v>3.63</v>
      </c>
      <c r="Z364" t="str">
        <v>43.59</v>
      </c>
      <c r="AA364" t="str">
        <v>10.76</v>
      </c>
      <c r="AB364" t="str">
        <v>祥碩</v>
      </c>
      <c r="AC364" t="str">
        <v>上市半導體</v>
      </c>
      <c r="AD364" t="str">
        <v>華碩旗下高速傳輸介面之控制IC設計廠</v>
      </c>
      <c r="AE364" t="str">
        <f t="array" ref="AE364:AH364">[1]!'5269.TW-CName,InvestorConferenceDate,DateofMeetingofShareHolders,TradingDate'</f>
        <v>祥碩</v>
      </c>
      <c r="AF364" t="str">
        <v>2022/05/12</v>
      </c>
      <c r="AG364" t="str">
        <v>2022/06/09</v>
      </c>
      <c r="AH364" t="str">
        <v>2022/12/22</v>
      </c>
    </row>
    <row r="365" spans="1:34" x14ac:dyDescent="0.3">
      <c r="A365" t="str">
        <f t="array" ref="A365:J365">[1]!'5285.TW-ID,Name,MarketValue,Capital,NetIncomeGrowthRate,OperIncomeGrowthRate,FinancialStatementsTime,TFXRatio,MonthlyNetSalesYoY,RevenueMonth'</f>
        <v>5285</v>
      </c>
      <c r="B365" t="str">
        <v>界霖</v>
      </c>
      <c r="C365" t="str">
        <v>62.4</v>
      </c>
      <c r="D365" t="str">
        <v>10.20</v>
      </c>
      <c r="E365" t="str">
        <v>6.03</v>
      </c>
      <c r="F365" t="str">
        <v>-19.73</v>
      </c>
      <c r="G365" t="str">
        <v>2022/09</v>
      </c>
      <c r="H365" t="str">
        <v>-2.30</v>
      </c>
      <c r="I365" t="str">
        <v>-18.37</v>
      </c>
      <c r="J365" t="str">
        <v>2022/11</v>
      </c>
      <c r="K365" t="str">
        <f t="array" ref="K365:T365">[1]!'5285.TW-OperatingProfitRatio,Price,PriceChangeRatio,InOutRatioNumber,Value,YearReturn,MonthReturn,WeekReturn,FinanceBalanceDif,ChipsField2'</f>
        <v>7.86</v>
      </c>
      <c r="L365">
        <v>61.2</v>
      </c>
      <c r="M365">
        <v>0</v>
      </c>
      <c r="N365" t="str">
        <v>20.48%</v>
      </c>
      <c r="O365" t="str">
        <v>524萬</v>
      </c>
      <c r="P365" t="str">
        <v>-37.97</v>
      </c>
      <c r="Q365" t="str">
        <v>-4.08</v>
      </c>
      <c r="R365" t="str">
        <v>-5.26</v>
      </c>
      <c r="S365">
        <v>-3</v>
      </c>
      <c r="T365">
        <v>0</v>
      </c>
      <c r="U365">
        <f t="array" ref="U365:AD365">[1]!'5285.TW-ChipsField3,ChipsField1,ChipsField25,CashAndStockDividend,CashDividendYieldRate,ProfitFourSeason,ProfitSingle,CName,ExchangeIndustry,CompanyPos'</f>
        <v>-3</v>
      </c>
      <c r="V365">
        <v>-57</v>
      </c>
      <c r="W365" t="str">
        <v>2022/07/12</v>
      </c>
      <c r="X365" t="str">
        <v>4.00</v>
      </c>
      <c r="Y365">
        <v>6.54</v>
      </c>
      <c r="Z365" t="str">
        <v>4.87</v>
      </c>
      <c r="AA365" t="str">
        <v>1.02</v>
      </c>
      <c r="AB365" t="str">
        <v>界霖</v>
      </c>
      <c r="AC365" t="str">
        <v>上市半導體</v>
      </c>
      <c r="AD365" t="str">
        <v>台灣功率單體及光電導線架供應商</v>
      </c>
      <c r="AE365" t="str">
        <f t="array" ref="AE365:AH365">[1]!'5285.TW-CName,InvestorConferenceDate,DateofMeetingofShareHolders,TradingDate'</f>
        <v>界霖</v>
      </c>
      <c r="AF365" t="str">
        <v>2021/12/14</v>
      </c>
      <c r="AG365" t="str">
        <v>2022/06/21</v>
      </c>
      <c r="AH365" t="str">
        <v>2022/12/22</v>
      </c>
    </row>
    <row r="366" spans="1:34" x14ac:dyDescent="0.3">
      <c r="A366" t="str">
        <f t="array" ref="A366:J366">[1]!'5471.TW-ID,Name,MarketValue,Capital,NetIncomeGrowthRate,OperIncomeGrowthRate,FinancialStatementsTime,TFXRatio,MonthlyNetSalesYoY,RevenueMonth'</f>
        <v>5471</v>
      </c>
      <c r="B366" t="str">
        <v>松翰</v>
      </c>
      <c r="C366" t="str">
        <v>87.3</v>
      </c>
      <c r="D366" t="str">
        <v>16.79</v>
      </c>
      <c r="E366" t="str">
        <v>-52.72</v>
      </c>
      <c r="F366" t="str">
        <v>-64.86</v>
      </c>
      <c r="G366" t="str">
        <v>2022/09</v>
      </c>
      <c r="H366" t="str">
        <v>0.99</v>
      </c>
      <c r="I366" t="str">
        <v>-54.53</v>
      </c>
      <c r="J366" t="str">
        <v>2022/11</v>
      </c>
      <c r="K366" t="str">
        <f t="array" ref="K366:T366">[1]!'5471.TW-OperatingProfitRatio,Price,PriceChangeRatio,InOutRatioNumber,Value,YearReturn,MonthReturn,WeekReturn,FinanceBalanceDif,ChipsField2'</f>
        <v>18.84</v>
      </c>
      <c r="L366">
        <v>52</v>
      </c>
      <c r="M366">
        <v>-2.62</v>
      </c>
      <c r="N366" t="str">
        <v>32.92%</v>
      </c>
      <c r="O366" t="str">
        <v>1.32億</v>
      </c>
      <c r="P366" t="str">
        <v>-36.44</v>
      </c>
      <c r="Q366" t="str">
        <v>+7.66</v>
      </c>
      <c r="R366" t="str">
        <v>+3.17</v>
      </c>
      <c r="S366">
        <v>643</v>
      </c>
      <c r="T366">
        <v>0</v>
      </c>
      <c r="U366">
        <f t="array" ref="U366:AD366">[1]!'5471.TW-ChipsField3,ChipsField1,ChipsField25,CashAndStockDividend,CashDividendYieldRate,ProfitFourSeason,ProfitSingle,CName,ExchangeIndustry,CompanyPos'</f>
        <v>31</v>
      </c>
      <c r="V366">
        <v>-579</v>
      </c>
      <c r="W366" t="str">
        <v>2022/07/21</v>
      </c>
      <c r="X366" t="str">
        <v>7.00</v>
      </c>
      <c r="Y366">
        <v>13.46</v>
      </c>
      <c r="Z366" t="str">
        <v>5.01</v>
      </c>
      <c r="AA366" t="str">
        <v>0.56</v>
      </c>
      <c r="AB366" t="str">
        <v>松翰</v>
      </c>
      <c r="AC366" t="str">
        <v>上市半導體</v>
      </c>
      <c r="AD366" t="str">
        <v>為語音及多媒體IC設計專業廠商</v>
      </c>
      <c r="AE366" t="str">
        <f t="array" ref="AE366:AH366">[1]!'5471.TW-CName,InvestorConferenceDate,DateofMeetingofShareHolders,TradingDate'</f>
        <v>松翰</v>
      </c>
      <c r="AF366" t="str">
        <v>2022/11/15</v>
      </c>
      <c r="AG366" t="str">
        <v>2022/06/21</v>
      </c>
      <c r="AH366" t="str">
        <v>2022/12/22</v>
      </c>
    </row>
    <row r="367" spans="1:34" x14ac:dyDescent="0.3">
      <c r="A367" t="str">
        <f t="array" ref="A367:J367">[1]!'6202.TW-ID,Name,MarketValue,Capital,NetIncomeGrowthRate,OperIncomeGrowthRate,FinancialStatementsTime,TFXRatio,MonthlyNetSalesYoY,RevenueMonth'</f>
        <v>6202</v>
      </c>
      <c r="B367" t="str">
        <v>盛群</v>
      </c>
      <c r="C367" t="str">
        <v>152.9</v>
      </c>
      <c r="D367" t="str">
        <v>22.62</v>
      </c>
      <c r="E367" t="str">
        <v>-30.12</v>
      </c>
      <c r="F367" t="str">
        <v>-8.60</v>
      </c>
      <c r="G367" t="str">
        <v>2022/09</v>
      </c>
      <c r="H367" t="str">
        <v>-19.78</v>
      </c>
      <c r="I367" t="str">
        <v>-49.28</v>
      </c>
      <c r="J367" t="str">
        <v>2022/11</v>
      </c>
      <c r="K367" t="str">
        <f t="array" ref="K367:T367">[1]!'6202.TW-OperatingProfitRatio,Price,PriceChangeRatio,InOutRatioNumber,Value,YearReturn,MonthReturn,WeekReturn,FinanceBalanceDif,ChipsField2'</f>
        <v>24.72</v>
      </c>
      <c r="L367">
        <v>67.599999999999994</v>
      </c>
      <c r="M367">
        <v>0.75</v>
      </c>
      <c r="N367" t="str">
        <v>51.54%</v>
      </c>
      <c r="O367" t="str">
        <v>8731萬</v>
      </c>
      <c r="P367" t="str">
        <v>-28.88</v>
      </c>
      <c r="Q367" t="str">
        <v>-4.52</v>
      </c>
      <c r="R367" t="str">
        <v>-1.89</v>
      </c>
      <c r="S367">
        <v>-212</v>
      </c>
      <c r="T367">
        <v>-2</v>
      </c>
      <c r="U367">
        <f t="array" ref="U367:AD367">[1]!'6202.TW-ChipsField3,ChipsField1,ChipsField25,CashAndStockDividend,CashDividendYieldRate,ProfitFourSeason,ProfitSingle,CName,ExchangeIndustry,CompanyPos'</f>
        <v>-84</v>
      </c>
      <c r="V367">
        <v>-1071</v>
      </c>
      <c r="W367" t="str">
        <v>2022/08/09</v>
      </c>
      <c r="X367" t="str">
        <v>8.12</v>
      </c>
      <c r="Y367">
        <v>12.01</v>
      </c>
      <c r="Z367" t="str">
        <v>6.90</v>
      </c>
      <c r="AA367" t="str">
        <v>0.99</v>
      </c>
      <c r="AB367" t="str">
        <v>盛群</v>
      </c>
      <c r="AC367" t="str">
        <v>上市半導體</v>
      </c>
      <c r="AD367" t="str">
        <v>全球MCU大廠</v>
      </c>
      <c r="AE367" t="str">
        <f t="array" ref="AE367:AH367">[1]!'6202.TW-CName,InvestorConferenceDate,DateofMeetingofShareHolders,TradingDate'</f>
        <v>盛群</v>
      </c>
      <c r="AF367" t="str">
        <v>2022/11/01</v>
      </c>
      <c r="AG367" t="str">
        <v>2022/05/24</v>
      </c>
      <c r="AH367" t="str">
        <v>2022/12/22</v>
      </c>
    </row>
    <row r="368" spans="1:34" x14ac:dyDescent="0.3">
      <c r="A368" t="str">
        <f t="array" ref="A368:J368">[1]!'6239.TW-ID,Name,MarketValue,Capital,NetIncomeGrowthRate,OperIncomeGrowthRate,FinancialStatementsTime,TFXRatio,MonthlyNetSalesYoY,RevenueMonth'</f>
        <v>6239</v>
      </c>
      <c r="B368" t="str">
        <v>力成</v>
      </c>
      <c r="C368" t="str">
        <v>613.4</v>
      </c>
      <c r="D368" t="str">
        <v>75.91</v>
      </c>
      <c r="E368" t="str">
        <v>7.87</v>
      </c>
      <c r="F368" t="str">
        <v>-2.73</v>
      </c>
      <c r="G368" t="str">
        <v>2022/09</v>
      </c>
      <c r="H368" t="str">
        <v>-9.15</v>
      </c>
      <c r="I368" t="str">
        <v>-20.14</v>
      </c>
      <c r="J368" t="str">
        <v>2022/11</v>
      </c>
      <c r="K368" t="str">
        <f t="array" ref="K368:T368">[1]!'6239.TW-OperatingProfitRatio,Price,PriceChangeRatio,InOutRatioNumber,Value,YearReturn,MonthReturn,WeekReturn,FinanceBalanceDif,ChipsField2'</f>
        <v>15.75</v>
      </c>
      <c r="L368">
        <v>80.8</v>
      </c>
      <c r="M368">
        <v>1.38</v>
      </c>
      <c r="N368" t="str">
        <v>33.50%</v>
      </c>
      <c r="O368" t="str">
        <v>5.44億</v>
      </c>
      <c r="P368" t="str">
        <v>-10.48</v>
      </c>
      <c r="Q368" t="str">
        <v>-1.70</v>
      </c>
      <c r="R368" t="str">
        <v>-3.58</v>
      </c>
      <c r="S368">
        <v>-279</v>
      </c>
      <c r="T368">
        <v>6370</v>
      </c>
      <c r="U368">
        <f t="array" ref="U368:AD368">[1]!'6239.TW-ChipsField3,ChipsField1,ChipsField25,CashAndStockDividend,CashDividendYieldRate,ProfitFourSeason,ProfitSingle,CName,ExchangeIndustry,CompanyPos'</f>
        <v>-29</v>
      </c>
      <c r="V368">
        <v>-7004</v>
      </c>
      <c r="W368" t="str">
        <v>2022/07/29</v>
      </c>
      <c r="X368" t="str">
        <v>6.80</v>
      </c>
      <c r="Y368">
        <v>8.42</v>
      </c>
      <c r="Z368" t="str">
        <v>13.03</v>
      </c>
      <c r="AA368" t="str">
        <v>3.20</v>
      </c>
      <c r="AB368" t="str">
        <v>力成</v>
      </c>
      <c r="AC368" t="str">
        <v>上市半導體</v>
      </c>
      <c r="AD368" t="str">
        <v>全球前五大封測廠</v>
      </c>
      <c r="AE368" t="str">
        <f t="array" ref="AE368:AH368">[1]!'6239.TW-CName,InvestorConferenceDate,DateofMeetingofShareHolders,TradingDate'</f>
        <v>力成</v>
      </c>
      <c r="AF368" t="str">
        <v>2022/10/28</v>
      </c>
      <c r="AG368" t="str">
        <v>2022/05/27</v>
      </c>
      <c r="AH368" t="str">
        <v>2022/12/22</v>
      </c>
    </row>
    <row r="369" spans="1:34" x14ac:dyDescent="0.3">
      <c r="A369" t="str">
        <f t="array" ref="A369:J369">[1]!'6243.TW-ID,Name,MarketValue,Capital,NetIncomeGrowthRate,OperIncomeGrowthRate,FinancialStatementsTime,TFXRatio,MonthlyNetSalesYoY,RevenueMonth'</f>
        <v>6243</v>
      </c>
      <c r="B369" t="str">
        <v>迅杰</v>
      </c>
      <c r="C369" t="str">
        <v>10.7</v>
      </c>
      <c r="D369" t="str">
        <v>4.53</v>
      </c>
      <c r="E369" t="str">
        <v>74.69</v>
      </c>
      <c r="F369" t="str">
        <v>-107.16</v>
      </c>
      <c r="G369" t="str">
        <v>2022/09</v>
      </c>
      <c r="H369" t="str">
        <v>34.32</v>
      </c>
      <c r="I369" t="str">
        <v>13.13</v>
      </c>
      <c r="J369" t="str">
        <v>2022/11</v>
      </c>
      <c r="K369" t="str">
        <f t="array" ref="K369:T369">[1]!'6243.TW-OperatingProfitRatio,Price,PriceChangeRatio,InOutRatioNumber,Value,YearReturn,MonthReturn,WeekReturn,FinanceBalanceDif,ChipsField2'</f>
        <v>-0.70</v>
      </c>
      <c r="L369">
        <v>28.65</v>
      </c>
      <c r="M369">
        <v>1.06</v>
      </c>
      <c r="N369" t="str">
        <v>48.91%</v>
      </c>
      <c r="O369" t="str">
        <v>535萬</v>
      </c>
      <c r="P369" t="str">
        <v>-50.02</v>
      </c>
      <c r="Q369" t="str">
        <v>+2.14</v>
      </c>
      <c r="R369" t="str">
        <v>-1.21</v>
      </c>
      <c r="S369">
        <v>4</v>
      </c>
      <c r="T369">
        <v>0</v>
      </c>
      <c r="U369">
        <f t="array" ref="U369:AD369">[1]!'6243.TW-ChipsField3,ChipsField1,ChipsField25,CashAndStockDividend,CashDividendYieldRate,ProfitFourSeason,ProfitSingle,CName,ExchangeIndustry,CompanyPos'</f>
        <v>0</v>
      </c>
      <c r="V369">
        <v>24</v>
      </c>
      <c r="W369" t="str">
        <v>2022/06/30</v>
      </c>
      <c r="X369" t="str">
        <v>1.17</v>
      </c>
      <c r="Y369">
        <v>4.08</v>
      </c>
      <c r="Z369" t="str">
        <v>2.21</v>
      </c>
      <c r="AA369" t="str">
        <v>0.63</v>
      </c>
      <c r="AB369" t="str">
        <v>迅杰</v>
      </c>
      <c r="AC369" t="str">
        <v>上市半導體</v>
      </c>
      <c r="AD369" t="str">
        <v>全球第二大鍵盤控制IC設計供應商</v>
      </c>
      <c r="AE369" t="str">
        <f t="array" ref="AE369:AH369">[1]!'6243.TW-CName,InvestorConferenceDate,DateofMeetingofShareHolders,TradingDate'</f>
        <v>迅杰</v>
      </c>
      <c r="AF369" t="str">
        <v>2022/09/28</v>
      </c>
      <c r="AG369" t="str">
        <v>2022/06/09</v>
      </c>
      <c r="AH369" t="str">
        <v>2022/12/22</v>
      </c>
    </row>
    <row r="370" spans="1:34" x14ac:dyDescent="0.3">
      <c r="A370" t="str">
        <f t="array" ref="A370:J370">[1]!'6257.TW-ID,Name,MarketValue,Capital,NetIncomeGrowthRate,OperIncomeGrowthRate,FinancialStatementsTime,TFXRatio,MonthlyNetSalesYoY,RevenueMonth'</f>
        <v>6257</v>
      </c>
      <c r="B370" t="str">
        <v>矽格</v>
      </c>
      <c r="C370" t="str">
        <v>222.4</v>
      </c>
      <c r="D370" t="str">
        <v>45.67</v>
      </c>
      <c r="E370" t="str">
        <v>40.84</v>
      </c>
      <c r="F370" t="str">
        <v>17.37</v>
      </c>
      <c r="G370" t="str">
        <v>2022/09</v>
      </c>
      <c r="H370" t="str">
        <v>-1.30</v>
      </c>
      <c r="I370" t="str">
        <v>4.89</v>
      </c>
      <c r="J370" t="str">
        <v>2022/11</v>
      </c>
      <c r="K370" t="str">
        <f t="array" ref="K370:T370">[1]!'6257.TW-OperatingProfitRatio,Price,PriceChangeRatio,InOutRatioNumber,Value,YearReturn,MonthReturn,WeekReturn,FinanceBalanceDif,ChipsField2'</f>
        <v>21.33</v>
      </c>
      <c r="L370">
        <v>48.7</v>
      </c>
      <c r="M370">
        <v>1.04</v>
      </c>
      <c r="N370" t="str">
        <v>56.38%</v>
      </c>
      <c r="O370" t="str">
        <v>2119萬</v>
      </c>
      <c r="P370" t="str">
        <v>-8.41</v>
      </c>
      <c r="Q370" t="str">
        <v>-1.81</v>
      </c>
      <c r="R370" t="str">
        <v>-3.18</v>
      </c>
      <c r="S370">
        <v>25</v>
      </c>
      <c r="T370">
        <v>39</v>
      </c>
      <c r="U370">
        <f t="array" ref="U370:AD370">[1]!'6257.TW-ChipsField3,ChipsField1,ChipsField25,CashAndStockDividend,CashDividendYieldRate,ProfitFourSeason,ProfitSingle,CName,ExchangeIndustry,CompanyPos'</f>
        <v>-59</v>
      </c>
      <c r="V370">
        <v>-214</v>
      </c>
      <c r="W370" t="str">
        <v>2022/07/14</v>
      </c>
      <c r="X370" t="str">
        <v>4.13</v>
      </c>
      <c r="Y370">
        <v>8.48</v>
      </c>
      <c r="Z370" t="str">
        <v>7.71</v>
      </c>
      <c r="AA370" t="str">
        <v>2.17</v>
      </c>
      <c r="AB370" t="str">
        <v>矽格</v>
      </c>
      <c r="AC370" t="str">
        <v>上市半導體</v>
      </c>
      <c r="AD370" t="str">
        <v>RF及混合IC專業測試廠商</v>
      </c>
      <c r="AE370" t="str">
        <f t="array" ref="AE370:AH370">[1]!'6257.TW-CName,InvestorConferenceDate,DateofMeetingofShareHolders,TradingDate'</f>
        <v>矽格</v>
      </c>
      <c r="AF370" t="str">
        <v>2022/08/30</v>
      </c>
      <c r="AG370" t="str">
        <v>2022/06/09</v>
      </c>
      <c r="AH370" t="str">
        <v>2022/12/22</v>
      </c>
    </row>
    <row r="371" spans="1:34" x14ac:dyDescent="0.3">
      <c r="A371" t="str">
        <f t="array" ref="A371:J371">[1]!'6271.TW-ID,Name,MarketValue,Capital,NetIncomeGrowthRate,OperIncomeGrowthRate,FinancialStatementsTime,TFXRatio,MonthlyNetSalesYoY,RevenueMonth'</f>
        <v>6271</v>
      </c>
      <c r="B371" t="str">
        <v>同欣電</v>
      </c>
      <c r="C371" t="str">
        <v>337.7</v>
      </c>
      <c r="D371" t="str">
        <v>16.08</v>
      </c>
      <c r="E371" t="str">
        <v>31.77</v>
      </c>
      <c r="F371" t="str">
        <v>17.26</v>
      </c>
      <c r="G371" t="str">
        <v>2022/09</v>
      </c>
      <c r="H371" t="str">
        <v>-6.34</v>
      </c>
      <c r="I371" t="str">
        <v>-13.94</v>
      </c>
      <c r="J371" t="str">
        <v>2022/11</v>
      </c>
      <c r="K371" t="str">
        <f t="array" ref="K371:T371">[1]!'6271.TW-OperatingProfitRatio,Price,PriceChangeRatio,InOutRatioNumber,Value,YearReturn,MonthReturn,WeekReturn,FinanceBalanceDif,ChipsField2'</f>
        <v>26.91</v>
      </c>
      <c r="L371">
        <v>210</v>
      </c>
      <c r="M371">
        <v>7.69</v>
      </c>
      <c r="N371" t="str">
        <v>59.83%</v>
      </c>
      <c r="O371" t="str">
        <v>10.3億</v>
      </c>
      <c r="P371" t="str">
        <v>-29.62</v>
      </c>
      <c r="Q371" t="str">
        <v>-2.07</v>
      </c>
      <c r="R371" t="str">
        <v>-3.89</v>
      </c>
      <c r="S371">
        <v>109</v>
      </c>
      <c r="T371">
        <v>503</v>
      </c>
      <c r="U371">
        <f t="array" ref="U371:AD371">[1]!'6271.TW-ChipsField3,ChipsField1,ChipsField25,CashAndStockDividend,CashDividendYieldRate,ProfitFourSeason,ProfitSingle,CName,ExchangeIndustry,CompanyPos'</f>
        <v>-80</v>
      </c>
      <c r="V371">
        <v>-951</v>
      </c>
      <c r="W371" t="str">
        <v>2022/07/04</v>
      </c>
      <c r="X371" t="str">
        <v>9.00</v>
      </c>
      <c r="Y371">
        <v>4.29</v>
      </c>
      <c r="Z371" t="str">
        <v>19.10</v>
      </c>
      <c r="AA371" t="str">
        <v>4.32</v>
      </c>
      <c r="AB371" t="str">
        <v>同欣電</v>
      </c>
      <c r="AC371" t="str">
        <v>上市半導體</v>
      </c>
      <c r="AD371" t="str">
        <v>台灣最大LED陶瓷基板廠</v>
      </c>
      <c r="AE371" t="str">
        <f t="array" ref="AE371:AH371">[1]!'6271.TW-CName,InvestorConferenceDate,DateofMeetingofShareHolders,TradingDate'</f>
        <v>同欣電</v>
      </c>
      <c r="AF371" t="str">
        <v>2022/11/10</v>
      </c>
      <c r="AG371" t="str">
        <v>2022/06/08</v>
      </c>
      <c r="AH371" t="str">
        <v>2022/12/22</v>
      </c>
    </row>
    <row r="372" spans="1:34" x14ac:dyDescent="0.3">
      <c r="A372" t="str">
        <f t="array" ref="A372:J372">[1]!'6415.TW-ID,Name,MarketValue,Capital,NetIncomeGrowthRate,OperIncomeGrowthRate,FinancialStatementsTime,TFXRatio,MonthlyNetSalesYoY,RevenueMonth'</f>
        <v>6415</v>
      </c>
      <c r="B372" t="str">
        <v>矽力*-KY</v>
      </c>
      <c r="C372" t="str">
        <v>1671.8</v>
      </c>
      <c r="D372" t="str">
        <v>9.52</v>
      </c>
      <c r="E372" t="str">
        <v>19.59</v>
      </c>
      <c r="F372" t="str">
        <v>12.72</v>
      </c>
      <c r="G372" t="str">
        <v>2022/09</v>
      </c>
      <c r="H372" t="str">
        <v>0.36</v>
      </c>
      <c r="I372" t="str">
        <v>-18.20</v>
      </c>
      <c r="J372" t="str">
        <v>2022/11</v>
      </c>
      <c r="K372" t="str">
        <f t="array" ref="K372:T372">[1]!'6415.TW-OperatingProfitRatio,Price,PriceChangeRatio,InOutRatioNumber,Value,YearReturn,MonthReturn,WeekReturn,FinanceBalanceDif,ChipsField2'</f>
        <v>28.06</v>
      </c>
      <c r="L372">
        <v>439</v>
      </c>
      <c r="M372">
        <v>-1.35</v>
      </c>
      <c r="N372" t="str">
        <v>52.66%</v>
      </c>
      <c r="O372" t="str">
        <v>8.91億</v>
      </c>
      <c r="P372" t="str">
        <v>-63.14</v>
      </c>
      <c r="Q372" t="str">
        <v>-9.58</v>
      </c>
      <c r="R372" t="str">
        <v>-17.48</v>
      </c>
      <c r="S372">
        <v>26</v>
      </c>
      <c r="T372">
        <v>7</v>
      </c>
      <c r="U372">
        <f t="array" ref="U372:AD372">[1]!'6415.TW-ChipsField3,ChipsField1,ChipsField25,CashAndStockDividend,CashDividendYieldRate,ProfitFourSeason,ProfitSingle,CName,ExchangeIndustry,CompanyPos'</f>
        <v>5</v>
      </c>
      <c r="V372">
        <v>-329</v>
      </c>
      <c r="W372" t="str">
        <v>2022/03/25</v>
      </c>
      <c r="X372" t="str">
        <v>17.98</v>
      </c>
      <c r="Y372">
        <v>4.0999999999999996</v>
      </c>
      <c r="Z372" t="str">
        <v>9.87</v>
      </c>
      <c r="AA372" t="str">
        <v>3.87</v>
      </c>
      <c r="AB372" t="str">
        <v>矽力*-KY</v>
      </c>
      <c r="AC372" t="str">
        <v>上市半導體</v>
      </c>
      <c r="AD372" t="str">
        <v>大陸電源管理晶片大廠</v>
      </c>
      <c r="AE372" t="str">
        <f t="array" ref="AE372:AH372">[1]!'6415.TW-CName,InvestorConferenceDate,DateofMeetingofShareHolders,TradingDate'</f>
        <v>矽力*-KY</v>
      </c>
      <c r="AF372" t="str">
        <v>2021/04/09</v>
      </c>
      <c r="AG372" t="str">
        <v>2022/05/27</v>
      </c>
      <c r="AH372" t="str">
        <v>2022/12/22</v>
      </c>
    </row>
    <row r="373" spans="1:34" x14ac:dyDescent="0.3">
      <c r="A373" t="str">
        <f t="array" ref="A373:J373">[1]!'6451.TW-ID,Name,MarketValue,Capital,NetIncomeGrowthRate,OperIncomeGrowthRate,FinancialStatementsTime,TFXRatio,MonthlyNetSalesYoY,RevenueMonth'</f>
        <v>6451</v>
      </c>
      <c r="B373" t="str">
        <v>訊芯-KY</v>
      </c>
      <c r="C373" t="str">
        <v>99.0</v>
      </c>
      <c r="D373" t="str">
        <v>10.75</v>
      </c>
      <c r="E373" t="str">
        <v>-53.33</v>
      </c>
      <c r="F373" t="str">
        <v>-182.84</v>
      </c>
      <c r="G373" t="str">
        <v>2022/09</v>
      </c>
      <c r="H373" t="str">
        <v>2.08</v>
      </c>
      <c r="I373" t="str">
        <v>60.92</v>
      </c>
      <c r="J373" t="str">
        <v>2022/11</v>
      </c>
      <c r="K373" t="str">
        <f t="array" ref="K373:T373">[1]!'6451.TW-OperatingProfitRatio,Price,PriceChangeRatio,InOutRatioNumber,Value,YearReturn,MonthReturn,WeekReturn,FinanceBalanceDif,ChipsField2'</f>
        <v>-2.80</v>
      </c>
      <c r="L373">
        <v>92.1</v>
      </c>
      <c r="M373">
        <v>-2.33</v>
      </c>
      <c r="N373" t="str">
        <v>27.07%</v>
      </c>
      <c r="O373" t="str">
        <v>1.49億</v>
      </c>
      <c r="P373" t="str">
        <v>+4.25</v>
      </c>
      <c r="Q373" t="str">
        <v>+20.55</v>
      </c>
      <c r="R373" t="str">
        <v>+0.11</v>
      </c>
      <c r="S373">
        <v>17</v>
      </c>
      <c r="T373">
        <v>0</v>
      </c>
      <c r="U373">
        <f t="array" ref="U373:AD373">[1]!'6451.TW-ChipsField3,ChipsField1,ChipsField25,CashAndStockDividend,CashDividendYieldRate,ProfitFourSeason,ProfitSingle,CName,ExchangeIndustry,CompanyPos'</f>
        <v>-6</v>
      </c>
      <c r="V373">
        <v>219</v>
      </c>
      <c r="W373" t="str">
        <v>2022/07/27</v>
      </c>
      <c r="X373" t="str">
        <v>2.56</v>
      </c>
      <c r="Y373">
        <v>2.78</v>
      </c>
      <c r="Z373" t="str">
        <v>1.68</v>
      </c>
      <c r="AA373" t="str">
        <v>1.61</v>
      </c>
      <c r="AB373" t="str">
        <v>訊芯-KY</v>
      </c>
      <c r="AC373" t="str">
        <v>上市半導體</v>
      </c>
      <c r="AD373" t="str">
        <v>鴻海旗下SiP模組封裝廠商</v>
      </c>
      <c r="AE373" t="str">
        <f t="array" ref="AE373:AH373">[1]!'6451.TW-CName,InvestorConferenceDate,DateofMeetingofShareHolders,TradingDate'</f>
        <v>訊芯-KY</v>
      </c>
      <c r="AF373" t="str">
        <v>2022/11/18</v>
      </c>
      <c r="AG373" t="str">
        <v>2022/06/23</v>
      </c>
      <c r="AH373" t="str">
        <v>2022/12/22</v>
      </c>
    </row>
    <row r="374" spans="1:34" x14ac:dyDescent="0.3">
      <c r="A374" t="str">
        <f t="array" ref="A374:J374">[1]!'6515.TW-ID,Name,MarketValue,Capital,NetIncomeGrowthRate,OperIncomeGrowthRate,FinancialStatementsTime,TFXRatio,MonthlyNetSalesYoY,RevenueMonth'</f>
        <v>6515</v>
      </c>
      <c r="B374" t="str">
        <v>穎崴</v>
      </c>
      <c r="C374" t="str">
        <v>141.6</v>
      </c>
      <c r="D374" t="str">
        <v>3.45</v>
      </c>
      <c r="E374" t="str">
        <v>177.96</v>
      </c>
      <c r="F374" t="str">
        <v>160.95</v>
      </c>
      <c r="G374" t="str">
        <v>2022/09</v>
      </c>
      <c r="H374" t="str">
        <v>17.58</v>
      </c>
      <c r="I374" t="str">
        <v>96.72</v>
      </c>
      <c r="J374" t="str">
        <v>2022/11</v>
      </c>
      <c r="K374" t="str">
        <f t="array" ref="K374:T374">[1]!'6515.TW-OperatingProfitRatio,Price,PriceChangeRatio,InOutRatioNumber,Value,YearReturn,MonthReturn,WeekReturn,FinanceBalanceDif,ChipsField2'</f>
        <v>24.00</v>
      </c>
      <c r="L374">
        <v>410</v>
      </c>
      <c r="M374">
        <v>-0.49</v>
      </c>
      <c r="N374" t="str">
        <v>46.21%</v>
      </c>
      <c r="O374" t="str">
        <v>1.60億</v>
      </c>
      <c r="P374" t="str">
        <v>+12.89</v>
      </c>
      <c r="Q374" t="str">
        <v>+14.05</v>
      </c>
      <c r="R374" t="str">
        <v>-8.79</v>
      </c>
      <c r="S374">
        <v>14</v>
      </c>
      <c r="T374">
        <v>40</v>
      </c>
      <c r="U374">
        <f t="array" ref="U374:AD374">[1]!'6515.TW-ChipsField3,ChipsField1,ChipsField25,CashAndStockDividend,CashDividendYieldRate,ProfitFourSeason,ProfitSingle,CName,ExchangeIndustry,CompanyPos'</f>
        <v>11</v>
      </c>
      <c r="V374">
        <v>-110</v>
      </c>
      <c r="W374" t="str">
        <v>2022/07/01</v>
      </c>
      <c r="X374" t="str">
        <v>10.98</v>
      </c>
      <c r="Y374">
        <v>2.68</v>
      </c>
      <c r="Z374" t="str">
        <v>27.44</v>
      </c>
      <c r="AA374" t="str">
        <v>10.76</v>
      </c>
      <c r="AB374" t="str">
        <v>穎崴</v>
      </c>
      <c r="AC374" t="str">
        <v>上市半導體</v>
      </c>
      <c r="AD374" t="str">
        <v>台灣晶圓檢測測試治具和探針卡廠</v>
      </c>
      <c r="AE374" t="str">
        <f t="array" ref="AE374:AH374">[1]!'6515.TW-CName,InvestorConferenceDate,DateofMeetingofShareHolders,TradingDate'</f>
        <v>穎崴</v>
      </c>
      <c r="AF374" t="str">
        <v>2022/08/18</v>
      </c>
      <c r="AG374" t="str">
        <v>2022/06/24</v>
      </c>
      <c r="AH374" t="str">
        <v>2022/12/22</v>
      </c>
    </row>
    <row r="375" spans="1:34" x14ac:dyDescent="0.3">
      <c r="A375" t="str">
        <f t="array" ref="A375:J375">[1]!'6525.TW-ID,Name,MarketValue,Capital,NetIncomeGrowthRate,OperIncomeGrowthRate,FinancialStatementsTime,TFXRatio,MonthlyNetSalesYoY,RevenueMonth'</f>
        <v>6525</v>
      </c>
      <c r="B375" t="str">
        <v>捷敏-KY</v>
      </c>
      <c r="C375" t="str">
        <v>89.7</v>
      </c>
      <c r="D375" t="str">
        <v>12.90</v>
      </c>
      <c r="E375" t="str">
        <v>24.50</v>
      </c>
      <c r="F375" t="str">
        <v>-15.38</v>
      </c>
      <c r="G375" t="str">
        <v>2022/09</v>
      </c>
      <c r="H375" t="str">
        <v>6.31</v>
      </c>
      <c r="I375" t="str">
        <v>6.45</v>
      </c>
      <c r="J375" t="str">
        <v>2022/11</v>
      </c>
      <c r="K375" t="str">
        <f t="array" ref="K375:T375">[1]!'6525.TW-OperatingProfitRatio,Price,PriceChangeRatio,InOutRatioNumber,Value,YearReturn,MonthReturn,WeekReturn,FinanceBalanceDif,ChipsField2'</f>
        <v>17.34</v>
      </c>
      <c r="L375">
        <v>69.5</v>
      </c>
      <c r="M375">
        <v>0</v>
      </c>
      <c r="N375" t="str">
        <v>48.05%</v>
      </c>
      <c r="O375" t="str">
        <v>538萬</v>
      </c>
      <c r="P375" t="str">
        <v>-17.95</v>
      </c>
      <c r="Q375" t="str">
        <v>+0.14</v>
      </c>
      <c r="R375" t="str">
        <v>-3.34</v>
      </c>
      <c r="S375">
        <v>-1</v>
      </c>
      <c r="T375">
        <v>0</v>
      </c>
      <c r="U375">
        <f t="array" ref="U375:AD375">[1]!'6525.TW-ChipsField3,ChipsField1,ChipsField25,CashAndStockDividend,CashDividendYieldRate,ProfitFourSeason,ProfitSingle,CName,ExchangeIndustry,CompanyPos'</f>
        <v>0</v>
      </c>
      <c r="V375">
        <v>-8</v>
      </c>
      <c r="W375" t="str">
        <v>2022/07/19</v>
      </c>
      <c r="X375" t="str">
        <v>5.50</v>
      </c>
      <c r="Y375">
        <v>7.91</v>
      </c>
      <c r="Z375" t="str">
        <v>7.89</v>
      </c>
      <c r="AA375" t="str">
        <v>2.27</v>
      </c>
      <c r="AB375" t="str">
        <v>捷敏-KY</v>
      </c>
      <c r="AC375" t="str">
        <v>上市半導體</v>
      </c>
      <c r="AD375" t="str">
        <v>全球前三大專業功率半導體封測企業</v>
      </c>
      <c r="AE375" t="str">
        <f t="array" ref="AE375:AH375">[1]!'6525.TW-CName,InvestorConferenceDate,DateofMeetingofShareHolders,TradingDate'</f>
        <v>捷敏-KY</v>
      </c>
      <c r="AF375" t="str">
        <v>2022/03/30</v>
      </c>
      <c r="AG375" t="str">
        <v>2022/06/27</v>
      </c>
      <c r="AH375" t="str">
        <v>2022/12/22</v>
      </c>
    </row>
    <row r="376" spans="1:34" x14ac:dyDescent="0.3">
      <c r="A376" t="str">
        <f t="array" ref="A376:J376">[1]!'6531.TW-ID,Name,MarketValue,Capital,NetIncomeGrowthRate,OperIncomeGrowthRate,FinancialStatementsTime,TFXRatio,MonthlyNetSalesYoY,RevenueMonth'</f>
        <v>6531</v>
      </c>
      <c r="B376" t="str">
        <v>愛普*</v>
      </c>
      <c r="C376" t="str">
        <v>274.5</v>
      </c>
      <c r="D376" t="str">
        <v>8.07</v>
      </c>
      <c r="E376" t="str">
        <v>26.62</v>
      </c>
      <c r="F376" t="str">
        <v>-24.45</v>
      </c>
      <c r="G376" t="str">
        <v>2022/09</v>
      </c>
      <c r="H376" t="str">
        <v>-17.46</v>
      </c>
      <c r="I376" t="str">
        <v>-55.82</v>
      </c>
      <c r="J376" t="str">
        <v>2022/11</v>
      </c>
      <c r="K376" t="str">
        <f t="array" ref="K376:T376">[1]!'6531.TW-OperatingProfitRatio,Price,PriceChangeRatio,InOutRatioNumber,Value,YearReturn,MonthReturn,WeekReturn,FinanceBalanceDif,ChipsField2'</f>
        <v>30.90</v>
      </c>
      <c r="L376">
        <v>170</v>
      </c>
      <c r="M376">
        <v>-1.1599999999999999</v>
      </c>
      <c r="N376" t="str">
        <v>31.38%</v>
      </c>
      <c r="O376" t="str">
        <v>2.59億</v>
      </c>
      <c r="P376" t="str">
        <v>-64.43</v>
      </c>
      <c r="Q376" t="str">
        <v>-17.87</v>
      </c>
      <c r="R376" t="str">
        <v>-10.76</v>
      </c>
      <c r="S376">
        <v>-57</v>
      </c>
      <c r="T376">
        <v>-160</v>
      </c>
      <c r="U376">
        <f t="array" ref="U376:AD376">[1]!'6531.TW-ChipsField3,ChipsField1,ChipsField25,CashAndStockDividend,CashDividendYieldRate,ProfitFourSeason,ProfitSingle,CName,ExchangeIndustry,CompanyPos'</f>
        <v>-45</v>
      </c>
      <c r="V376">
        <v>177</v>
      </c>
      <c r="W376" t="str">
        <v>2022/06/21</v>
      </c>
      <c r="X376" t="str">
        <v>6.00</v>
      </c>
      <c r="Y376">
        <v>3.53</v>
      </c>
      <c r="Z376" t="str">
        <v>15.39</v>
      </c>
      <c r="AA376" t="str">
        <v>4.32</v>
      </c>
      <c r="AB376" t="str">
        <v>愛普*</v>
      </c>
      <c r="AC376" t="str">
        <v>上市半導體</v>
      </c>
      <c r="AD376" t="str">
        <v>從事行動記憶體IC設計及IP設計的公司</v>
      </c>
      <c r="AE376" t="str">
        <f t="array" ref="AE376:AH376">[1]!'6531.TW-CName,InvestorConferenceDate,DateofMeetingofShareHolders,TradingDate'</f>
        <v>愛普*</v>
      </c>
      <c r="AF376" t="str">
        <v>2022/11/01</v>
      </c>
      <c r="AG376" t="str">
        <v>2022/05/27</v>
      </c>
      <c r="AH376" t="str">
        <v>2022/12/22</v>
      </c>
    </row>
    <row r="377" spans="1:34" x14ac:dyDescent="0.3">
      <c r="A377" t="str">
        <f t="array" ref="A377:J377">[1]!'6533.TW-ID,Name,MarketValue,Capital,NetIncomeGrowthRate,OperIncomeGrowthRate,FinancialStatementsTime,TFXRatio,MonthlyNetSalesYoY,RevenueMonth'</f>
        <v>6533</v>
      </c>
      <c r="B377" t="str">
        <v>晶心科</v>
      </c>
      <c r="C377" t="str">
        <v>254.8</v>
      </c>
      <c r="D377" t="str">
        <v>5.07</v>
      </c>
      <c r="E377" t="str">
        <v>271.23</v>
      </c>
      <c r="F377" t="str">
        <v>-136.22</v>
      </c>
      <c r="G377" t="str">
        <v>2022/09</v>
      </c>
      <c r="H377" t="str">
        <v>-2.14</v>
      </c>
      <c r="I377" t="str">
        <v>112.13</v>
      </c>
      <c r="J377" t="str">
        <v>2022/11</v>
      </c>
      <c r="K377" t="str">
        <f t="array" ref="K377:T377">[1]!'6533.TW-OperatingProfitRatio,Price,PriceChangeRatio,InOutRatioNumber,Value,YearReturn,MonthReturn,WeekReturn,FinanceBalanceDif,ChipsField2'</f>
        <v>-6.16</v>
      </c>
      <c r="L377">
        <v>503</v>
      </c>
      <c r="M377">
        <v>-2.33</v>
      </c>
      <c r="N377" t="str">
        <v>41.08%</v>
      </c>
      <c r="O377" t="str">
        <v>21.1億</v>
      </c>
      <c r="P377" t="str">
        <v>-4.47</v>
      </c>
      <c r="Q377" t="str">
        <v>-8.88</v>
      </c>
      <c r="R377" t="str">
        <v>-7.54</v>
      </c>
      <c r="S377">
        <v>119</v>
      </c>
      <c r="T377">
        <v>0</v>
      </c>
      <c r="U377">
        <f t="array" ref="U377:AD377">[1]!'6533.TW-ChipsField3,ChipsField1,ChipsField25,CashAndStockDividend,CashDividendYieldRate,ProfitFourSeason,ProfitSingle,CName,ExchangeIndustry,CompanyPos'</f>
        <v>-10</v>
      </c>
      <c r="V377">
        <v>-211</v>
      </c>
      <c r="W377" t="str">
        <v>2022/06/22</v>
      </c>
      <c r="X377" t="str">
        <v>2.85</v>
      </c>
      <c r="Y377">
        <v>0.56999999999999995</v>
      </c>
      <c r="Z377" t="str">
        <v>10.53</v>
      </c>
      <c r="AA377" t="str">
        <v>5.77</v>
      </c>
      <c r="AB377" t="str">
        <v>晶心科</v>
      </c>
      <c r="AC377" t="str">
        <v>上市半導體</v>
      </c>
      <c r="AD377" t="str">
        <v>聯發科旗下嵌入式微處理器核心IP設計公司</v>
      </c>
      <c r="AE377" t="str">
        <f t="array" ref="AE377:AH377">[1]!'6533.TW-CName,InvestorConferenceDate,DateofMeetingofShareHolders,TradingDate'</f>
        <v>晶心科</v>
      </c>
      <c r="AF377" t="str">
        <v>2022/09/15</v>
      </c>
      <c r="AG377" t="str">
        <v>2022/05/26</v>
      </c>
      <c r="AH377" t="str">
        <v>2022/12/22</v>
      </c>
    </row>
    <row r="378" spans="1:34" x14ac:dyDescent="0.3">
      <c r="A378" t="str">
        <f t="array" ref="A378:J378">[1]!'6552.TW-ID,Name,MarketValue,Capital,NetIncomeGrowthRate,OperIncomeGrowthRate,FinancialStatementsTime,TFXRatio,MonthlyNetSalesYoY,RevenueMonth'</f>
        <v>6552</v>
      </c>
      <c r="B378" t="str">
        <v>易華電</v>
      </c>
      <c r="C378" t="str">
        <v>25.8</v>
      </c>
      <c r="D378" t="str">
        <v>8.30</v>
      </c>
      <c r="E378" t="str">
        <v>-54.61</v>
      </c>
      <c r="F378" t="str">
        <v>-84.81</v>
      </c>
      <c r="G378" t="str">
        <v>2022/09</v>
      </c>
      <c r="H378" t="str">
        <v>23.41</v>
      </c>
      <c r="I378" t="str">
        <v>-25.07</v>
      </c>
      <c r="J378" t="str">
        <v>2022/11</v>
      </c>
      <c r="K378" t="str">
        <f t="array" ref="K378:T378">[1]!'6552.TW-OperatingProfitRatio,Price,PriceChangeRatio,InOutRatioNumber,Value,YearReturn,MonthReturn,WeekReturn,FinanceBalanceDif,ChipsField2'</f>
        <v>2.76</v>
      </c>
      <c r="L378">
        <v>31.1</v>
      </c>
      <c r="M378">
        <v>-1.27</v>
      </c>
      <c r="N378" t="str">
        <v>52.50%</v>
      </c>
      <c r="O378" t="str">
        <v>250萬</v>
      </c>
      <c r="P378" t="str">
        <v>-38.45</v>
      </c>
      <c r="Q378" t="str">
        <v>-0.96</v>
      </c>
      <c r="R378" t="str">
        <v>-4.31</v>
      </c>
      <c r="S378">
        <v>-4</v>
      </c>
      <c r="T378">
        <v>0</v>
      </c>
      <c r="U378">
        <f t="array" ref="U378:AD378">[1]!'6552.TW-ChipsField3,ChipsField1,ChipsField25,CashAndStockDividend,CashDividendYieldRate,ProfitFourSeason,ProfitSingle,CName,ExchangeIndustry,CompanyPos'</f>
        <v>-2</v>
      </c>
      <c r="V378">
        <v>-1</v>
      </c>
      <c r="W378" t="str">
        <v>2022/09/06</v>
      </c>
      <c r="X378" t="str">
        <v>2.00</v>
      </c>
      <c r="Y378">
        <v>6.43</v>
      </c>
      <c r="Z378" t="str">
        <v>2.05</v>
      </c>
      <c r="AA378" t="str">
        <v>0.00</v>
      </c>
      <c r="AB378" t="str">
        <v>易華電</v>
      </c>
      <c r="AC378" t="str">
        <v>上市半導體</v>
      </c>
      <c r="AD378" t="str">
        <v>長華轉投資之面板驅動IC用高階軟性基板廠</v>
      </c>
      <c r="AE378" t="str">
        <f t="array" ref="AE378:AH378">[1]!'6552.TW-CName,InvestorConferenceDate,DateofMeetingofShareHolders,TradingDate'</f>
        <v>易華電</v>
      </c>
      <c r="AF378" t="str">
        <v>2022/11/29</v>
      </c>
      <c r="AG378" t="str">
        <v>2022/06/09</v>
      </c>
      <c r="AH378" t="str">
        <v>2022/12/22</v>
      </c>
    </row>
    <row r="379" spans="1:34" x14ac:dyDescent="0.3">
      <c r="A379" t="str">
        <f t="array" ref="A379:J379">[1]!'6573.TW-ID,Name,MarketValue,Capital,NetIncomeGrowthRate,OperIncomeGrowthRate,FinancialStatementsTime,TFXRatio,MonthlyNetSalesYoY,RevenueMonth'</f>
        <v>6573</v>
      </c>
      <c r="B379" t="str">
        <v>虹揚-KY</v>
      </c>
      <c r="C379" t="str">
        <v>11.1</v>
      </c>
      <c r="D379" t="str">
        <v>8.05</v>
      </c>
      <c r="E379" t="str">
        <v>-44.44</v>
      </c>
      <c r="F379" t="str">
        <v>-127.35</v>
      </c>
      <c r="G379" t="str">
        <v>2022/09</v>
      </c>
      <c r="H379" t="str">
        <v>26.14</v>
      </c>
      <c r="I379" t="str">
        <v>-40.02</v>
      </c>
      <c r="J379" t="str">
        <v>2022/11</v>
      </c>
      <c r="K379" t="str">
        <f t="array" ref="K379:T379">[1]!'6573.TW-OperatingProfitRatio,Price,PriceChangeRatio,InOutRatioNumber,Value,YearReturn,MonthReturn,WeekReturn,FinanceBalanceDif,ChipsField2'</f>
        <v>-13.60</v>
      </c>
      <c r="L379">
        <v>13.8</v>
      </c>
      <c r="M379">
        <v>1.1000000000000001</v>
      </c>
      <c r="N379" t="str">
        <v>79.68%</v>
      </c>
      <c r="O379" t="str">
        <v>937萬</v>
      </c>
      <c r="P379" t="str">
        <v>-37.84</v>
      </c>
      <c r="Q379" t="str">
        <v>+2.99</v>
      </c>
      <c r="R379" t="str">
        <v>+3.37</v>
      </c>
      <c r="S379">
        <v>-9</v>
      </c>
      <c r="T379">
        <v>0</v>
      </c>
      <c r="U379">
        <f t="array" ref="U379:AD379">[1]!'6573.TW-ChipsField3,ChipsField1,ChipsField25,CashAndStockDividend,CashDividendYieldRate,ProfitFourSeason,ProfitSingle,CName,ExchangeIndustry,CompanyPos'</f>
        <v>0</v>
      </c>
      <c r="V379">
        <v>2</v>
      </c>
      <c r="W379" t="str">
        <v>--</v>
      </c>
      <c r="X379" t="str">
        <v>0.00</v>
      </c>
      <c r="Y379">
        <v>0</v>
      </c>
      <c r="Z379" t="str">
        <v>-2.36</v>
      </c>
      <c r="AA379" t="str">
        <v>-0.55</v>
      </c>
      <c r="AB379" t="str">
        <v>虹揚-KY</v>
      </c>
      <c r="AC379" t="str">
        <v>上市半導體</v>
      </c>
      <c r="AD379" t="str">
        <v>二極體及橋式整流器製造商</v>
      </c>
      <c r="AE379" t="str">
        <f t="array" ref="AE379:AH379">[1]!'6573.TW-CName,InvestorConferenceDate,DateofMeetingofShareHolders,TradingDate'</f>
        <v>虹揚-KY</v>
      </c>
      <c r="AF379" t="str">
        <v>2022/12/06</v>
      </c>
      <c r="AG379" t="str">
        <v>2022/06/22</v>
      </c>
      <c r="AH379" t="str">
        <v>2022/12/22</v>
      </c>
    </row>
    <row r="380" spans="1:34" x14ac:dyDescent="0.3">
      <c r="A380" t="str">
        <f t="array" ref="A380:J380">[1]!'6695.TW-ID,Name,MarketValue,Capital,NetIncomeGrowthRate,OperIncomeGrowthRate,FinancialStatementsTime,TFXRatio,MonthlyNetSalesYoY,RevenueMonth'</f>
        <v>6695</v>
      </c>
      <c r="B380" t="str">
        <v>芯鼎</v>
      </c>
      <c r="C380" t="str">
        <v>35.8</v>
      </c>
      <c r="D380" t="str">
        <v>9.51</v>
      </c>
      <c r="E380" t="str">
        <v>-24.70</v>
      </c>
      <c r="F380" t="str">
        <v>-69.43</v>
      </c>
      <c r="G380" t="str">
        <v>2022/09</v>
      </c>
      <c r="H380" t="str">
        <v>-24.98</v>
      </c>
      <c r="I380" t="str">
        <v>-38.61</v>
      </c>
      <c r="J380" t="str">
        <v>2022/11</v>
      </c>
      <c r="K380" t="str">
        <f t="array" ref="K380:T380">[1]!'6695.TW-OperatingProfitRatio,Price,PriceChangeRatio,InOutRatioNumber,Value,YearReturn,MonthReturn,WeekReturn,FinanceBalanceDif,ChipsField2'</f>
        <v>2.55</v>
      </c>
      <c r="L380">
        <v>42.05</v>
      </c>
      <c r="M380">
        <v>0.72</v>
      </c>
      <c r="N380" t="str">
        <v>27.16%</v>
      </c>
      <c r="O380" t="str">
        <v>986萬</v>
      </c>
      <c r="P380" t="str">
        <v>--</v>
      </c>
      <c r="Q380" t="str">
        <v>+2.44</v>
      </c>
      <c r="R380" t="str">
        <v>-8.59</v>
      </c>
      <c r="S380">
        <v>0</v>
      </c>
      <c r="T380">
        <v>0</v>
      </c>
      <c r="U380">
        <f t="array" ref="U380:AD380">[1]!'6695.TW-ChipsField3,ChipsField1,ChipsField25,CashAndStockDividend,CashDividendYieldRate,ProfitFourSeason,ProfitSingle,CName,ExchangeIndustry,CompanyPos'</f>
        <v>0</v>
      </c>
      <c r="V380">
        <v>-24</v>
      </c>
      <c r="W380" t="str">
        <v>--</v>
      </c>
      <c r="X380" t="str">
        <v>0.00</v>
      </c>
      <c r="Y380">
        <v>0</v>
      </c>
      <c r="Z380" t="str">
        <v>1.35</v>
      </c>
      <c r="AA380" t="str">
        <v>0.29</v>
      </c>
      <c r="AB380" t="str">
        <v>芯鼎</v>
      </c>
      <c r="AC380" t="str">
        <v>上市半導體</v>
      </c>
      <c r="AD380" t="str">
        <v>凌陽旗下影像及視訊處理IC設計公司</v>
      </c>
      <c r="AE380" t="str">
        <f t="array" ref="AE380:AH380">[1]!'6695.TW-CName,InvestorConferenceDate,DateofMeetingofShareHolders,TradingDate'</f>
        <v>芯鼎</v>
      </c>
      <c r="AF380" t="str">
        <v>--</v>
      </c>
      <c r="AG380" t="str">
        <v>2022/05/03</v>
      </c>
      <c r="AH380" t="str">
        <v>2022/12/22</v>
      </c>
    </row>
    <row r="381" spans="1:34" x14ac:dyDescent="0.3">
      <c r="A381" t="str">
        <f t="array" ref="A381:J381">[1]!'6719.TW-ID,Name,MarketValue,Capital,NetIncomeGrowthRate,OperIncomeGrowthRate,FinancialStatementsTime,TFXRatio,MonthlyNetSalesYoY,RevenueMonth'</f>
        <v>6719</v>
      </c>
      <c r="B381" t="str">
        <v>力智</v>
      </c>
      <c r="C381" t="str">
        <v>202.4</v>
      </c>
      <c r="D381" t="str">
        <v>7.83</v>
      </c>
      <c r="E381" t="str">
        <v>41.99</v>
      </c>
      <c r="F381" t="str">
        <v>30.47</v>
      </c>
      <c r="G381" t="str">
        <v>2022/09</v>
      </c>
      <c r="H381" t="str">
        <v>-10.97</v>
      </c>
      <c r="I381" t="str">
        <v>-45.21</v>
      </c>
      <c r="J381" t="str">
        <v>2022/11</v>
      </c>
      <c r="K381" t="str">
        <f t="array" ref="K381:T381">[1]!'6719.TW-OperatingProfitRatio,Price,PriceChangeRatio,InOutRatioNumber,Value,YearReturn,MonthReturn,WeekReturn,FinanceBalanceDif,ChipsField2'</f>
        <v>24.72</v>
      </c>
      <c r="L381">
        <v>258.5</v>
      </c>
      <c r="M381">
        <v>0.78</v>
      </c>
      <c r="N381" t="str">
        <v>42.86%</v>
      </c>
      <c r="O381" t="str">
        <v>2.66億</v>
      </c>
      <c r="P381" t="str">
        <v>--</v>
      </c>
      <c r="Q381" t="str">
        <v>-0.58</v>
      </c>
      <c r="R381" t="str">
        <v>-7.18</v>
      </c>
      <c r="S381">
        <v>14</v>
      </c>
      <c r="T381">
        <v>8</v>
      </c>
      <c r="U381">
        <f t="array" ref="U381:AD381">[1]!'6719.TW-ChipsField3,ChipsField1,ChipsField25,CashAndStockDividend,CashDividendYieldRate,ProfitFourSeason,ProfitSingle,CName,ExchangeIndustry,CompanyPos'</f>
        <v>-1</v>
      </c>
      <c r="V381">
        <v>-23</v>
      </c>
      <c r="W381" t="str">
        <v>2022/08/30</v>
      </c>
      <c r="X381" t="str">
        <v>7.49</v>
      </c>
      <c r="Y381">
        <v>2.9</v>
      </c>
      <c r="Z381" t="str">
        <v>19.07</v>
      </c>
      <c r="AA381" t="str">
        <v>3.76</v>
      </c>
      <c r="AB381" t="str">
        <v>力智</v>
      </c>
      <c r="AC381" t="str">
        <v>上市半導體</v>
      </c>
      <c r="AD381" t="str">
        <v>華碩轉投資的電源管理IC設計公司</v>
      </c>
      <c r="AE381" t="str">
        <f t="array" ref="AE381:AH381">[1]!'6719.TW-CName,InvestorConferenceDate,DateofMeetingofShareHolders,TradingDate'</f>
        <v>力智</v>
      </c>
      <c r="AF381" t="str">
        <v>2022/11/18</v>
      </c>
      <c r="AG381" t="str">
        <v>2022/05/27</v>
      </c>
      <c r="AH381" t="str">
        <v>2022/12/22</v>
      </c>
    </row>
    <row r="382" spans="1:34" x14ac:dyDescent="0.3">
      <c r="A382" t="str">
        <f t="array" ref="A382:J382">[1]!'6756.TW-ID,Name,MarketValue,Capital,NetIncomeGrowthRate,OperIncomeGrowthRate,FinancialStatementsTime,TFXRatio,MonthlyNetSalesYoY,RevenueMonth'</f>
        <v>6756</v>
      </c>
      <c r="B382" t="str">
        <v>威鋒電子</v>
      </c>
      <c r="C382" t="str">
        <v>133.6</v>
      </c>
      <c r="D382" t="str">
        <v>6.85</v>
      </c>
      <c r="E382" t="str">
        <v>7.68</v>
      </c>
      <c r="F382" t="str">
        <v>-11.91</v>
      </c>
      <c r="G382" t="str">
        <v>2022/09</v>
      </c>
      <c r="H382" t="str">
        <v>-29.64</v>
      </c>
      <c r="I382" t="str">
        <v>-56.70</v>
      </c>
      <c r="J382" t="str">
        <v>2022/11</v>
      </c>
      <c r="K382" t="str">
        <f t="array" ref="K382:T382">[1]!'6756.TW-OperatingProfitRatio,Price,PriceChangeRatio,InOutRatioNumber,Value,YearReturn,MonthReturn,WeekReturn,FinanceBalanceDif,ChipsField2'</f>
        <v>26.66</v>
      </c>
      <c r="L382">
        <v>195</v>
      </c>
      <c r="M382">
        <v>1.04</v>
      </c>
      <c r="N382" t="str">
        <v>42.86%</v>
      </c>
      <c r="O382" t="str">
        <v>4451萬</v>
      </c>
      <c r="P382" t="str">
        <v>-60.72</v>
      </c>
      <c r="Q382" t="str">
        <v>-6.70</v>
      </c>
      <c r="R382" t="str">
        <v>-7.14</v>
      </c>
      <c r="S382">
        <v>13</v>
      </c>
      <c r="T382">
        <v>0</v>
      </c>
      <c r="U382">
        <f t="array" ref="U382:AD382">[1]!'6756.TW-ChipsField3,ChipsField1,ChipsField25,CashAndStockDividend,CashDividendYieldRate,ProfitFourSeason,ProfitSingle,CName,ExchangeIndustry,CompanyPos'</f>
        <v>-5</v>
      </c>
      <c r="V382">
        <v>30</v>
      </c>
      <c r="W382" t="str">
        <v>2022/04/07</v>
      </c>
      <c r="X382" t="str">
        <v>10.99</v>
      </c>
      <c r="Y382">
        <v>5.64</v>
      </c>
      <c r="Z382" t="str">
        <v>13.62</v>
      </c>
      <c r="AA382" t="str">
        <v>2.01</v>
      </c>
      <c r="AB382" t="str">
        <v>威鋒電子</v>
      </c>
      <c r="AC382" t="str">
        <v>上市半導體</v>
      </c>
      <c r="AD382" t="str">
        <v>威盛旗下USB高速傳輸控制晶片廠</v>
      </c>
      <c r="AE382" t="str">
        <f t="array" ref="AE382:AH382">[1]!'6756.TW-CName,InvestorConferenceDate,DateofMeetingofShareHolders,TradingDate'</f>
        <v>威鋒電子</v>
      </c>
      <c r="AF382" t="str">
        <v>2022/11/02</v>
      </c>
      <c r="AG382" t="str">
        <v>2022/06/17</v>
      </c>
      <c r="AH382" t="str">
        <v>2022/12/22</v>
      </c>
    </row>
    <row r="383" spans="1:34" x14ac:dyDescent="0.3">
      <c r="A383" t="str">
        <f t="array" ref="A383:J383">[1]!'6770.TW-ID,Name,MarketValue,Capital,NetIncomeGrowthRate,OperIncomeGrowthRate,FinancialStatementsTime,TFXRatio,MonthlyNetSalesYoY,RevenueMonth'</f>
        <v>6770</v>
      </c>
      <c r="B383" t="str">
        <v>力積電</v>
      </c>
      <c r="C383" t="str">
        <v>1318.3</v>
      </c>
      <c r="D383" t="str">
        <v>397.77</v>
      </c>
      <c r="E383" t="str">
        <v>99.30</v>
      </c>
      <c r="F383" t="str">
        <v>87.38</v>
      </c>
      <c r="G383" t="str">
        <v>2022/09</v>
      </c>
      <c r="H383" t="str">
        <v>-20.59</v>
      </c>
      <c r="I383" t="str">
        <v>-32.42</v>
      </c>
      <c r="J383" t="str">
        <v>2022/11</v>
      </c>
      <c r="K383" t="str">
        <f t="array" ref="K383:T383">[1]!'6770.TW-OperatingProfitRatio,Price,PriceChangeRatio,InOutRatioNumber,Value,YearReturn,MonthReturn,WeekReturn,FinanceBalanceDif,ChipsField2'</f>
        <v>38.10</v>
      </c>
      <c r="L383">
        <v>33.4</v>
      </c>
      <c r="M383">
        <v>2.2999999999999998</v>
      </c>
      <c r="N383" t="str">
        <v>70.46%</v>
      </c>
      <c r="O383" t="str">
        <v>6.11億</v>
      </c>
      <c r="P383" t="str">
        <v>-50.80</v>
      </c>
      <c r="Q383" t="str">
        <v>+1.67</v>
      </c>
      <c r="R383" t="str">
        <v>+0.15</v>
      </c>
      <c r="S383">
        <v>15</v>
      </c>
      <c r="T383">
        <v>6276</v>
      </c>
      <c r="U383">
        <f t="array" ref="U383:AD383">[1]!'6770.TW-ChipsField3,ChipsField1,ChipsField25,CashAndStockDividend,CashDividendYieldRate,ProfitFourSeason,ProfitSingle,CName,ExchangeIndustry,CompanyPos'</f>
        <v>-322</v>
      </c>
      <c r="V383">
        <v>-5145</v>
      </c>
      <c r="W383" t="str">
        <v>2022/08/23</v>
      </c>
      <c r="X383" t="str">
        <v>0.73</v>
      </c>
      <c r="Y383">
        <v>5.48</v>
      </c>
      <c r="Z383" t="str">
        <v>7.29</v>
      </c>
      <c r="AA383" t="str">
        <v>1.61</v>
      </c>
      <c r="AB383" t="str">
        <v>力積電</v>
      </c>
      <c r="AC383" t="str">
        <v>上市半導體</v>
      </c>
      <c r="AD383" t="str">
        <v>全球前十大晶圓代工廠之一</v>
      </c>
      <c r="AE383" t="str">
        <f t="array" ref="AE383:AH383">[1]!'6770.TW-CName,InvestorConferenceDate,DateofMeetingofShareHolders,TradingDate'</f>
        <v>力積電</v>
      </c>
      <c r="AF383" t="str">
        <v>2022/10/13</v>
      </c>
      <c r="AG383" t="str">
        <v>2022/06/17</v>
      </c>
      <c r="AH383" t="str">
        <v>2022/12/22</v>
      </c>
    </row>
    <row r="384" spans="1:34" x14ac:dyDescent="0.3">
      <c r="A384" t="str">
        <f t="array" ref="A384:J384">[1]!'6789.TW-ID,Name,MarketValue,Capital,NetIncomeGrowthRate,OperIncomeGrowthRate,FinancialStatementsTime,TFXRatio,MonthlyNetSalesYoY,RevenueMonth'</f>
        <v>6789</v>
      </c>
      <c r="B384" t="str">
        <v>采鈺</v>
      </c>
      <c r="C384" t="str">
        <v>624.7</v>
      </c>
      <c r="D384" t="str">
        <v>31.55</v>
      </c>
      <c r="E384" t="str">
        <v>-7.08</v>
      </c>
      <c r="F384" t="str">
        <v>-10.38</v>
      </c>
      <c r="G384" t="str">
        <v>2022/09</v>
      </c>
      <c r="H384" t="str">
        <v>-3.88</v>
      </c>
      <c r="I384" t="str">
        <v>-14.34</v>
      </c>
      <c r="J384" t="str">
        <v>2022/11</v>
      </c>
      <c r="K384" t="str">
        <f t="array" ref="K384:T384">[1]!'6789.TW-OperatingProfitRatio,Price,PriceChangeRatio,InOutRatioNumber,Value,YearReturn,MonthReturn,WeekReturn,FinanceBalanceDif,ChipsField2'</f>
        <v>25.73</v>
      </c>
      <c r="L384">
        <v>198</v>
      </c>
      <c r="M384">
        <v>-0.75</v>
      </c>
      <c r="N384" t="str">
        <v>32.45%</v>
      </c>
      <c r="O384" t="str">
        <v>1.69億</v>
      </c>
      <c r="P384" t="str">
        <v>--</v>
      </c>
      <c r="Q384" t="str">
        <v>-5.94</v>
      </c>
      <c r="R384" t="str">
        <v>-13.16</v>
      </c>
      <c r="S384">
        <v>0</v>
      </c>
      <c r="T384">
        <v>0</v>
      </c>
      <c r="U384">
        <f t="array" ref="U384:AD384">[1]!'6789.TW-ChipsField3,ChipsField1,ChipsField25,CashAndStockDividend,CashDividendYieldRate,ProfitFourSeason,ProfitSingle,CName,ExchangeIndustry,CompanyPos'</f>
        <v>-19</v>
      </c>
      <c r="V384">
        <v>37</v>
      </c>
      <c r="W384" t="str">
        <v>2022/07/14</v>
      </c>
      <c r="X384" t="str">
        <v>1.86</v>
      </c>
      <c r="Y384">
        <v>0.94</v>
      </c>
      <c r="Z384" t="str">
        <v>6.86</v>
      </c>
      <c r="AA384" t="str">
        <v>1.21</v>
      </c>
      <c r="AB384" t="str">
        <v>采鈺</v>
      </c>
      <c r="AC384" t="str">
        <v>上市半導體</v>
      </c>
      <c r="AD384" t="str">
        <v>台積電旗下影像感測器後段製程生產企業</v>
      </c>
      <c r="AE384" t="str">
        <f t="array" ref="AE384:AH384">[1]!'6789.TW-CName,InvestorConferenceDate,DateofMeetingofShareHolders,TradingDate'</f>
        <v>采鈺</v>
      </c>
      <c r="AF384" t="str">
        <v>2022/11/09</v>
      </c>
      <c r="AG384" t="str">
        <v>2022/05/24</v>
      </c>
      <c r="AH384" t="str">
        <v>2022/12/22</v>
      </c>
    </row>
    <row r="385" spans="1:34" x14ac:dyDescent="0.3">
      <c r="A385" t="str">
        <f t="array" ref="A385:J385">[1]!'6799.TW-ID,Name,MarketValue,Capital,NetIncomeGrowthRate,OperIncomeGrowthRate,FinancialStatementsTime,TFXRatio,MonthlyNetSalesYoY,RevenueMonth'</f>
        <v>6799</v>
      </c>
      <c r="B385" t="str">
        <v>來頡</v>
      </c>
      <c r="C385" t="str">
        <v>39.0</v>
      </c>
      <c r="D385" t="str">
        <v>4.08</v>
      </c>
      <c r="E385" t="str">
        <v>29.74</v>
      </c>
      <c r="F385" t="str">
        <v>21.85</v>
      </c>
      <c r="G385" t="str">
        <v>2022/09</v>
      </c>
      <c r="H385" t="str">
        <v>-14.73</v>
      </c>
      <c r="I385" t="str">
        <v>-22.44</v>
      </c>
      <c r="J385" t="str">
        <v>2022/11</v>
      </c>
      <c r="K385" t="str">
        <f t="array" ref="K385:T385">[1]!'6799.TW-OperatingProfitRatio,Price,PriceChangeRatio,InOutRatioNumber,Value,YearReturn,MonthReturn,WeekReturn,FinanceBalanceDif,ChipsField2'</f>
        <v>31.03</v>
      </c>
      <c r="L385">
        <v>95.5</v>
      </c>
      <c r="M385">
        <v>0</v>
      </c>
      <c r="N385" t="str">
        <v>59.32%</v>
      </c>
      <c r="O385" t="str">
        <v>1140萬</v>
      </c>
      <c r="P385" t="str">
        <v>--</v>
      </c>
      <c r="Q385" t="str">
        <v>-11.57</v>
      </c>
      <c r="R385" t="str">
        <v>-8.17</v>
      </c>
      <c r="S385">
        <v>0</v>
      </c>
      <c r="T385">
        <v>0</v>
      </c>
      <c r="U385">
        <f t="array" ref="U385:AD385">[1]!'6799.TW-ChipsField3,ChipsField1,ChipsField25,CashAndStockDividend,CashDividendYieldRate,ProfitFourSeason,ProfitSingle,CName,ExchangeIndustry,CompanyPos'</f>
        <v>0</v>
      </c>
      <c r="V385">
        <v>12</v>
      </c>
      <c r="W385" t="str">
        <v>2022/08/02</v>
      </c>
      <c r="X385" t="str">
        <v>2.73</v>
      </c>
      <c r="Y385">
        <v>2.86</v>
      </c>
      <c r="Z385" t="str">
        <v>8.68</v>
      </c>
      <c r="AA385" t="str">
        <v>1.77</v>
      </c>
      <c r="AB385" t="str">
        <v>來頡</v>
      </c>
      <c r="AC385" t="str">
        <v>上市半導體</v>
      </c>
      <c r="AD385" t="str">
        <v>台灣一家電源管理IC供應商</v>
      </c>
      <c r="AE385" t="str">
        <f t="array" ref="AE385:AH385">[1]!'6799.TW-CName,InvestorConferenceDate,DateofMeetingofShareHolders,TradingDate'</f>
        <v>來頡</v>
      </c>
      <c r="AF385" t="str">
        <v>2022/11/24</v>
      </c>
      <c r="AG385" t="str">
        <v>2022/05/26</v>
      </c>
      <c r="AH385" t="str">
        <v>2022/12/22</v>
      </c>
    </row>
    <row r="386" spans="1:34" x14ac:dyDescent="0.3">
      <c r="A386" t="str">
        <f t="array" ref="A386:J386">[1]!'6854.TW-ID,Name,MarketValue,Capital,NetIncomeGrowthRate,OperIncomeGrowthRate,FinancialStatementsTime,TFXRatio,MonthlyNetSalesYoY,RevenueMonth'</f>
        <v>6854</v>
      </c>
      <c r="B386" t="str">
        <v>錼創科技-KY創</v>
      </c>
      <c r="C386" t="str">
        <v>114.1</v>
      </c>
      <c r="D386" t="str">
        <v>--</v>
      </c>
      <c r="E386" t="str">
        <v>56.57</v>
      </c>
      <c r="F386" t="str">
        <v>26.90</v>
      </c>
      <c r="G386" t="str">
        <v>2022/09</v>
      </c>
      <c r="H386" t="str">
        <v>107.23</v>
      </c>
      <c r="I386" t="str">
        <v>76.58</v>
      </c>
      <c r="J386" t="str">
        <v>2022/11</v>
      </c>
      <c r="K386" t="str">
        <f t="array" ref="K386:T386">[1]!'6854.TW-OperatingProfitRatio,Price,PriceChangeRatio,InOutRatioNumber,Value,YearReturn,MonthReturn,WeekReturn,FinanceBalanceDif,ChipsField2'</f>
        <v>-185.34</v>
      </c>
      <c r="L386">
        <v>106.5</v>
      </c>
      <c r="M386">
        <v>-2.74</v>
      </c>
      <c r="N386" t="str">
        <v>17.31%</v>
      </c>
      <c r="O386" t="str">
        <v>576萬</v>
      </c>
      <c r="P386" t="str">
        <v>--</v>
      </c>
      <c r="Q386" t="str">
        <v>+10.13</v>
      </c>
      <c r="R386" t="str">
        <v>+3.40</v>
      </c>
      <c r="S386">
        <v>0</v>
      </c>
      <c r="T386">
        <v>0</v>
      </c>
      <c r="U386">
        <f t="array" ref="U386:AD386">[1]!'6854.TW-ChipsField3,ChipsField1,ChipsField25,CashAndStockDividend,CashDividendYieldRate,ProfitFourSeason,ProfitSingle,CName,ExchangeIndustry,CompanyPos'</f>
        <v>-1</v>
      </c>
      <c r="V386">
        <v>-20</v>
      </c>
      <c r="W386" t="str">
        <v>--</v>
      </c>
      <c r="X386" t="str">
        <v>--</v>
      </c>
      <c r="Y386">
        <v>0</v>
      </c>
      <c r="Z386" t="str">
        <v>-9.84</v>
      </c>
      <c r="AA386" t="str">
        <v>-1.02</v>
      </c>
      <c r="AB386" t="str">
        <v>錼創科技-KY創</v>
      </c>
      <c r="AC386" t="str">
        <v>上市半導體,上市創新板</v>
      </c>
      <c r="AD386" t="str">
        <v>全球首家MicroLED晶片載板供應商</v>
      </c>
      <c r="AE386" t="str">
        <f t="array" ref="AE386:AH386">[1]!'6854.TW-CName,InvestorConferenceDate,DateofMeetingofShareHolders,TradingDate'</f>
        <v>錼創科技-KY創</v>
      </c>
      <c r="AF386" t="str">
        <v>--</v>
      </c>
      <c r="AG386" t="str">
        <v>--</v>
      </c>
      <c r="AH386" t="str">
        <v>2022/12/22</v>
      </c>
    </row>
    <row r="387" spans="1:34" x14ac:dyDescent="0.3">
      <c r="A387" t="str">
        <f t="array" ref="A387:J387">[1]!'8016.TW-ID,Name,MarketValue,Capital,NetIncomeGrowthRate,OperIncomeGrowthRate,FinancialStatementsTime,TFXRatio,MonthlyNetSalesYoY,RevenueMonth'</f>
        <v>8016</v>
      </c>
      <c r="B387" t="str">
        <v>矽創</v>
      </c>
      <c r="C387" t="str">
        <v>209.0</v>
      </c>
      <c r="D387" t="str">
        <v>12.01</v>
      </c>
      <c r="E387" t="str">
        <v>-25.19</v>
      </c>
      <c r="F387" t="str">
        <v>-26.59</v>
      </c>
      <c r="G387" t="str">
        <v>2022/09</v>
      </c>
      <c r="H387" t="str">
        <v>-9.35</v>
      </c>
      <c r="I387" t="str">
        <v>-36.72</v>
      </c>
      <c r="J387" t="str">
        <v>2022/11</v>
      </c>
      <c r="K387" t="str">
        <f t="array" ref="K387:T387">[1]!'8016.TW-OperatingProfitRatio,Price,PriceChangeRatio,InOutRatioNumber,Value,YearReturn,MonthReturn,WeekReturn,FinanceBalanceDif,ChipsField2'</f>
        <v>30.08</v>
      </c>
      <c r="L387">
        <v>174</v>
      </c>
      <c r="M387">
        <v>0.87</v>
      </c>
      <c r="N387" t="str">
        <v>58.45%</v>
      </c>
      <c r="O387" t="str">
        <v>9053萬</v>
      </c>
      <c r="P387" t="str">
        <v>-34.15</v>
      </c>
      <c r="Q387" t="str">
        <v>-6.95</v>
      </c>
      <c r="R387" t="str">
        <v>-3.87</v>
      </c>
      <c r="S387">
        <v>-7</v>
      </c>
      <c r="T387">
        <v>1</v>
      </c>
      <c r="U387">
        <f t="array" ref="U387:AD387">[1]!'8016.TW-ChipsField3,ChipsField1,ChipsField25,CashAndStockDividend,CashDividendYieldRate,ProfitFourSeason,ProfitSingle,CName,ExchangeIndustry,CompanyPos'</f>
        <v>-11</v>
      </c>
      <c r="V387">
        <v>47</v>
      </c>
      <c r="W387" t="str">
        <v>2022/07/14</v>
      </c>
      <c r="X387" t="str">
        <v>32.00</v>
      </c>
      <c r="Y387">
        <v>18.39</v>
      </c>
      <c r="Z387" t="str">
        <v>41.82</v>
      </c>
      <c r="AA387" t="str">
        <v>6.09</v>
      </c>
      <c r="AB387" t="str">
        <v>矽創</v>
      </c>
      <c r="AC387" t="str">
        <v>上市半導體</v>
      </c>
      <c r="AD387" t="str">
        <v>台灣感測元件及顯示屏驅動IC廠</v>
      </c>
      <c r="AE387" t="str">
        <f t="array" ref="AE387:AH387">[1]!'8016.TW-CName,InvestorConferenceDate,DateofMeetingofShareHolders,TradingDate'</f>
        <v>矽創</v>
      </c>
      <c r="AF387" t="str">
        <v>2022/12/07</v>
      </c>
      <c r="AG387" t="str">
        <v>2022/06/23</v>
      </c>
      <c r="AH387" t="str">
        <v>2022/12/22</v>
      </c>
    </row>
    <row r="388" spans="1:34" x14ac:dyDescent="0.3">
      <c r="A388" t="str">
        <f t="array" ref="A388:J388">[1]!'8028.TW-ID,Name,MarketValue,Capital,NetIncomeGrowthRate,OperIncomeGrowthRate,FinancialStatementsTime,TFXRatio,MonthlyNetSalesYoY,RevenueMonth'</f>
        <v>8028</v>
      </c>
      <c r="B388" t="str">
        <v>昇陽半導體</v>
      </c>
      <c r="C388" t="str">
        <v>88.1</v>
      </c>
      <c r="D388" t="str">
        <v>15.26</v>
      </c>
      <c r="E388" t="str">
        <v>148.17</v>
      </c>
      <c r="F388" t="str">
        <v>96.77</v>
      </c>
      <c r="G388" t="str">
        <v>2022/09</v>
      </c>
      <c r="H388" t="str">
        <v>-2.51</v>
      </c>
      <c r="I388" t="str">
        <v>15.41</v>
      </c>
      <c r="J388" t="str">
        <v>2022/11</v>
      </c>
      <c r="K388" t="str">
        <f t="array" ref="K388:T388">[1]!'8028.TW-OperatingProfitRatio,Price,PriceChangeRatio,InOutRatioNumber,Value,YearReturn,MonthReturn,WeekReturn,FinanceBalanceDif,ChipsField2'</f>
        <v>9.73</v>
      </c>
      <c r="L388">
        <v>59.2</v>
      </c>
      <c r="M388">
        <v>0.51</v>
      </c>
      <c r="N388" t="str">
        <v>39.38%</v>
      </c>
      <c r="O388" t="str">
        <v>2.45億</v>
      </c>
      <c r="P388" t="str">
        <v>+30.39</v>
      </c>
      <c r="Q388" t="str">
        <v>+6.67</v>
      </c>
      <c r="R388" t="str">
        <v>-5.88</v>
      </c>
      <c r="S388">
        <v>1</v>
      </c>
      <c r="T388">
        <v>-155</v>
      </c>
      <c r="U388">
        <f t="array" ref="U388:AD388">[1]!'8028.TW-ChipsField3,ChipsField1,ChipsField25,CashAndStockDividend,CashDividendYieldRate,ProfitFourSeason,ProfitSingle,CName,ExchangeIndustry,CompanyPos'</f>
        <v>-7</v>
      </c>
      <c r="V388">
        <v>39</v>
      </c>
      <c r="W388" t="str">
        <v>2022/07/21</v>
      </c>
      <c r="X388" t="str">
        <v>1.40</v>
      </c>
      <c r="Y388">
        <v>2.36</v>
      </c>
      <c r="Z388" t="str">
        <v>2.75</v>
      </c>
      <c r="AA388" t="str">
        <v>0.82</v>
      </c>
      <c r="AB388" t="str">
        <v>昇陽半導體</v>
      </c>
      <c r="AC388" t="str">
        <v>上市半導體</v>
      </c>
      <c r="AD388" t="str">
        <v>主要從事再生晶圓與晶圓薄化代工業務</v>
      </c>
      <c r="AE388" t="str">
        <f t="array" ref="AE388:AH388">[1]!'8028.TW-CName,InvestorConferenceDate,DateofMeetingofShareHolders,TradingDate'</f>
        <v>昇陽半導體</v>
      </c>
      <c r="AF388" t="str">
        <v>2022/12/07</v>
      </c>
      <c r="AG388" t="str">
        <v>2022/05/27</v>
      </c>
      <c r="AH388" t="str">
        <v>2022/12/22</v>
      </c>
    </row>
    <row r="389" spans="1:34" x14ac:dyDescent="0.3">
      <c r="A389" t="str">
        <f t="array" ref="A389:J389">[1]!'8081.TW-ID,Name,MarketValue,Capital,NetIncomeGrowthRate,OperIncomeGrowthRate,FinancialStatementsTime,TFXRatio,MonthlyNetSalesYoY,RevenueMonth'</f>
        <v>8081</v>
      </c>
      <c r="B389" t="str">
        <v>致新</v>
      </c>
      <c r="C389" t="str">
        <v>122.8</v>
      </c>
      <c r="D389" t="str">
        <v>8.62</v>
      </c>
      <c r="E389" t="str">
        <v>8.74</v>
      </c>
      <c r="F389" t="str">
        <v>-10.84</v>
      </c>
      <c r="G389" t="str">
        <v>2022/09</v>
      </c>
      <c r="H389" t="str">
        <v>5.75</v>
      </c>
      <c r="I389" t="str">
        <v>-22.48</v>
      </c>
      <c r="J389" t="str">
        <v>2022/11</v>
      </c>
      <c r="K389" t="str">
        <f t="array" ref="K389:T389">[1]!'8081.TW-OperatingProfitRatio,Price,PriceChangeRatio,InOutRatioNumber,Value,YearReturn,MonthReturn,WeekReturn,FinanceBalanceDif,ChipsField2'</f>
        <v>27.34</v>
      </c>
      <c r="L389">
        <v>142.5</v>
      </c>
      <c r="M389">
        <v>0.71</v>
      </c>
      <c r="N389" t="str">
        <v>42.06%</v>
      </c>
      <c r="O389" t="str">
        <v>3496萬</v>
      </c>
      <c r="P389" t="str">
        <v>-39.43</v>
      </c>
      <c r="Q389" t="str">
        <v>+2.15</v>
      </c>
      <c r="R389" t="str">
        <v>-4.68</v>
      </c>
      <c r="S389">
        <v>-23</v>
      </c>
      <c r="T389">
        <v>0</v>
      </c>
      <c r="U389">
        <f t="array" ref="U389:AD389">[1]!'8081.TW-ChipsField3,ChipsField1,ChipsField25,CashAndStockDividend,CashDividendYieldRate,ProfitFourSeason,ProfitSingle,CName,ExchangeIndustry,CompanyPos'</f>
        <v>-5</v>
      </c>
      <c r="V389">
        <v>16</v>
      </c>
      <c r="W389" t="str">
        <v>2022/06/29</v>
      </c>
      <c r="X389" t="str">
        <v>16.00</v>
      </c>
      <c r="Y389">
        <v>11.23</v>
      </c>
      <c r="Z389" t="str">
        <v>27.48</v>
      </c>
      <c r="AA389" t="str">
        <v>5.20</v>
      </c>
      <c r="AB389" t="str">
        <v>致新</v>
      </c>
      <c r="AC389" t="str">
        <v>上市半導體</v>
      </c>
      <c r="AD389" t="str">
        <v>台灣前三大類比IC設計公司</v>
      </c>
      <c r="AE389" t="str">
        <f t="array" ref="AE389:AH389">[1]!'8081.TW-CName,InvestorConferenceDate,DateofMeetingofShareHolders,TradingDate'</f>
        <v>致新</v>
      </c>
      <c r="AF389" t="str">
        <v>2022/11/10</v>
      </c>
      <c r="AG389" t="str">
        <v>2022/06/09</v>
      </c>
      <c r="AH389" t="str">
        <v>2022/12/22</v>
      </c>
    </row>
    <row r="390" spans="1:34" x14ac:dyDescent="0.3">
      <c r="A390" t="str">
        <f t="array" ref="A390:J390">[1]!'8110.TW-ID,Name,MarketValue,Capital,NetIncomeGrowthRate,OperIncomeGrowthRate,FinancialStatementsTime,TFXRatio,MonthlyNetSalesYoY,RevenueMonth'</f>
        <v>8110</v>
      </c>
      <c r="B390" t="str">
        <v>華東</v>
      </c>
      <c r="C390" t="str">
        <v>61.3</v>
      </c>
      <c r="D390" t="str">
        <v>51.77</v>
      </c>
      <c r="E390" t="str">
        <v>632.06</v>
      </c>
      <c r="F390" t="str">
        <v>1645.14</v>
      </c>
      <c r="G390" t="str">
        <v>2022/09</v>
      </c>
      <c r="H390" t="str">
        <v>-8.41</v>
      </c>
      <c r="I390" t="str">
        <v>-9.48</v>
      </c>
      <c r="J390" t="str">
        <v>2022/11</v>
      </c>
      <c r="K390" t="str">
        <f t="array" ref="K390:T390">[1]!'8110.TW-OperatingProfitRatio,Price,PriceChangeRatio,InOutRatioNumber,Value,YearReturn,MonthReturn,WeekReturn,FinanceBalanceDif,ChipsField2'</f>
        <v>4.08</v>
      </c>
      <c r="L390">
        <v>11.75</v>
      </c>
      <c r="M390">
        <v>0.86</v>
      </c>
      <c r="N390" t="str">
        <v>43.73%</v>
      </c>
      <c r="O390" t="str">
        <v>482萬</v>
      </c>
      <c r="P390" t="str">
        <v>-35.30</v>
      </c>
      <c r="Q390" t="str">
        <v>-6.00</v>
      </c>
      <c r="R390" t="str">
        <v>-6.00</v>
      </c>
      <c r="S390">
        <v>65</v>
      </c>
      <c r="T390">
        <v>0</v>
      </c>
      <c r="U390">
        <f t="array" ref="U390:AD390">[1]!'8110.TW-ChipsField3,ChipsField1,ChipsField25,CashAndStockDividend,CashDividendYieldRate,ProfitFourSeason,ProfitSingle,CName,ExchangeIndustry,CompanyPos'</f>
        <v>-28</v>
      </c>
      <c r="V390">
        <v>-95</v>
      </c>
      <c r="W390" t="str">
        <v>2022/08/02</v>
      </c>
      <c r="X390" t="str">
        <v>0.13</v>
      </c>
      <c r="Y390">
        <v>1.1100000000000001</v>
      </c>
      <c r="Z390" t="str">
        <v>0.98</v>
      </c>
      <c r="AA390" t="str">
        <v>0.52</v>
      </c>
      <c r="AB390" t="str">
        <v>華東</v>
      </c>
      <c r="AC390" t="str">
        <v>上市半導體</v>
      </c>
      <c r="AD390" t="str">
        <v>華新集團旗下封測廠</v>
      </c>
      <c r="AE390" t="str">
        <f t="array" ref="AE390:AH390">[1]!'8110.TW-CName,InvestorConferenceDate,DateofMeetingofShareHolders,TradingDate'</f>
        <v>華東</v>
      </c>
      <c r="AF390" t="str">
        <v>2022/11/17</v>
      </c>
      <c r="AG390" t="str">
        <v>2022/06/14</v>
      </c>
      <c r="AH390" t="str">
        <v>2022/12/22</v>
      </c>
    </row>
    <row r="391" spans="1:34" x14ac:dyDescent="0.3">
      <c r="A391" t="str">
        <f t="array" ref="A391:J391">[1]!'8131.TW-ID,Name,MarketValue,Capital,NetIncomeGrowthRate,OperIncomeGrowthRate,FinancialStatementsTime,TFXRatio,MonthlyNetSalesYoY,RevenueMonth'</f>
        <v>8131</v>
      </c>
      <c r="B391" t="str">
        <v>福懋科</v>
      </c>
      <c r="C391" t="str">
        <v>171.1</v>
      </c>
      <c r="D391" t="str">
        <v>44.22</v>
      </c>
      <c r="E391" t="str">
        <v>56.45</v>
      </c>
      <c r="F391" t="str">
        <v>12.15</v>
      </c>
      <c r="G391" t="str">
        <v>2022/09</v>
      </c>
      <c r="H391" t="str">
        <v>-7.54</v>
      </c>
      <c r="I391" t="str">
        <v>-3.44</v>
      </c>
      <c r="J391" t="str">
        <v>2022/11</v>
      </c>
      <c r="K391" t="str">
        <f t="array" ref="K391:T391">[1]!'8131.TW-OperatingProfitRatio,Price,PriceChangeRatio,InOutRatioNumber,Value,YearReturn,MonthReturn,WeekReturn,FinanceBalanceDif,ChipsField2'</f>
        <v>18.88</v>
      </c>
      <c r="L391">
        <v>38.700000000000003</v>
      </c>
      <c r="M391">
        <v>0</v>
      </c>
      <c r="N391" t="str">
        <v>32.67%</v>
      </c>
      <c r="O391" t="str">
        <v>786萬</v>
      </c>
      <c r="P391" t="str">
        <v>+6.72</v>
      </c>
      <c r="Q391" t="str">
        <v>-0.26</v>
      </c>
      <c r="R391" t="str">
        <v>-1.28</v>
      </c>
      <c r="S391">
        <v>4</v>
      </c>
      <c r="T391">
        <v>0</v>
      </c>
      <c r="U391">
        <f t="array" ref="U391:AD391">[1]!'8131.TW-ChipsField3,ChipsField1,ChipsField25,CashAndStockDividend,CashDividendYieldRate,ProfitFourSeason,ProfitSingle,CName,ExchangeIndustry,CompanyPos'</f>
        <v>-22</v>
      </c>
      <c r="V391">
        <v>-23</v>
      </c>
      <c r="W391" t="str">
        <v>2022/07/19</v>
      </c>
      <c r="X391" t="str">
        <v>2.50</v>
      </c>
      <c r="Y391">
        <v>6.46</v>
      </c>
      <c r="Z391" t="str">
        <v>4.97</v>
      </c>
      <c r="AA391" t="str">
        <v>1.42</v>
      </c>
      <c r="AB391" t="str">
        <v>福懋科</v>
      </c>
      <c r="AC391" t="str">
        <v>上市半導體</v>
      </c>
      <c r="AD391" t="str">
        <v>台塑集團轉投資之IC封裝測試廠</v>
      </c>
      <c r="AE391" t="str">
        <f t="array" ref="AE391:AH391">[1]!'8131.TW-CName,InvestorConferenceDate,DateofMeetingofShareHolders,TradingDate'</f>
        <v>福懋科</v>
      </c>
      <c r="AF391" t="str">
        <v>2022/12/12</v>
      </c>
      <c r="AG391" t="str">
        <v>2022/06/24</v>
      </c>
      <c r="AH391" t="str">
        <v>2022/12/22</v>
      </c>
    </row>
    <row r="392" spans="1:34" x14ac:dyDescent="0.3">
      <c r="A392" t="str">
        <f t="array" ref="A392:J392">[1]!'8150.TW-ID,Name,MarketValue,Capital,NetIncomeGrowthRate,OperIncomeGrowthRate,FinancialStatementsTime,TFXRatio,MonthlyNetSalesYoY,RevenueMonth'</f>
        <v>8150</v>
      </c>
      <c r="B392" t="str">
        <v>南茂</v>
      </c>
      <c r="C392" t="str">
        <v>236.4</v>
      </c>
      <c r="D392" t="str">
        <v>72.72</v>
      </c>
      <c r="E392" t="str">
        <v>-11.66</v>
      </c>
      <c r="F392" t="str">
        <v>-31.24</v>
      </c>
      <c r="G392" t="str">
        <v>2022/09</v>
      </c>
      <c r="H392" t="str">
        <v>-0.99</v>
      </c>
      <c r="I392" t="str">
        <v>-30.32</v>
      </c>
      <c r="J392" t="str">
        <v>2022/11</v>
      </c>
      <c r="K392" t="str">
        <f t="array" ref="K392:T392">[1]!'8150.TW-OperatingProfitRatio,Price,PriceChangeRatio,InOutRatioNumber,Value,YearReturn,MonthReturn,WeekReturn,FinanceBalanceDif,ChipsField2'</f>
        <v>15.43</v>
      </c>
      <c r="L392">
        <v>32.5</v>
      </c>
      <c r="M392">
        <v>0.93</v>
      </c>
      <c r="N392" t="str">
        <v>52.86%</v>
      </c>
      <c r="O392" t="str">
        <v>2354萬</v>
      </c>
      <c r="P392" t="str">
        <v>-24.31</v>
      </c>
      <c r="Q392" t="str">
        <v>-2.11</v>
      </c>
      <c r="R392" t="str">
        <v>-2.69</v>
      </c>
      <c r="S392">
        <v>44</v>
      </c>
      <c r="T392">
        <v>61</v>
      </c>
      <c r="U392">
        <f t="array" ref="U392:AD392">[1]!'8150.TW-ChipsField3,ChipsField1,ChipsField25,CashAndStockDividend,CashDividendYieldRate,ProfitFourSeason,ProfitSingle,CName,ExchangeIndustry,CompanyPos'</f>
        <v>-132</v>
      </c>
      <c r="V392">
        <v>-485</v>
      </c>
      <c r="W392" t="str">
        <v>2022/06/29</v>
      </c>
      <c r="X392" t="str">
        <v>4.30</v>
      </c>
      <c r="Y392">
        <v>13.23</v>
      </c>
      <c r="Z392" t="str">
        <v>6.37</v>
      </c>
      <c r="AA392" t="str">
        <v>0.92</v>
      </c>
      <c r="AB392" t="str">
        <v>南茂</v>
      </c>
      <c r="AC392" t="str">
        <v>上市半導體</v>
      </c>
      <c r="AD392" t="str">
        <v>全球第2大LCD驅動IC封測廠</v>
      </c>
      <c r="AE392" t="str">
        <f t="array" ref="AE392:AH392">[1]!'8150.TW-CName,InvestorConferenceDate,DateofMeetingofShareHolders,TradingDate'</f>
        <v>南茂</v>
      </c>
      <c r="AF392" t="str">
        <v>2022/11/03</v>
      </c>
      <c r="AG392" t="str">
        <v>2022/05/26</v>
      </c>
      <c r="AH392" t="str">
        <v>2022/12/22</v>
      </c>
    </row>
    <row r="393" spans="1:34" x14ac:dyDescent="0.3">
      <c r="A393" t="str">
        <f t="array" ref="A393:J393">[1]!'8261.TW-ID,Name,MarketValue,Capital,NetIncomeGrowthRate,OperIncomeGrowthRate,FinancialStatementsTime,TFXRatio,MonthlyNetSalesYoY,RevenueMonth'</f>
        <v>8261</v>
      </c>
      <c r="B393" t="str">
        <v>富鼎</v>
      </c>
      <c r="C393" t="str">
        <v>87.7</v>
      </c>
      <c r="D393" t="str">
        <v>11.73</v>
      </c>
      <c r="E393" t="str">
        <v>82.26</v>
      </c>
      <c r="F393" t="str">
        <v>35.81</v>
      </c>
      <c r="G393" t="str">
        <v>2022/09</v>
      </c>
      <c r="H393" t="str">
        <v>-5.61</v>
      </c>
      <c r="I393" t="str">
        <v>-40.29</v>
      </c>
      <c r="J393" t="str">
        <v>2022/11</v>
      </c>
      <c r="K393" t="str">
        <f t="array" ref="K393:T393">[1]!'8261.TW-OperatingProfitRatio,Price,PriceChangeRatio,InOutRatioNumber,Value,YearReturn,MonthReturn,WeekReturn,FinanceBalanceDif,ChipsField2'</f>
        <v>24.46</v>
      </c>
      <c r="L393">
        <v>106.5</v>
      </c>
      <c r="M393">
        <v>0.47</v>
      </c>
      <c r="N393" t="str">
        <v>47.17%</v>
      </c>
      <c r="O393" t="str">
        <v>1.56億</v>
      </c>
      <c r="P393" t="str">
        <v>-0.26</v>
      </c>
      <c r="Q393" t="str">
        <v>+4.41</v>
      </c>
      <c r="R393" t="str">
        <v>-0.47</v>
      </c>
      <c r="S393">
        <v>-82</v>
      </c>
      <c r="T393">
        <v>0</v>
      </c>
      <c r="U393">
        <f t="array" ref="U393:AD393">[1]!'8261.TW-ChipsField3,ChipsField1,ChipsField25,CashAndStockDividend,CashDividendYieldRate,ProfitFourSeason,ProfitSingle,CName,ExchangeIndustry,CompanyPos'</f>
        <v>12</v>
      </c>
      <c r="V393">
        <v>96</v>
      </c>
      <c r="W393" t="str">
        <v>2022/05/26</v>
      </c>
      <c r="X393" t="str">
        <v>6.00</v>
      </c>
      <c r="Y393">
        <v>5.63</v>
      </c>
      <c r="Z393" t="str">
        <v>10.97</v>
      </c>
      <c r="AA393" t="str">
        <v>2.06</v>
      </c>
      <c r="AB393" t="str">
        <v>富鼎</v>
      </c>
      <c r="AC393" t="str">
        <v>上市半導體</v>
      </c>
      <c r="AD393" t="str">
        <v>與全球電晶體大廠IR合作之類比IC設計公司</v>
      </c>
      <c r="AE393" t="str">
        <f t="array" ref="AE393:AH393">[1]!'8261.TW-CName,InvestorConferenceDate,DateofMeetingofShareHolders,TradingDate'</f>
        <v>富鼎</v>
      </c>
      <c r="AF393" t="str">
        <v>2022/11/09</v>
      </c>
      <c r="AG393" t="str">
        <v>2022/04/13</v>
      </c>
      <c r="AH393" t="str">
        <v>2022/12/22</v>
      </c>
    </row>
    <row r="394" spans="1:34" x14ac:dyDescent="0.3">
      <c r="A394" t="str">
        <f t="array" ref="A394:J394">[1]!'8271.TW-ID,Name,MarketValue,Capital,NetIncomeGrowthRate,OperIncomeGrowthRate,FinancialStatementsTime,TFXRatio,MonthlyNetSalesYoY,RevenueMonth'</f>
        <v>8271</v>
      </c>
      <c r="B394" t="str">
        <v>宇瞻</v>
      </c>
      <c r="C394" t="str">
        <v>45.9</v>
      </c>
      <c r="D394" t="str">
        <v>12.27</v>
      </c>
      <c r="E394" t="str">
        <v>8.83</v>
      </c>
      <c r="F394" t="str">
        <v>6.80</v>
      </c>
      <c r="G394" t="str">
        <v>2022/09</v>
      </c>
      <c r="H394" t="str">
        <v>-14.21</v>
      </c>
      <c r="I394" t="str">
        <v>-12.85</v>
      </c>
      <c r="J394" t="str">
        <v>2022/11</v>
      </c>
      <c r="K394" t="str">
        <f t="array" ref="K394:T394">[1]!'8271.TW-OperatingProfitRatio,Price,PriceChangeRatio,InOutRatioNumber,Value,YearReturn,MonthReturn,WeekReturn,FinanceBalanceDif,ChipsField2'</f>
        <v>7.94</v>
      </c>
      <c r="L394">
        <v>41.1</v>
      </c>
      <c r="M394">
        <v>0.49</v>
      </c>
      <c r="N394" t="str">
        <v>68.28%</v>
      </c>
      <c r="O394" t="str">
        <v>598萬</v>
      </c>
      <c r="P394" t="str">
        <v>-6.12</v>
      </c>
      <c r="Q394" t="str">
        <v>-2.14</v>
      </c>
      <c r="R394" t="str">
        <v>-1.79</v>
      </c>
      <c r="S394">
        <v>-1</v>
      </c>
      <c r="T394">
        <v>0</v>
      </c>
      <c r="U394">
        <f t="array" ref="U394:AD394">[1]!'8271.TW-ChipsField3,ChipsField1,ChipsField25,CashAndStockDividend,CashDividendYieldRate,ProfitFourSeason,ProfitSingle,CName,ExchangeIndustry,CompanyPos'</f>
        <v>-7</v>
      </c>
      <c r="V394">
        <v>-10</v>
      </c>
      <c r="W394" t="str">
        <v>2022/03/31</v>
      </c>
      <c r="X394" t="str">
        <v>2.89</v>
      </c>
      <c r="Y394">
        <v>7.03</v>
      </c>
      <c r="Z394" t="str">
        <v>4.97</v>
      </c>
      <c r="AA394" t="str">
        <v>1.16</v>
      </c>
      <c r="AB394" t="str">
        <v>宇瞻</v>
      </c>
      <c r="AC394" t="str">
        <v>上市半導體</v>
      </c>
      <c r="AD394" t="str">
        <v>全球前十大DRAM模組廠</v>
      </c>
      <c r="AE394" t="str">
        <f t="array" ref="AE394:AH394">[1]!'8271.TW-CName,InvestorConferenceDate,DateofMeetingofShareHolders,TradingDate'</f>
        <v>宇瞻</v>
      </c>
      <c r="AF394" t="str">
        <v>2022/02/25</v>
      </c>
      <c r="AG394" t="str">
        <v>2022/05/31</v>
      </c>
      <c r="AH394" t="str">
        <v>2022/12/22</v>
      </c>
    </row>
    <row r="395" spans="1:34" x14ac:dyDescent="0.3">
      <c r="A395" t="str">
        <f t="array" ref="A395:J395">[1]!'2301.TW-ID,Name,MarketValue,Capital,NetIncomeGrowthRate,OperIncomeGrowthRate,FinancialStatementsTime,TFXRatio,MonthlyNetSalesYoY,RevenueMonth'</f>
        <v>2301</v>
      </c>
      <c r="B395" t="str">
        <v>光寶科</v>
      </c>
      <c r="C395" t="str">
        <v>1511.6</v>
      </c>
      <c r="D395" t="str">
        <v>236.31</v>
      </c>
      <c r="E395" t="str">
        <v>-9.46</v>
      </c>
      <c r="F395" t="str">
        <v>24.57</v>
      </c>
      <c r="G395" t="str">
        <v>2022/09</v>
      </c>
      <c r="H395" t="str">
        <v>-0.34</v>
      </c>
      <c r="I395" t="str">
        <v>-0.49</v>
      </c>
      <c r="J395" t="str">
        <v>2022/11</v>
      </c>
      <c r="K395" t="str">
        <f t="array" ref="K395:T395">[1]!'2301.TW-OperatingProfitRatio,Price,PriceChangeRatio,InOutRatioNumber,Value,YearReturn,MonthReturn,WeekReturn,FinanceBalanceDif,ChipsField2'</f>
        <v>9.01</v>
      </c>
      <c r="L395">
        <v>64.3</v>
      </c>
      <c r="M395">
        <v>1.58</v>
      </c>
      <c r="N395" t="str">
        <v>76.24%</v>
      </c>
      <c r="O395" t="str">
        <v>16.3億</v>
      </c>
      <c r="P395" t="str">
        <v>+10.44</v>
      </c>
      <c r="Q395" t="str">
        <v>-2.13</v>
      </c>
      <c r="R395" t="str">
        <v>-1.23</v>
      </c>
      <c r="S395">
        <v>-50</v>
      </c>
      <c r="T395">
        <v>-17057</v>
      </c>
      <c r="U395">
        <f t="array" ref="U395:AD395">[1]!'2301.TW-ChipsField3,ChipsField1,ChipsField25,CashAndStockDividend,CashDividendYieldRate,ProfitFourSeason,ProfitSingle,CName,ExchangeIndustry,CompanyPos'</f>
        <v>-385</v>
      </c>
      <c r="V395">
        <v>15280</v>
      </c>
      <c r="W395" t="str">
        <v>2022/08/16</v>
      </c>
      <c r="X395" t="str">
        <v>1.50</v>
      </c>
      <c r="Y395">
        <v>7</v>
      </c>
      <c r="Z395" t="str">
        <v>5.59</v>
      </c>
      <c r="AA395" t="str">
        <v>1.86</v>
      </c>
      <c r="AB395" t="str">
        <v>光寶科</v>
      </c>
      <c r="AC395" t="str">
        <v>上市電腦及週邊設備</v>
      </c>
      <c r="AD395" t="str">
        <v>台灣第一家上市電子公司，產品應用涵蓋4C領域</v>
      </c>
      <c r="AE395" t="str">
        <f t="array" ref="AE395:AH395">[1]!'2301.TW-CName,InvestorConferenceDate,DateofMeetingofShareHolders,TradingDate'</f>
        <v>光寶科</v>
      </c>
      <c r="AF395" t="str">
        <v>2022/12/08</v>
      </c>
      <c r="AG395" t="str">
        <v>2022/05/20</v>
      </c>
      <c r="AH395" t="str">
        <v>2022/12/22</v>
      </c>
    </row>
    <row r="396" spans="1:34" x14ac:dyDescent="0.3">
      <c r="A396" t="str">
        <f t="array" ref="A396:J396">[1]!'2305.TW-ID,Name,MarketValue,Capital,NetIncomeGrowthRate,OperIncomeGrowthRate,FinancialStatementsTime,TFXRatio,MonthlyNetSalesYoY,RevenueMonth'</f>
        <v>2305</v>
      </c>
      <c r="B396" t="str">
        <v>全友</v>
      </c>
      <c r="C396" t="str">
        <v>52.4</v>
      </c>
      <c r="D396" t="str">
        <v>20.57</v>
      </c>
      <c r="E396" t="str">
        <v>805.25</v>
      </c>
      <c r="F396" t="str">
        <v>-49.87</v>
      </c>
      <c r="G396" t="str">
        <v>2022/09</v>
      </c>
      <c r="H396" t="str">
        <v>17.62</v>
      </c>
      <c r="I396" t="str">
        <v>2.90</v>
      </c>
      <c r="J396" t="str">
        <v>2022/11</v>
      </c>
      <c r="K396" t="str">
        <f t="array" ref="K396:T396">[1]!'2305.TW-OperatingProfitRatio,Price,PriceChangeRatio,InOutRatioNumber,Value,YearReturn,MonthReturn,WeekReturn,FinanceBalanceDif,ChipsField2'</f>
        <v>-18.20</v>
      </c>
      <c r="L396">
        <v>25.5</v>
      </c>
      <c r="M396">
        <v>0.59</v>
      </c>
      <c r="N396" t="str">
        <v>38.17%</v>
      </c>
      <c r="O396" t="str">
        <v>2496萬</v>
      </c>
      <c r="P396" t="str">
        <v>+176.27</v>
      </c>
      <c r="Q396" t="str">
        <v>-18.92</v>
      </c>
      <c r="R396" t="str">
        <v>-8.44</v>
      </c>
      <c r="S396">
        <v>5</v>
      </c>
      <c r="T396">
        <v>0</v>
      </c>
      <c r="U396">
        <f t="array" ref="U396:AD396">[1]!'2305.TW-ChipsField3,ChipsField1,ChipsField25,CashAndStockDividend,CashDividendYieldRate,ProfitFourSeason,ProfitSingle,CName,ExchangeIndustry,CompanyPos'</f>
        <v>0</v>
      </c>
      <c r="V396">
        <v>-4</v>
      </c>
      <c r="W396" t="str">
        <v>--</v>
      </c>
      <c r="X396" t="str">
        <v>0.00</v>
      </c>
      <c r="Y396">
        <v>0</v>
      </c>
      <c r="Z396" t="str">
        <v>0.38</v>
      </c>
      <c r="AA396" t="str">
        <v>0.17</v>
      </c>
      <c r="AB396" t="str">
        <v>全友</v>
      </c>
      <c r="AC396" t="str">
        <v>上市電腦及週邊設備</v>
      </c>
      <c r="AD396" t="str">
        <v>光罩持股，經營工業用、醫療等數位掃描器</v>
      </c>
      <c r="AE396" t="str">
        <f t="array" ref="AE396:AH396">[1]!'2305.TW-CName,InvestorConferenceDate,DateofMeetingofShareHolders,TradingDate'</f>
        <v>全友</v>
      </c>
      <c r="AF396" t="str">
        <v>2022/12/16</v>
      </c>
      <c r="AG396" t="str">
        <v>2022/05/26</v>
      </c>
      <c r="AH396" t="str">
        <v>2022/12/22</v>
      </c>
    </row>
    <row r="397" spans="1:34" x14ac:dyDescent="0.3">
      <c r="A397" t="str">
        <f t="array" ref="A397:J397">[1]!'2324.TW-ID,Name,MarketValue,Capital,NetIncomeGrowthRate,OperIncomeGrowthRate,FinancialStatementsTime,TFXRatio,MonthlyNetSalesYoY,RevenueMonth'</f>
        <v>2324</v>
      </c>
      <c r="B397" t="str">
        <v>仁寶</v>
      </c>
      <c r="C397" t="str">
        <v>1007.0</v>
      </c>
      <c r="D397" t="str">
        <v>440.71</v>
      </c>
      <c r="E397" t="str">
        <v>-30.63</v>
      </c>
      <c r="F397" t="str">
        <v>-25.42</v>
      </c>
      <c r="G397" t="str">
        <v>2022/09</v>
      </c>
      <c r="H397" t="str">
        <v>-14.24</v>
      </c>
      <c r="I397" t="str">
        <v>-34.03</v>
      </c>
      <c r="J397" t="str">
        <v>2022/11</v>
      </c>
      <c r="K397" t="str">
        <f t="array" ref="K397:T397">[1]!'2324.TW-OperatingProfitRatio,Price,PriceChangeRatio,InOutRatioNumber,Value,YearReturn,MonthReturn,WeekReturn,FinanceBalanceDif,ChipsField2'</f>
        <v>0.85</v>
      </c>
      <c r="L397">
        <v>22.85</v>
      </c>
      <c r="M397">
        <v>0</v>
      </c>
      <c r="N397" t="str">
        <v>27.95%</v>
      </c>
      <c r="O397" t="str">
        <v>5.57億</v>
      </c>
      <c r="P397" t="str">
        <v>+4.00</v>
      </c>
      <c r="Q397" t="str">
        <v>+8.29</v>
      </c>
      <c r="R397" t="str">
        <v>+3.86</v>
      </c>
      <c r="S397">
        <v>-57</v>
      </c>
      <c r="T397">
        <v>-9857</v>
      </c>
      <c r="U397">
        <f t="array" ref="U397:AD397">[1]!'2324.TW-ChipsField3,ChipsField1,ChipsField25,CashAndStockDividend,CashDividendYieldRate,ProfitFourSeason,ProfitSingle,CName,ExchangeIndustry,CompanyPos'</f>
        <v>349</v>
      </c>
      <c r="V397">
        <v>12709</v>
      </c>
      <c r="W397" t="str">
        <v>2022/04/22</v>
      </c>
      <c r="X397" t="str">
        <v>2.00</v>
      </c>
      <c r="Y397">
        <v>8.75</v>
      </c>
      <c r="Z397" t="str">
        <v>2.16</v>
      </c>
      <c r="AA397" t="str">
        <v>0.47</v>
      </c>
      <c r="AB397" t="str">
        <v>仁寶</v>
      </c>
      <c r="AC397" t="str">
        <v>上市電腦及週邊設備</v>
      </c>
      <c r="AD397" t="str">
        <v>全球知名NB代工廠</v>
      </c>
      <c r="AE397" t="str">
        <f t="array" ref="AE397:AH397">[1]!'2324.TW-CName,InvestorConferenceDate,DateofMeetingofShareHolders,TradingDate'</f>
        <v>仁寶</v>
      </c>
      <c r="AF397" t="str">
        <v>2022/11/15</v>
      </c>
      <c r="AG397" t="str">
        <v>2022/06/24</v>
      </c>
      <c r="AH397" t="str">
        <v>2022/12/22</v>
      </c>
    </row>
    <row r="398" spans="1:34" x14ac:dyDescent="0.3">
      <c r="A398" t="str">
        <f t="array" ref="A398:J398">[1]!'2331.TW-ID,Name,MarketValue,Capital,NetIncomeGrowthRate,OperIncomeGrowthRate,FinancialStatementsTime,TFXRatio,MonthlyNetSalesYoY,RevenueMonth'</f>
        <v>2331</v>
      </c>
      <c r="B398" t="str">
        <v>精英</v>
      </c>
      <c r="C398" t="str">
        <v>120.1</v>
      </c>
      <c r="D398" t="str">
        <v>55.74</v>
      </c>
      <c r="E398" t="str">
        <v>4563.76</v>
      </c>
      <c r="F398" t="str">
        <v>190.00</v>
      </c>
      <c r="G398" t="str">
        <v>2022/09</v>
      </c>
      <c r="H398" t="str">
        <v>-12.62</v>
      </c>
      <c r="I398" t="str">
        <v>-50.33</v>
      </c>
      <c r="J398" t="str">
        <v>2022/11</v>
      </c>
      <c r="K398" t="str">
        <f t="array" ref="K398:T398">[1]!'2331.TW-OperatingProfitRatio,Price,PriceChangeRatio,InOutRatioNumber,Value,YearReturn,MonthReturn,WeekReturn,FinanceBalanceDif,ChipsField2'</f>
        <v>1.11</v>
      </c>
      <c r="L398">
        <v>21.55</v>
      </c>
      <c r="M398">
        <v>0.23</v>
      </c>
      <c r="N398" t="str">
        <v>36.17%</v>
      </c>
      <c r="O398" t="str">
        <v>1039萬</v>
      </c>
      <c r="P398" t="str">
        <v>-2.05</v>
      </c>
      <c r="Q398" t="str">
        <v>-1.37</v>
      </c>
      <c r="R398" t="str">
        <v>-6.71</v>
      </c>
      <c r="S398">
        <v>-48</v>
      </c>
      <c r="T398">
        <v>0</v>
      </c>
      <c r="U398">
        <f t="array" ref="U398:AD398">[1]!'2331.TW-ChipsField3,ChipsField1,ChipsField25,CashAndStockDividend,CashDividendYieldRate,ProfitFourSeason,ProfitSingle,CName,ExchangeIndustry,CompanyPos'</f>
        <v>9</v>
      </c>
      <c r="V398">
        <v>-142</v>
      </c>
      <c r="W398" t="str">
        <v>--</v>
      </c>
      <c r="X398" t="str">
        <v>0.00</v>
      </c>
      <c r="Y398">
        <v>0</v>
      </c>
      <c r="Z398" t="str">
        <v>1.88</v>
      </c>
      <c r="AA398" t="str">
        <v>0.74</v>
      </c>
      <c r="AB398" t="str">
        <v>精英</v>
      </c>
      <c r="AC398" t="str">
        <v>上市電腦及週邊設備</v>
      </c>
      <c r="AD398" t="str">
        <v>屬大同集團之台灣前四大主機板廠</v>
      </c>
      <c r="AE398" t="str">
        <f t="array" ref="AE398:AH398">[1]!'2331.TW-CName,InvestorConferenceDate,DateofMeetingofShareHolders,TradingDate'</f>
        <v>精英</v>
      </c>
      <c r="AF398" t="str">
        <v>2022/12/07</v>
      </c>
      <c r="AG398" t="str">
        <v>2022/06/23</v>
      </c>
      <c r="AH398" t="str">
        <v>2022/12/22</v>
      </c>
    </row>
    <row r="399" spans="1:34" x14ac:dyDescent="0.3">
      <c r="A399" t="str">
        <f t="array" ref="A399:J399">[1]!'2352.TW-ID,Name,MarketValue,Capital,NetIncomeGrowthRate,OperIncomeGrowthRate,FinancialStatementsTime,TFXRatio,MonthlyNetSalesYoY,RevenueMonth'</f>
        <v>2352</v>
      </c>
      <c r="B399" t="str">
        <v>佳世達</v>
      </c>
      <c r="C399" t="str">
        <v>532.0</v>
      </c>
      <c r="D399" t="str">
        <v>196.68</v>
      </c>
      <c r="E399" t="str">
        <v>12.44</v>
      </c>
      <c r="F399" t="str">
        <v>-21.96</v>
      </c>
      <c r="G399" t="str">
        <v>2022/09</v>
      </c>
      <c r="H399" t="str">
        <v>1.38</v>
      </c>
      <c r="I399" t="str">
        <v>-7.88</v>
      </c>
      <c r="J399" t="str">
        <v>2022/11</v>
      </c>
      <c r="K399" t="str">
        <f t="array" ref="K399:T399">[1]!'2352.TW-OperatingProfitRatio,Price,PriceChangeRatio,InOutRatioNumber,Value,YearReturn,MonthReturn,WeekReturn,FinanceBalanceDif,ChipsField2'</f>
        <v>2.38</v>
      </c>
      <c r="L399">
        <v>27.05</v>
      </c>
      <c r="M399">
        <v>2.27</v>
      </c>
      <c r="N399" t="str">
        <v>38.18%</v>
      </c>
      <c r="O399" t="str">
        <v>3.27億</v>
      </c>
      <c r="P399" t="str">
        <v>-1.65</v>
      </c>
      <c r="Q399" t="str">
        <v>-6.40</v>
      </c>
      <c r="R399" t="str">
        <v>-2.35</v>
      </c>
      <c r="S399">
        <v>-6</v>
      </c>
      <c r="T399">
        <v>-6306</v>
      </c>
      <c r="U399">
        <f t="array" ref="U399:AD399">[1]!'2352.TW-ChipsField3,ChipsField1,ChipsField25,CashAndStockDividend,CashDividendYieldRate,ProfitFourSeason,ProfitSingle,CName,ExchangeIndustry,CompanyPos'</f>
        <v>-98</v>
      </c>
      <c r="V399">
        <v>4598</v>
      </c>
      <c r="W399" t="str">
        <v>2022/07/28</v>
      </c>
      <c r="X399" t="str">
        <v>2.50</v>
      </c>
      <c r="Y399">
        <v>9.24</v>
      </c>
      <c r="Z399" t="str">
        <v>4.51</v>
      </c>
      <c r="AA399" t="str">
        <v>3.24</v>
      </c>
      <c r="AB399" t="str">
        <v>佳世達</v>
      </c>
      <c r="AC399" t="str">
        <v>上市電腦及週邊設備</v>
      </c>
      <c r="AD399" t="str">
        <v>LCD顯示器及投影機大廠</v>
      </c>
      <c r="AE399" t="str">
        <f t="array" ref="AE399:AH399">[1]!'2352.TW-CName,InvestorConferenceDate,DateofMeetingofShareHolders,TradingDate'</f>
        <v>佳世達</v>
      </c>
      <c r="AF399" t="str">
        <v>2022/11/07</v>
      </c>
      <c r="AG399" t="str">
        <v>2022/05/30</v>
      </c>
      <c r="AH399" t="str">
        <v>2022/12/22</v>
      </c>
    </row>
    <row r="400" spans="1:34" x14ac:dyDescent="0.3">
      <c r="A400" t="str">
        <f t="array" ref="A400:J400">[1]!'2353.TW-ID,Name,MarketValue,Capital,NetIncomeGrowthRate,OperIncomeGrowthRate,FinancialStatementsTime,TFXRatio,MonthlyNetSalesYoY,RevenueMonth'</f>
        <v>2353</v>
      </c>
      <c r="B400" t="str">
        <v>宏碁</v>
      </c>
      <c r="C400" t="str">
        <v>704.1</v>
      </c>
      <c r="D400" t="str">
        <v>304.79</v>
      </c>
      <c r="E400" t="str">
        <v>-29.86</v>
      </c>
      <c r="F400" t="str">
        <v>-42.29</v>
      </c>
      <c r="G400" t="str">
        <v>2022/09</v>
      </c>
      <c r="H400" t="str">
        <v>4.74</v>
      </c>
      <c r="I400" t="str">
        <v>-34.48</v>
      </c>
      <c r="J400" t="str">
        <v>2022/11</v>
      </c>
      <c r="K400" t="str">
        <f t="array" ref="K400:T400">[1]!'2353.TW-OperatingProfitRatio,Price,PriceChangeRatio,InOutRatioNumber,Value,YearReturn,MonthReturn,WeekReturn,FinanceBalanceDif,ChipsField2'</f>
        <v>2.74</v>
      </c>
      <c r="L400">
        <v>23.1</v>
      </c>
      <c r="M400">
        <v>1.0900000000000001</v>
      </c>
      <c r="N400" t="str">
        <v>48.32%</v>
      </c>
      <c r="O400" t="str">
        <v>9777萬</v>
      </c>
      <c r="P400" t="str">
        <v>-15.37</v>
      </c>
      <c r="Q400" t="str">
        <v>-5.71</v>
      </c>
      <c r="R400" t="str">
        <v>-1.28</v>
      </c>
      <c r="S400">
        <v>-187</v>
      </c>
      <c r="T400">
        <v>2186</v>
      </c>
      <c r="U400">
        <f t="array" ref="U400:AD400">[1]!'2353.TW-ChipsField3,ChipsField1,ChipsField25,CashAndStockDividend,CashDividendYieldRate,ProfitFourSeason,ProfitSingle,CName,ExchangeIndustry,CompanyPos'</f>
        <v>-127</v>
      </c>
      <c r="V400">
        <v>-1381</v>
      </c>
      <c r="W400" t="str">
        <v>2022/06/30</v>
      </c>
      <c r="X400" t="str">
        <v>2.28</v>
      </c>
      <c r="Y400">
        <v>9.8699999999999992</v>
      </c>
      <c r="Z400" t="str">
        <v>2.69</v>
      </c>
      <c r="AA400" t="str">
        <v>0.63</v>
      </c>
      <c r="AB400" t="str">
        <v>宏碁</v>
      </c>
      <c r="AC400" t="str">
        <v>上市電腦及週邊設備</v>
      </c>
      <c r="AD400" t="str">
        <v>全球前五大NB品牌廠</v>
      </c>
      <c r="AE400" t="str">
        <f t="array" ref="AE400:AH400">[1]!'2353.TW-CName,InvestorConferenceDate,DateofMeetingofShareHolders,TradingDate'</f>
        <v>宏碁</v>
      </c>
      <c r="AF400" t="str">
        <v>2021/11/11</v>
      </c>
      <c r="AG400" t="str">
        <v>2022/06/10</v>
      </c>
      <c r="AH400" t="str">
        <v>2022/12/22</v>
      </c>
    </row>
    <row r="401" spans="1:34" x14ac:dyDescent="0.3">
      <c r="A401" t="str">
        <f t="array" ref="A401:J401">[1]!'2356.TW-ID,Name,MarketValue,Capital,NetIncomeGrowthRate,OperIncomeGrowthRate,FinancialStatementsTime,TFXRatio,MonthlyNetSalesYoY,RevenueMonth'</f>
        <v>2356</v>
      </c>
      <c r="B401" t="str">
        <v>英業達</v>
      </c>
      <c r="C401" t="str">
        <v>930.9</v>
      </c>
      <c r="D401" t="str">
        <v>358.75</v>
      </c>
      <c r="E401" t="str">
        <v>-1.84</v>
      </c>
      <c r="F401" t="str">
        <v>40.70</v>
      </c>
      <c r="G401" t="str">
        <v>2022/09</v>
      </c>
      <c r="H401" t="str">
        <v>-12.24</v>
      </c>
      <c r="I401" t="str">
        <v>-8.03</v>
      </c>
      <c r="J401" t="str">
        <v>2022/11</v>
      </c>
      <c r="K401" t="str">
        <f t="array" ref="K401:T401">[1]!'2356.TW-OperatingProfitRatio,Price,PriceChangeRatio,InOutRatioNumber,Value,YearReturn,MonthReturn,WeekReturn,FinanceBalanceDif,ChipsField2'</f>
        <v>1.22</v>
      </c>
      <c r="L401">
        <v>25.95</v>
      </c>
      <c r="M401">
        <v>0.78</v>
      </c>
      <c r="N401" t="str">
        <v>27.33%</v>
      </c>
      <c r="O401" t="str">
        <v>6.06億</v>
      </c>
      <c r="P401" t="str">
        <v>+10.45</v>
      </c>
      <c r="Q401" t="str">
        <v>+5.92</v>
      </c>
      <c r="R401" t="str">
        <v>+3.18</v>
      </c>
      <c r="S401">
        <v>113</v>
      </c>
      <c r="T401">
        <v>-11465</v>
      </c>
      <c r="U401">
        <f t="array" ref="U401:AD401">[1]!'2356.TW-ChipsField3,ChipsField1,ChipsField25,CashAndStockDividend,CashDividendYieldRate,ProfitFourSeason,ProfitSingle,CName,ExchangeIndustry,CompanyPos'</f>
        <v>-101</v>
      </c>
      <c r="V401">
        <v>15257</v>
      </c>
      <c r="W401" t="str">
        <v>2022/07/14</v>
      </c>
      <c r="X401" t="str">
        <v>1.40</v>
      </c>
      <c r="Y401">
        <v>5.39</v>
      </c>
      <c r="Z401" t="str">
        <v>1.73</v>
      </c>
      <c r="AA401" t="str">
        <v>0.49</v>
      </c>
      <c r="AB401" t="str">
        <v>英業達</v>
      </c>
      <c r="AC401" t="str">
        <v>上市電腦及週邊設備</v>
      </c>
      <c r="AD401" t="str">
        <v>全球知名NB代工大廠</v>
      </c>
      <c r="AE401" t="str">
        <f t="array" ref="AE401:AH401">[1]!'2356.TW-CName,InvestorConferenceDate,DateofMeetingofShareHolders,TradingDate'</f>
        <v>英業達</v>
      </c>
      <c r="AF401" t="str">
        <v>2022/11/11</v>
      </c>
      <c r="AG401" t="str">
        <v>2022/06/14</v>
      </c>
      <c r="AH401" t="str">
        <v>2022/12/22</v>
      </c>
    </row>
    <row r="402" spans="1:34" x14ac:dyDescent="0.3">
      <c r="A402" t="str">
        <f t="array" ref="A402:J402">[1]!'2357.TW-ID,Name,MarketValue,Capital,NetIncomeGrowthRate,OperIncomeGrowthRate,FinancialStatementsTime,TFXRatio,MonthlyNetSalesYoY,RevenueMonth'</f>
        <v>2357</v>
      </c>
      <c r="B402" t="str">
        <v>華碩</v>
      </c>
      <c r="C402" t="str">
        <v>2046.3</v>
      </c>
      <c r="D402" t="str">
        <v>74.28</v>
      </c>
      <c r="E402" t="str">
        <v>-40.26</v>
      </c>
      <c r="F402" t="str">
        <v>-52.64</v>
      </c>
      <c r="G402" t="str">
        <v>2022/09</v>
      </c>
      <c r="H402" t="str">
        <v>13.46</v>
      </c>
      <c r="I402" t="str">
        <v>-17.09</v>
      </c>
      <c r="J402" t="str">
        <v>2022/11</v>
      </c>
      <c r="K402" t="str">
        <f t="array" ref="K402:T402">[1]!'2357.TW-OperatingProfitRatio,Price,PriceChangeRatio,InOutRatioNumber,Value,YearReturn,MonthReturn,WeekReturn,FinanceBalanceDif,ChipsField2'</f>
        <v>4.21</v>
      </c>
      <c r="L402">
        <v>275.5</v>
      </c>
      <c r="M402">
        <v>3.57</v>
      </c>
      <c r="N402" t="str">
        <v>39.94%</v>
      </c>
      <c r="O402" t="str">
        <v>17.2億</v>
      </c>
      <c r="P402" t="str">
        <v>-14.37</v>
      </c>
      <c r="Q402" t="str">
        <v>+6.78</v>
      </c>
      <c r="R402" t="str">
        <v>+0.92</v>
      </c>
      <c r="S402">
        <v>36</v>
      </c>
      <c r="T402">
        <v>-2741</v>
      </c>
      <c r="U402">
        <f t="array" ref="U402:AD402">[1]!'2357.TW-ChipsField3,ChipsField1,ChipsField25,CashAndStockDividend,CashDividendYieldRate,ProfitFourSeason,ProfitSingle,CName,ExchangeIndustry,CompanyPos'</f>
        <v>-65</v>
      </c>
      <c r="V402">
        <v>2388</v>
      </c>
      <c r="W402" t="str">
        <v>2022/07/29</v>
      </c>
      <c r="X402" t="str">
        <v>42.00</v>
      </c>
      <c r="Y402">
        <v>15.25</v>
      </c>
      <c r="Z402" t="str">
        <v>41.16</v>
      </c>
      <c r="AA402" t="str">
        <v>8.33</v>
      </c>
      <c r="AB402" t="str">
        <v>華碩</v>
      </c>
      <c r="AC402" t="str">
        <v>上市電腦及週邊設備</v>
      </c>
      <c r="AD402" t="str">
        <v>全球最大自有品牌主機板廠，及前五大NB廠</v>
      </c>
      <c r="AE402" t="str">
        <f t="array" ref="AE402:AH402">[1]!'2357.TW-CName,InvestorConferenceDate,DateofMeetingofShareHolders,TradingDate'</f>
        <v>華碩</v>
      </c>
      <c r="AF402" t="str">
        <v>2022/11/10</v>
      </c>
      <c r="AG402" t="str">
        <v>2022/06/08</v>
      </c>
      <c r="AH402" t="str">
        <v>2022/12/22</v>
      </c>
    </row>
    <row r="403" spans="1:34" x14ac:dyDescent="0.3">
      <c r="A403" t="str">
        <f t="array" ref="A403:J403">[1]!'2362.TW-ID,Name,MarketValue,Capital,NetIncomeGrowthRate,OperIncomeGrowthRate,FinancialStatementsTime,TFXRatio,MonthlyNetSalesYoY,RevenueMonth'</f>
        <v>2362</v>
      </c>
      <c r="B403" t="str">
        <v>藍天</v>
      </c>
      <c r="C403" t="str">
        <v>195.1</v>
      </c>
      <c r="D403" t="str">
        <v>63.23</v>
      </c>
      <c r="E403" t="str">
        <v>-43.42</v>
      </c>
      <c r="F403" t="str">
        <v>-3.89</v>
      </c>
      <c r="G403" t="str">
        <v>2022/09</v>
      </c>
      <c r="H403" t="str">
        <v>-12.23</v>
      </c>
      <c r="I403" t="str">
        <v>-37.62</v>
      </c>
      <c r="J403" t="str">
        <v>2022/11</v>
      </c>
      <c r="K403" t="str">
        <f t="array" ref="K403:T403">[1]!'2362.TW-OperatingProfitRatio,Price,PriceChangeRatio,InOutRatioNumber,Value,YearReturn,MonthReturn,WeekReturn,FinanceBalanceDif,ChipsField2'</f>
        <v>9.16</v>
      </c>
      <c r="L403">
        <v>30.85</v>
      </c>
      <c r="M403">
        <v>0.82</v>
      </c>
      <c r="N403" t="str">
        <v>48.89%</v>
      </c>
      <c r="O403" t="str">
        <v>139萬</v>
      </c>
      <c r="P403" t="str">
        <v>+5.15</v>
      </c>
      <c r="Q403" t="str">
        <v>-2.37</v>
      </c>
      <c r="R403" t="str">
        <v>-1.12</v>
      </c>
      <c r="S403">
        <v>3</v>
      </c>
      <c r="T403">
        <v>0</v>
      </c>
      <c r="U403">
        <f t="array" ref="U403:AD403">[1]!'2362.TW-ChipsField3,ChipsField1,ChipsField25,CashAndStockDividend,CashDividendYieldRate,ProfitFourSeason,ProfitSingle,CName,ExchangeIndustry,CompanyPos'</f>
        <v>-15</v>
      </c>
      <c r="V403">
        <v>-15</v>
      </c>
      <c r="W403" t="str">
        <v>2022/06/24</v>
      </c>
      <c r="X403" t="str">
        <v>2.10</v>
      </c>
      <c r="Y403">
        <v>6.81</v>
      </c>
      <c r="Z403" t="str">
        <v>2.17</v>
      </c>
      <c r="AA403" t="str">
        <v>0.10</v>
      </c>
      <c r="AB403" t="str">
        <v>藍天</v>
      </c>
      <c r="AC403" t="str">
        <v>上市電腦及週邊設備</v>
      </c>
      <c r="AD403" t="str">
        <v>筆電製造商，並轉投資大陸最大IT賣場百腦匯</v>
      </c>
      <c r="AE403" t="str">
        <f t="array" ref="AE403:AH403">[1]!'2362.TW-CName,InvestorConferenceDate,DateofMeetingofShareHolders,TradingDate'</f>
        <v>藍天</v>
      </c>
      <c r="AF403" t="str">
        <v>2022/11/24</v>
      </c>
      <c r="AG403" t="str">
        <v>2022/06/15</v>
      </c>
      <c r="AH403" t="str">
        <v>2022/12/22</v>
      </c>
    </row>
    <row r="404" spans="1:34" x14ac:dyDescent="0.3">
      <c r="A404" t="str">
        <f t="array" ref="A404:J404">[1]!'2364.TW-ID,Name,MarketValue,Capital,NetIncomeGrowthRate,OperIncomeGrowthRate,FinancialStatementsTime,TFXRatio,MonthlyNetSalesYoY,RevenueMonth'</f>
        <v>2364</v>
      </c>
      <c r="B404" t="str">
        <v>倫飛</v>
      </c>
      <c r="C404" t="str">
        <v>25.8</v>
      </c>
      <c r="D404" t="str">
        <v>2.48</v>
      </c>
      <c r="E404" t="str">
        <v>290.17</v>
      </c>
      <c r="F404" t="str">
        <v>-80.62</v>
      </c>
      <c r="G404" t="str">
        <v>2022/09</v>
      </c>
      <c r="H404" t="str">
        <v>7.82</v>
      </c>
      <c r="I404" t="str">
        <v>85.13</v>
      </c>
      <c r="J404" t="str">
        <v>2022/11</v>
      </c>
      <c r="K404" t="str">
        <f t="array" ref="K404:T404">[1]!'2364.TW-OperatingProfitRatio,Price,PriceChangeRatio,InOutRatioNumber,Value,YearReturn,MonthReturn,WeekReturn,FinanceBalanceDif,ChipsField2'</f>
        <v>0.37</v>
      </c>
      <c r="L404">
        <v>104</v>
      </c>
      <c r="M404">
        <v>0</v>
      </c>
      <c r="N404" t="str">
        <v>41.65%</v>
      </c>
      <c r="O404" t="str">
        <v>6387萬</v>
      </c>
      <c r="P404" t="str">
        <v>+451.90</v>
      </c>
      <c r="Q404" t="str">
        <v>-14.40</v>
      </c>
      <c r="R404" t="str">
        <v>-6.73</v>
      </c>
      <c r="S404">
        <v>17</v>
      </c>
      <c r="T404">
        <v>0</v>
      </c>
      <c r="U404">
        <f t="array" ref="U404:AD404">[1]!'2364.TW-ChipsField3,ChipsField1,ChipsField25,CashAndStockDividend,CashDividendYieldRate,ProfitFourSeason,ProfitSingle,CName,ExchangeIndustry,CompanyPos'</f>
        <v>1</v>
      </c>
      <c r="V404">
        <v>-14</v>
      </c>
      <c r="W404" t="str">
        <v>2022/09/06</v>
      </c>
      <c r="X404" t="str">
        <v>1.00</v>
      </c>
      <c r="Y404">
        <v>0.96</v>
      </c>
      <c r="Z404" t="str">
        <v>3.11</v>
      </c>
      <c r="AA404" t="str">
        <v>1.43</v>
      </c>
      <c r="AB404" t="str">
        <v>倫飛</v>
      </c>
      <c r="AC404" t="str">
        <v>上市電腦及週邊設備</v>
      </c>
      <c r="AD404" t="str">
        <v>主攻軍工規格NB廠商</v>
      </c>
      <c r="AE404" t="str">
        <f t="array" ref="AE404:AH404">[1]!'2364.TW-CName,InvestorConferenceDate,DateofMeetingofShareHolders,TradingDate'</f>
        <v>倫飛</v>
      </c>
      <c r="AF404" t="str">
        <v>2022/11/25</v>
      </c>
      <c r="AG404" t="str">
        <v>2022/06/10</v>
      </c>
      <c r="AH404" t="str">
        <v>2022/12/22</v>
      </c>
    </row>
    <row r="405" spans="1:34" x14ac:dyDescent="0.3">
      <c r="A405" t="str">
        <f t="array" ref="A405:J405">[1]!'2365.TW-ID,Name,MarketValue,Capital,NetIncomeGrowthRate,OperIncomeGrowthRate,FinancialStatementsTime,TFXRatio,MonthlyNetSalesYoY,RevenueMonth'</f>
        <v>2365</v>
      </c>
      <c r="B405" t="str">
        <v>昆盈</v>
      </c>
      <c r="C405" t="str">
        <v>22.5</v>
      </c>
      <c r="D405" t="str">
        <v>22.15</v>
      </c>
      <c r="E405" t="str">
        <v>70.83</v>
      </c>
      <c r="F405" t="str">
        <v>-22.86</v>
      </c>
      <c r="G405" t="str">
        <v>2022/09</v>
      </c>
      <c r="H405" t="str">
        <v>-32.68</v>
      </c>
      <c r="I405" t="str">
        <v>-62.57</v>
      </c>
      <c r="J405" t="str">
        <v>2022/11</v>
      </c>
      <c r="K405" t="str">
        <f t="array" ref="K405:T405">[1]!'2365.TW-OperatingProfitRatio,Price,PriceChangeRatio,InOutRatioNumber,Value,YearReturn,MonthReturn,WeekReturn,FinanceBalanceDif,ChipsField2'</f>
        <v>3.79</v>
      </c>
      <c r="L405">
        <v>10.15</v>
      </c>
      <c r="M405">
        <v>0.5</v>
      </c>
      <c r="N405" t="str">
        <v>75.78%</v>
      </c>
      <c r="O405" t="str">
        <v>130萬</v>
      </c>
      <c r="P405" t="str">
        <v>-9.33</v>
      </c>
      <c r="Q405" t="str">
        <v>+1.00</v>
      </c>
      <c r="R405" t="str">
        <v>+1.50</v>
      </c>
      <c r="S405">
        <v>-25</v>
      </c>
      <c r="T405">
        <v>0</v>
      </c>
      <c r="U405">
        <f t="array" ref="U405:AD405">[1]!'2365.TW-ChipsField3,ChipsField1,ChipsField25,CashAndStockDividend,CashDividendYieldRate,ProfitFourSeason,ProfitSingle,CName,ExchangeIndustry,CompanyPos'</f>
        <v>1</v>
      </c>
      <c r="V405">
        <v>69</v>
      </c>
      <c r="W405" t="str">
        <v>2022/08/11</v>
      </c>
      <c r="X405" t="str">
        <v>0.20</v>
      </c>
      <c r="Y405">
        <v>1.97</v>
      </c>
      <c r="Z405" t="str">
        <v>0.35</v>
      </c>
      <c r="AA405" t="str">
        <v>0.17</v>
      </c>
      <c r="AB405" t="str">
        <v>昆盈</v>
      </c>
      <c r="AC405" t="str">
        <v>上市電腦及週邊設備</v>
      </c>
      <c r="AD405" t="str">
        <v>「Genius」電腦週邊產品商</v>
      </c>
      <c r="AE405" t="str">
        <f t="array" ref="AE405:AH405">[1]!'2365.TW-CName,InvestorConferenceDate,DateofMeetingofShareHolders,TradingDate'</f>
        <v>昆盈</v>
      </c>
      <c r="AF405" t="str">
        <v>2022/12/09</v>
      </c>
      <c r="AG405" t="str">
        <v>2022/06/09</v>
      </c>
      <c r="AH405" t="str">
        <v>2022/12/22</v>
      </c>
    </row>
    <row r="406" spans="1:34" x14ac:dyDescent="0.3">
      <c r="A406" t="str">
        <f t="array" ref="A406:J406">[1]!'2376.TW-ID,Name,MarketValue,Capital,NetIncomeGrowthRate,OperIncomeGrowthRate,FinancialStatementsTime,TFXRatio,MonthlyNetSalesYoY,RevenueMonth'</f>
        <v>2376</v>
      </c>
      <c r="B406" t="str">
        <v>技嘉</v>
      </c>
      <c r="C406" t="str">
        <v>667.5</v>
      </c>
      <c r="D406" t="str">
        <v>63.57</v>
      </c>
      <c r="E406" t="str">
        <v>-45.87</v>
      </c>
      <c r="F406" t="str">
        <v>-53.51</v>
      </c>
      <c r="G406" t="str">
        <v>2022/09</v>
      </c>
      <c r="H406" t="str">
        <v>32.22</v>
      </c>
      <c r="I406" t="str">
        <v>-8.28</v>
      </c>
      <c r="J406" t="str">
        <v>2022/11</v>
      </c>
      <c r="K406" t="str">
        <f t="array" ref="K406:T406">[1]!'2376.TW-OperatingProfitRatio,Price,PriceChangeRatio,InOutRatioNumber,Value,YearReturn,MonthReturn,WeekReturn,FinanceBalanceDif,ChipsField2'</f>
        <v>6.43</v>
      </c>
      <c r="L406">
        <v>105</v>
      </c>
      <c r="M406">
        <v>3.96</v>
      </c>
      <c r="N406" t="str">
        <v>44.26%</v>
      </c>
      <c r="O406" t="str">
        <v>13.1億</v>
      </c>
      <c r="P406" t="str">
        <v>-22.13</v>
      </c>
      <c r="Q406" t="str">
        <v>-2.78</v>
      </c>
      <c r="R406" t="str">
        <v>-1.87</v>
      </c>
      <c r="S406">
        <v>-162</v>
      </c>
      <c r="T406">
        <v>-4313</v>
      </c>
      <c r="U406">
        <f t="array" ref="U406:AD406">[1]!'2376.TW-ChipsField3,ChipsField1,ChipsField25,CashAndStockDividend,CashDividendYieldRate,ProfitFourSeason,ProfitSingle,CName,ExchangeIndustry,CompanyPos'</f>
        <v>-75</v>
      </c>
      <c r="V406">
        <v>3242</v>
      </c>
      <c r="W406" t="str">
        <v>2022/08/04</v>
      </c>
      <c r="X406" t="str">
        <v>12.00</v>
      </c>
      <c r="Y406">
        <v>11.43</v>
      </c>
      <c r="Z406" t="str">
        <v>14.05</v>
      </c>
      <c r="AA406" t="str">
        <v>1.84</v>
      </c>
      <c r="AB406" t="str">
        <v>技嘉</v>
      </c>
      <c r="AC406" t="str">
        <v>上市電腦及週邊設備</v>
      </c>
      <c r="AD406" t="str">
        <v>全球前三大主機板廠</v>
      </c>
      <c r="AE406" t="str">
        <f t="array" ref="AE406:AH406">[1]!'2376.TW-CName,InvestorConferenceDate,DateofMeetingofShareHolders,TradingDate'</f>
        <v>技嘉</v>
      </c>
      <c r="AF406" t="str">
        <v>2022/11/17</v>
      </c>
      <c r="AG406" t="str">
        <v>2022/06/14</v>
      </c>
      <c r="AH406" t="str">
        <v>2022/12/22</v>
      </c>
    </row>
    <row r="407" spans="1:34" x14ac:dyDescent="0.3">
      <c r="A407" t="str">
        <f t="array" ref="A407:J407">[1]!'2377.TW-ID,Name,MarketValue,Capital,NetIncomeGrowthRate,OperIncomeGrowthRate,FinancialStatementsTime,TFXRatio,MonthlyNetSalesYoY,RevenueMonth'</f>
        <v>2377</v>
      </c>
      <c r="B407" t="str">
        <v>微星</v>
      </c>
      <c r="C407" t="str">
        <v>992.7</v>
      </c>
      <c r="D407" t="str">
        <v>84.49</v>
      </c>
      <c r="E407" t="str">
        <v>-27.78</v>
      </c>
      <c r="F407" t="str">
        <v>-32.96</v>
      </c>
      <c r="G407" t="str">
        <v>2022/09</v>
      </c>
      <c r="H407" t="str">
        <v>8.74</v>
      </c>
      <c r="I407" t="str">
        <v>-25.18</v>
      </c>
      <c r="J407" t="str">
        <v>2022/11</v>
      </c>
      <c r="K407" t="str">
        <f t="array" ref="K407:T407">[1]!'2377.TW-OperatingProfitRatio,Price,PriceChangeRatio,InOutRatioNumber,Value,YearReturn,MonthReturn,WeekReturn,FinanceBalanceDif,ChipsField2'</f>
        <v>7.40</v>
      </c>
      <c r="L407">
        <v>117.5</v>
      </c>
      <c r="M407">
        <v>0.43</v>
      </c>
      <c r="N407" t="str">
        <v>29.39%</v>
      </c>
      <c r="O407" t="str">
        <v>12.5億</v>
      </c>
      <c r="P407" t="str">
        <v>-20.96</v>
      </c>
      <c r="Q407" t="str">
        <v>-6.75</v>
      </c>
      <c r="R407" t="str">
        <v>-4.08</v>
      </c>
      <c r="S407">
        <v>68</v>
      </c>
      <c r="T407">
        <v>-6850</v>
      </c>
      <c r="U407">
        <f t="array" ref="U407:AD407">[1]!'2377.TW-ChipsField3,ChipsField1,ChipsField25,CashAndStockDividend,CashDividendYieldRate,ProfitFourSeason,ProfitSingle,CName,ExchangeIndustry,CompanyPos'</f>
        <v>-121</v>
      </c>
      <c r="V407">
        <v>6343</v>
      </c>
      <c r="W407" t="str">
        <v>2022/08/17</v>
      </c>
      <c r="X407" t="str">
        <v>10.50</v>
      </c>
      <c r="Y407">
        <v>8.94</v>
      </c>
      <c r="Z407" t="str">
        <v>15.74</v>
      </c>
      <c r="AA407" t="str">
        <v>1.90</v>
      </c>
      <c r="AB407" t="str">
        <v>微星</v>
      </c>
      <c r="AC407" t="str">
        <v>上市電腦及週邊設備</v>
      </c>
      <c r="AD407" t="str">
        <v>台灣知名主機板及電競筆電廠</v>
      </c>
      <c r="AE407" t="str">
        <f t="array" ref="AE407:AH407">[1]!'2377.TW-CName,InvestorConferenceDate,DateofMeetingofShareHolders,TradingDate'</f>
        <v>微星</v>
      </c>
      <c r="AF407" t="str">
        <v>2022/03/22</v>
      </c>
      <c r="AG407" t="str">
        <v>2022/06/10</v>
      </c>
      <c r="AH407" t="str">
        <v>2022/12/22</v>
      </c>
    </row>
    <row r="408" spans="1:34" x14ac:dyDescent="0.3">
      <c r="A408" t="str">
        <f t="array" ref="A408:J408">[1]!'2380.TW-ID,Name,MarketValue,Capital,NetIncomeGrowthRate,OperIncomeGrowthRate,FinancialStatementsTime,TFXRatio,MonthlyNetSalesYoY,RevenueMonth'</f>
        <v>2380</v>
      </c>
      <c r="B408" t="str">
        <v>虹光</v>
      </c>
      <c r="C408" t="str">
        <v>25.1</v>
      </c>
      <c r="D408" t="str">
        <v>22.94</v>
      </c>
      <c r="E408" t="str">
        <v>123.13</v>
      </c>
      <c r="F408" t="str">
        <v>88.63</v>
      </c>
      <c r="G408" t="str">
        <v>2022/09</v>
      </c>
      <c r="H408" t="str">
        <v>-10.15</v>
      </c>
      <c r="I408" t="str">
        <v>5.84</v>
      </c>
      <c r="J408" t="str">
        <v>2022/11</v>
      </c>
      <c r="K408" t="str">
        <f t="array" ref="K408:T408">[1]!'2380.TW-OperatingProfitRatio,Price,PriceChangeRatio,InOutRatioNumber,Value,YearReturn,MonthReturn,WeekReturn,FinanceBalanceDif,ChipsField2'</f>
        <v>-0.40</v>
      </c>
      <c r="L408">
        <v>11.75</v>
      </c>
      <c r="M408">
        <v>0</v>
      </c>
      <c r="N408" t="str">
        <v>41.43%</v>
      </c>
      <c r="O408" t="str">
        <v>589萬</v>
      </c>
      <c r="P408" t="str">
        <v>-32.28</v>
      </c>
      <c r="Q408" t="str">
        <v>-13.92</v>
      </c>
      <c r="R408" t="str">
        <v>-4.47</v>
      </c>
      <c r="S408">
        <v>0</v>
      </c>
      <c r="T408">
        <v>0</v>
      </c>
      <c r="U408">
        <f t="array" ref="U408:AD408">[1]!'2380.TW-ChipsField3,ChipsField1,ChipsField25,CashAndStockDividend,CashDividendYieldRate,ProfitFourSeason,ProfitSingle,CName,ExchangeIndustry,CompanyPos'</f>
        <v>0</v>
      </c>
      <c r="V408">
        <v>-22</v>
      </c>
      <c r="W408" t="str">
        <v>--</v>
      </c>
      <c r="X408" t="str">
        <v>0.00</v>
      </c>
      <c r="Y408">
        <v>0</v>
      </c>
      <c r="Z408" t="str">
        <v>-0.13</v>
      </c>
      <c r="AA408" t="str">
        <v>0.28</v>
      </c>
      <c r="AB408" t="str">
        <v>虹光</v>
      </c>
      <c r="AC408" t="str">
        <v>上市電腦及週邊設備</v>
      </c>
      <c r="AD408" t="str">
        <v>提供掃瞄器、MFP等數位化辦公設備供應商</v>
      </c>
      <c r="AE408" t="str">
        <f t="array" ref="AE408:AH408">[1]!'2380.TW-CName,InvestorConferenceDate,DateofMeetingofShareHolders,TradingDate'</f>
        <v>虹光</v>
      </c>
      <c r="AF408" t="str">
        <v>2022/12/16</v>
      </c>
      <c r="AG408" t="str">
        <v>2022/06/15</v>
      </c>
      <c r="AH408" t="str">
        <v>2022/12/22</v>
      </c>
    </row>
    <row r="409" spans="1:34" x14ac:dyDescent="0.3">
      <c r="A409" t="str">
        <f t="array" ref="A409:J409">[1]!'2382.TW-ID,Name,MarketValue,Capital,NetIncomeGrowthRate,OperIncomeGrowthRate,FinancialStatementsTime,TFXRatio,MonthlyNetSalesYoY,RevenueMonth'</f>
        <v>2382</v>
      </c>
      <c r="B409" t="str">
        <v>廣達</v>
      </c>
      <c r="C409" t="str">
        <v>2777.2</v>
      </c>
      <c r="D409" t="str">
        <v>386.26</v>
      </c>
      <c r="E409" t="str">
        <v>-17.33</v>
      </c>
      <c r="F409" t="str">
        <v>-21.17</v>
      </c>
      <c r="G409" t="str">
        <v>2022/09</v>
      </c>
      <c r="H409" t="str">
        <v>3.04</v>
      </c>
      <c r="I409" t="str">
        <v>-1.01</v>
      </c>
      <c r="J409" t="str">
        <v>2022/11</v>
      </c>
      <c r="K409" t="str">
        <f t="array" ref="K409:T409">[1]!'2382.TW-OperatingProfitRatio,Price,PriceChangeRatio,InOutRatioNumber,Value,YearReturn,MonthReturn,WeekReturn,FinanceBalanceDif,ChipsField2'</f>
        <v>2.23</v>
      </c>
      <c r="L409">
        <v>71.900000000000006</v>
      </c>
      <c r="M409">
        <v>1.99</v>
      </c>
      <c r="N409" t="str">
        <v>74.91%</v>
      </c>
      <c r="O409" t="str">
        <v>15.4億</v>
      </c>
      <c r="P409" t="str">
        <v>-12.67</v>
      </c>
      <c r="Q409" t="str">
        <v>+1.99</v>
      </c>
      <c r="R409" t="str">
        <v>-1.24</v>
      </c>
      <c r="S409">
        <v>-16</v>
      </c>
      <c r="T409">
        <v>-13935</v>
      </c>
      <c r="U409">
        <f t="array" ref="U409:AD409">[1]!'2382.TW-ChipsField3,ChipsField1,ChipsField25,CashAndStockDividend,CashDividendYieldRate,ProfitFourSeason,ProfitSingle,CName,ExchangeIndustry,CompanyPos'</f>
        <v>-178</v>
      </c>
      <c r="V409">
        <v>10592</v>
      </c>
      <c r="W409" t="str">
        <v>2022/08/01</v>
      </c>
      <c r="X409" t="str">
        <v>6.60</v>
      </c>
      <c r="Y409">
        <v>9.18</v>
      </c>
      <c r="Z409" t="str">
        <v>7.59</v>
      </c>
      <c r="AA409" t="str">
        <v>2.40</v>
      </c>
      <c r="AB409" t="str">
        <v>廣達</v>
      </c>
      <c r="AC409" t="str">
        <v>上市電腦及週邊設備</v>
      </c>
      <c r="AD409" t="str">
        <v>全球知名NB代工廠</v>
      </c>
      <c r="AE409" t="str">
        <f t="array" ref="AE409:AH409">[1]!'2382.TW-CName,InvestorConferenceDate,DateofMeetingofShareHolders,TradingDate'</f>
        <v>廣達</v>
      </c>
      <c r="AF409" t="str">
        <v>2022/07/26</v>
      </c>
      <c r="AG409" t="str">
        <v>2022/06/17</v>
      </c>
      <c r="AH409" t="str">
        <v>2022/12/22</v>
      </c>
    </row>
    <row r="410" spans="1:34" x14ac:dyDescent="0.3">
      <c r="A410" t="str">
        <f t="array" ref="A410:J410">[1]!'2387.TW-ID,Name,MarketValue,Capital,NetIncomeGrowthRate,OperIncomeGrowthRate,FinancialStatementsTime,TFXRatio,MonthlyNetSalesYoY,RevenueMonth'</f>
        <v>2387</v>
      </c>
      <c r="B410" t="str">
        <v>精元</v>
      </c>
      <c r="C410" t="str">
        <v>78.0</v>
      </c>
      <c r="D410" t="str">
        <v>19.53</v>
      </c>
      <c r="E410" t="str">
        <v>47.77</v>
      </c>
      <c r="F410" t="str">
        <v>-14.53</v>
      </c>
      <c r="G410" t="str">
        <v>2022/09</v>
      </c>
      <c r="H410" t="str">
        <v>12.72</v>
      </c>
      <c r="I410" t="str">
        <v>1.07</v>
      </c>
      <c r="J410" t="str">
        <v>2022/11</v>
      </c>
      <c r="K410" t="str">
        <f t="array" ref="K410:T410">[1]!'2387.TW-OperatingProfitRatio,Price,PriceChangeRatio,InOutRatioNumber,Value,YearReturn,MonthReturn,WeekReturn,FinanceBalanceDif,ChipsField2'</f>
        <v>5.67</v>
      </c>
      <c r="L410">
        <v>39.950000000000003</v>
      </c>
      <c r="M410">
        <v>1.1399999999999999</v>
      </c>
      <c r="N410" t="str">
        <v>58.43%</v>
      </c>
      <c r="O410" t="str">
        <v>711萬</v>
      </c>
      <c r="P410" t="str">
        <v>-3.59</v>
      </c>
      <c r="Q410" t="str">
        <v>-0.25</v>
      </c>
      <c r="R410" t="str">
        <v>-2.44</v>
      </c>
      <c r="S410">
        <v>17</v>
      </c>
      <c r="T410">
        <v>0</v>
      </c>
      <c r="U410">
        <f t="array" ref="U410:AD410">[1]!'2387.TW-ChipsField3,ChipsField1,ChipsField25,CashAndStockDividend,CashDividendYieldRate,ProfitFourSeason,ProfitSingle,CName,ExchangeIndustry,CompanyPos'</f>
        <v>-10</v>
      </c>
      <c r="V410">
        <v>-84</v>
      </c>
      <c r="W410" t="str">
        <v>2022/08/11</v>
      </c>
      <c r="X410" t="str">
        <v>3.00</v>
      </c>
      <c r="Y410">
        <v>7.51</v>
      </c>
      <c r="Z410" t="str">
        <v>6.80</v>
      </c>
      <c r="AA410" t="str">
        <v>3.20</v>
      </c>
      <c r="AB410" t="str">
        <v>精元</v>
      </c>
      <c r="AC410" t="str">
        <v>上市電腦及週邊設備</v>
      </c>
      <c r="AD410" t="str">
        <v>全球前三大NB鍵盤廠</v>
      </c>
      <c r="AE410" t="str">
        <f t="array" ref="AE410:AH410">[1]!'2387.TW-CName,InvestorConferenceDate,DateofMeetingofShareHolders,TradingDate'</f>
        <v>精元</v>
      </c>
      <c r="AF410" t="str">
        <v>2022/11/29</v>
      </c>
      <c r="AG410" t="str">
        <v>2022/06/17</v>
      </c>
      <c r="AH410" t="str">
        <v>2022/12/22</v>
      </c>
    </row>
    <row r="411" spans="1:34" x14ac:dyDescent="0.3">
      <c r="A411" t="str">
        <f t="array" ref="A411:J411">[1]!'2395.TW-ID,Name,MarketValue,Capital,NetIncomeGrowthRate,OperIncomeGrowthRate,FinancialStatementsTime,TFXRatio,MonthlyNetSalesYoY,RevenueMonth'</f>
        <v>2395</v>
      </c>
      <c r="B411" t="str">
        <v>研華</v>
      </c>
      <c r="C411" t="str">
        <v>2629.1</v>
      </c>
      <c r="D411" t="str">
        <v>77.79</v>
      </c>
      <c r="E411" t="str">
        <v>36.10</v>
      </c>
      <c r="F411" t="str">
        <v>33.97</v>
      </c>
      <c r="G411" t="str">
        <v>2022/09</v>
      </c>
      <c r="H411" t="str">
        <v>1.40</v>
      </c>
      <c r="I411" t="str">
        <v>12.47</v>
      </c>
      <c r="J411" t="str">
        <v>2022/11</v>
      </c>
      <c r="K411" t="str">
        <f t="array" ref="K411:T411">[1]!'2395.TW-OperatingProfitRatio,Price,PriceChangeRatio,InOutRatioNumber,Value,YearReturn,MonthReturn,WeekReturn,FinanceBalanceDif,ChipsField2'</f>
        <v>18.43</v>
      </c>
      <c r="L411">
        <v>338</v>
      </c>
      <c r="M411">
        <v>1.65</v>
      </c>
      <c r="N411" t="str">
        <v>53.80%</v>
      </c>
      <c r="O411" t="str">
        <v>1.16億</v>
      </c>
      <c r="P411" t="str">
        <v>-10.49</v>
      </c>
      <c r="Q411" t="str">
        <v>+8.68</v>
      </c>
      <c r="R411" t="str">
        <v>-0.59</v>
      </c>
      <c r="S411">
        <v>-8</v>
      </c>
      <c r="T411">
        <v>2</v>
      </c>
      <c r="U411">
        <f t="array" ref="U411:AD411">[1]!'2395.TW-ChipsField3,ChipsField1,ChipsField25,CashAndStockDividend,CashDividendYieldRate,ProfitFourSeason,ProfitSingle,CName,ExchangeIndustry,CompanyPos'</f>
        <v>-20</v>
      </c>
      <c r="V411">
        <v>-50</v>
      </c>
      <c r="W411" t="str">
        <v>2022/07/07</v>
      </c>
      <c r="X411" t="str">
        <v>7.98</v>
      </c>
      <c r="Y411">
        <v>2.36</v>
      </c>
      <c r="Z411" t="str">
        <v>13.53</v>
      </c>
      <c r="AA411" t="str">
        <v>4.10</v>
      </c>
      <c r="AB411" t="str">
        <v>研華</v>
      </c>
      <c r="AC411" t="str">
        <v>上市電腦及週邊設備</v>
      </c>
      <c r="AD411" t="str">
        <v>全球前三大工業電腦廠</v>
      </c>
      <c r="AE411" t="str">
        <f t="array" ref="AE411:AH411">[1]!'2395.TW-CName,InvestorConferenceDate,DateofMeetingofShareHolders,TradingDate'</f>
        <v>研華</v>
      </c>
      <c r="AF411" t="str">
        <v>2022/10/13</v>
      </c>
      <c r="AG411" t="str">
        <v>2022/05/26</v>
      </c>
      <c r="AH411" t="str">
        <v>2022/12/22</v>
      </c>
    </row>
    <row r="412" spans="1:34" x14ac:dyDescent="0.3">
      <c r="A412" t="str">
        <f t="array" ref="A412:J412">[1]!'2397.TW-ID,Name,MarketValue,Capital,NetIncomeGrowthRate,OperIncomeGrowthRate,FinancialStatementsTime,TFXRatio,MonthlyNetSalesYoY,RevenueMonth'</f>
        <v>2397</v>
      </c>
      <c r="B412" t="str">
        <v>友通</v>
      </c>
      <c r="C412" t="str">
        <v>67.3</v>
      </c>
      <c r="D412" t="str">
        <v>11.45</v>
      </c>
      <c r="E412" t="str">
        <v>34.52</v>
      </c>
      <c r="F412" t="str">
        <v>11.35</v>
      </c>
      <c r="G412" t="str">
        <v>2022/09</v>
      </c>
      <c r="H412" t="str">
        <v>0.52</v>
      </c>
      <c r="I412" t="str">
        <v>-1.15</v>
      </c>
      <c r="J412" t="str">
        <v>2022/11</v>
      </c>
      <c r="K412" t="str">
        <f t="array" ref="K412:T412">[1]!'2397.TW-OperatingProfitRatio,Price,PriceChangeRatio,InOutRatioNumber,Value,YearReturn,MonthReturn,WeekReturn,FinanceBalanceDif,ChipsField2'</f>
        <v>4.46</v>
      </c>
      <c r="L412">
        <v>58.8</v>
      </c>
      <c r="M412">
        <v>-0.34</v>
      </c>
      <c r="N412" t="str">
        <v>40.00%</v>
      </c>
      <c r="O412" t="str">
        <v>35.4萬</v>
      </c>
      <c r="P412" t="str">
        <v>+4.31</v>
      </c>
      <c r="Q412" t="str">
        <v>-0.17</v>
      </c>
      <c r="R412" t="str">
        <v>-0.84</v>
      </c>
      <c r="S412">
        <v>0</v>
      </c>
      <c r="T412">
        <v>0</v>
      </c>
      <c r="U412">
        <f t="array" ref="U412:AD412">[1]!'2397.TW-ChipsField3,ChipsField1,ChipsField25,CashAndStockDividend,CashDividendYieldRate,ProfitFourSeason,ProfitSingle,CName,ExchangeIndustry,CompanyPos'</f>
        <v>0</v>
      </c>
      <c r="V412">
        <v>-1</v>
      </c>
      <c r="W412" t="str">
        <v>2022/07/19</v>
      </c>
      <c r="X412" t="str">
        <v>3.60</v>
      </c>
      <c r="Y412">
        <v>6.12</v>
      </c>
      <c r="Z412" t="str">
        <v>7.07</v>
      </c>
      <c r="AA412" t="str">
        <v>1.70</v>
      </c>
      <c r="AB412" t="str">
        <v>友通</v>
      </c>
      <c r="AC412" t="str">
        <v>上市電腦及週邊設備</v>
      </c>
      <c r="AD412" t="str">
        <v>佳世達集團旗下工業電腦嵌入式解決方案供應商</v>
      </c>
      <c r="AE412" t="str">
        <f t="array" ref="AE412:AH412">[1]!'2397.TW-CName,InvestorConferenceDate,DateofMeetingofShareHolders,TradingDate'</f>
        <v>友通</v>
      </c>
      <c r="AF412" t="str">
        <v>2022/11/10</v>
      </c>
      <c r="AG412" t="str">
        <v>2022/06/17</v>
      </c>
      <c r="AH412" t="str">
        <v>2022/12/22</v>
      </c>
    </row>
    <row r="413" spans="1:34" x14ac:dyDescent="0.3">
      <c r="A413" t="str">
        <f t="array" ref="A413:J413">[1]!'2399.TW-ID,Name,MarketValue,Capital,NetIncomeGrowthRate,OperIncomeGrowthRate,FinancialStatementsTime,TFXRatio,MonthlyNetSalesYoY,RevenueMonth'</f>
        <v>2399</v>
      </c>
      <c r="B413" t="str">
        <v>映泰</v>
      </c>
      <c r="C413" t="str">
        <v>24.1</v>
      </c>
      <c r="D413" t="str">
        <v>17.81</v>
      </c>
      <c r="E413" t="str">
        <v>-79.68</v>
      </c>
      <c r="F413" t="str">
        <v>-73.69</v>
      </c>
      <c r="G413" t="str">
        <v>2022/09</v>
      </c>
      <c r="H413" t="str">
        <v>-12.25</v>
      </c>
      <c r="I413" t="str">
        <v>-54.12</v>
      </c>
      <c r="J413" t="str">
        <v>2022/11</v>
      </c>
      <c r="K413" t="str">
        <f t="array" ref="K413:T413">[1]!'2399.TW-OperatingProfitRatio,Price,PriceChangeRatio,InOutRatioNumber,Value,YearReturn,MonthReturn,WeekReturn,FinanceBalanceDif,ChipsField2'</f>
        <v>2.02</v>
      </c>
      <c r="L413">
        <v>13.55</v>
      </c>
      <c r="M413">
        <v>0.37</v>
      </c>
      <c r="N413" t="str">
        <v>39.11%</v>
      </c>
      <c r="O413" t="str">
        <v>726萬</v>
      </c>
      <c r="P413" t="str">
        <v>-36.54</v>
      </c>
      <c r="Q413" t="str">
        <v>-1.45</v>
      </c>
      <c r="R413" t="str">
        <v>-6.23</v>
      </c>
      <c r="S413">
        <v>-27</v>
      </c>
      <c r="T413">
        <v>0</v>
      </c>
      <c r="U413">
        <f t="array" ref="U413:AD413">[1]!'2399.TW-ChipsField3,ChipsField1,ChipsField25,CashAndStockDividend,CashDividendYieldRate,ProfitFourSeason,ProfitSingle,CName,ExchangeIndustry,CompanyPos'</f>
        <v>0</v>
      </c>
      <c r="V413">
        <v>-243</v>
      </c>
      <c r="W413" t="str">
        <v>2022/08/18</v>
      </c>
      <c r="X413" t="str">
        <v>1.20</v>
      </c>
      <c r="Y413">
        <v>8.86</v>
      </c>
      <c r="Z413" t="str">
        <v>0.80</v>
      </c>
      <c r="AA413" t="str">
        <v>0.18</v>
      </c>
      <c r="AB413" t="str">
        <v>映泰</v>
      </c>
      <c r="AC413" t="str">
        <v>上市電腦及週邊設備</v>
      </c>
      <c r="AD413" t="str">
        <v>台灣二線主機板廠</v>
      </c>
      <c r="AE413" t="str">
        <f t="array" ref="AE413:AH413">[1]!'2399.TW-CName,InvestorConferenceDate,DateofMeetingofShareHolders,TradingDate'</f>
        <v>映泰</v>
      </c>
      <c r="AF413" t="str">
        <v>2022/11/02</v>
      </c>
      <c r="AG413" t="str">
        <v>2022/06/23</v>
      </c>
      <c r="AH413" t="str">
        <v>2022/12/22</v>
      </c>
    </row>
    <row r="414" spans="1:34" x14ac:dyDescent="0.3">
      <c r="A414" t="str">
        <f t="array" ref="A414:J414">[1]!'2405.TW-ID,Name,MarketValue,Capital,NetIncomeGrowthRate,OperIncomeGrowthRate,FinancialStatementsTime,TFXRatio,MonthlyNetSalesYoY,RevenueMonth'</f>
        <v>2405</v>
      </c>
      <c r="B414" t="str">
        <v>輔信</v>
      </c>
      <c r="C414" t="str">
        <v>40.4</v>
      </c>
      <c r="D414" t="str">
        <v>34.34</v>
      </c>
      <c r="E414" t="str">
        <v>268.09</v>
      </c>
      <c r="F414" t="str">
        <v>-52.28</v>
      </c>
      <c r="G414" t="str">
        <v>2022/09</v>
      </c>
      <c r="H414" t="str">
        <v>-9.92</v>
      </c>
      <c r="I414" t="str">
        <v>-31.82</v>
      </c>
      <c r="J414" t="str">
        <v>2022/11</v>
      </c>
      <c r="K414" t="str">
        <f t="array" ref="K414:T414">[1]!'2405.TW-OperatingProfitRatio,Price,PriceChangeRatio,InOutRatioNumber,Value,YearReturn,MonthReturn,WeekReturn,FinanceBalanceDif,ChipsField2'</f>
        <v>1.86</v>
      </c>
      <c r="L414">
        <v>11.75</v>
      </c>
      <c r="M414">
        <v>0.43</v>
      </c>
      <c r="N414" t="str">
        <v>36.24%</v>
      </c>
      <c r="O414" t="str">
        <v>523萬</v>
      </c>
      <c r="P414" t="str">
        <v>-36.83</v>
      </c>
      <c r="Q414" t="str">
        <v>-7.11</v>
      </c>
      <c r="R414" t="str">
        <v>-6.75</v>
      </c>
      <c r="S414">
        <v>-337</v>
      </c>
      <c r="T414">
        <v>0</v>
      </c>
      <c r="U414">
        <f t="array" ref="U414:AD414">[1]!'2405.TW-ChipsField3,ChipsField1,ChipsField25,CashAndStockDividend,CashDividendYieldRate,ProfitFourSeason,ProfitSingle,CName,ExchangeIndustry,CompanyPos'</f>
        <v>1</v>
      </c>
      <c r="V414">
        <v>-39</v>
      </c>
      <c r="W414" t="str">
        <v>--</v>
      </c>
      <c r="X414" t="str">
        <v>0.00</v>
      </c>
      <c r="Y414">
        <v>0</v>
      </c>
      <c r="Z414" t="str">
        <v>0.75</v>
      </c>
      <c r="AA414" t="str">
        <v>0.11</v>
      </c>
      <c r="AB414" t="str">
        <v>輔信</v>
      </c>
      <c r="AC414" t="str">
        <v>上市電腦及週邊設備</v>
      </c>
      <c r="AD414" t="str">
        <v>台灣準系統廠</v>
      </c>
      <c r="AE414" t="str">
        <f t="array" ref="AE414:AH414">[1]!'2405.TW-CName,InvestorConferenceDate,DateofMeetingofShareHolders,TradingDate'</f>
        <v>輔信</v>
      </c>
      <c r="AF414" t="str">
        <v>2021/12/01</v>
      </c>
      <c r="AG414" t="str">
        <v>2022/06/08</v>
      </c>
      <c r="AH414" t="str">
        <v>2022/12/22</v>
      </c>
    </row>
    <row r="415" spans="1:34" x14ac:dyDescent="0.3">
      <c r="A415" t="str">
        <f t="array" ref="A415:J415">[1]!'2417.TW-ID,Name,MarketValue,Capital,NetIncomeGrowthRate,OperIncomeGrowthRate,FinancialStatementsTime,TFXRatio,MonthlyNetSalesYoY,RevenueMonth'</f>
        <v>2417</v>
      </c>
      <c r="B415" t="str">
        <v>圓剛</v>
      </c>
      <c r="C415" t="str">
        <v>35.5</v>
      </c>
      <c r="D415" t="str">
        <v>15.82</v>
      </c>
      <c r="E415" t="str">
        <v>-37.66</v>
      </c>
      <c r="F415" t="str">
        <v>-75.67</v>
      </c>
      <c r="G415" t="str">
        <v>2022/09</v>
      </c>
      <c r="H415" t="str">
        <v>13.56</v>
      </c>
      <c r="I415" t="str">
        <v>-9.88</v>
      </c>
      <c r="J415" t="str">
        <v>2022/11</v>
      </c>
      <c r="K415" t="str">
        <f t="array" ref="K415:T415">[1]!'2417.TW-OperatingProfitRatio,Price,PriceChangeRatio,InOutRatioNumber,Value,YearReturn,MonthReturn,WeekReturn,FinanceBalanceDif,ChipsField2'</f>
        <v>3.52</v>
      </c>
      <c r="L415">
        <v>22.4</v>
      </c>
      <c r="M415">
        <v>0.9</v>
      </c>
      <c r="N415" t="str">
        <v>58.62%</v>
      </c>
      <c r="O415" t="str">
        <v>393萬</v>
      </c>
      <c r="P415" t="str">
        <v>-9.00</v>
      </c>
      <c r="Q415" t="str">
        <v>+2.05</v>
      </c>
      <c r="R415" t="str">
        <v>-5.08</v>
      </c>
      <c r="S415">
        <v>-10</v>
      </c>
      <c r="T415">
        <v>0</v>
      </c>
      <c r="U415">
        <f t="array" ref="U415:AD415">[1]!'2417.TW-ChipsField3,ChipsField1,ChipsField25,CashAndStockDividend,CashDividendYieldRate,ProfitFourSeason,ProfitSingle,CName,ExchangeIndustry,CompanyPos'</f>
        <v>-2</v>
      </c>
      <c r="V415">
        <v>17</v>
      </c>
      <c r="W415" t="str">
        <v>2022/07/04</v>
      </c>
      <c r="X415" t="str">
        <v>0.15</v>
      </c>
      <c r="Y415">
        <v>0.67</v>
      </c>
      <c r="Z415" t="str">
        <v>0.28</v>
      </c>
      <c r="AA415" t="str">
        <v>0.07</v>
      </c>
      <c r="AB415" t="str">
        <v>圓剛</v>
      </c>
      <c r="AC415" t="str">
        <v>上市電腦及週邊設備</v>
      </c>
      <c r="AD415" t="str">
        <v>台灣知名影音視訊媒體解決方案商</v>
      </c>
      <c r="AE415" t="str">
        <f t="array" ref="AE415:AH415">[1]!'2417.TW-CName,InvestorConferenceDate,DateofMeetingofShareHolders,TradingDate'</f>
        <v>圓剛</v>
      </c>
      <c r="AF415" t="str">
        <v>2022/12/23</v>
      </c>
      <c r="AG415" t="str">
        <v>2022/06/16</v>
      </c>
      <c r="AH415" t="str">
        <v>2022/12/22</v>
      </c>
    </row>
    <row r="416" spans="1:34" x14ac:dyDescent="0.3">
      <c r="A416" t="str">
        <f t="array" ref="A416:J416">[1]!'2424.TW-ID,Name,MarketValue,Capital,NetIncomeGrowthRate,OperIncomeGrowthRate,FinancialStatementsTime,TFXRatio,MonthlyNetSalesYoY,RevenueMonth'</f>
        <v>2424</v>
      </c>
      <c r="B416" t="str">
        <v>隴華</v>
      </c>
      <c r="C416" t="str">
        <v>3.6</v>
      </c>
      <c r="D416" t="str">
        <v>4.25</v>
      </c>
      <c r="E416" t="str">
        <v>17.63</v>
      </c>
      <c r="F416" t="str">
        <v>16.61</v>
      </c>
      <c r="G416" t="str">
        <v>2022/09</v>
      </c>
      <c r="H416" t="str">
        <v>540.04</v>
      </c>
      <c r="I416" t="str">
        <v>380.11</v>
      </c>
      <c r="J416" t="str">
        <v>2022/11</v>
      </c>
      <c r="K416" t="str">
        <f t="array" ref="K416:T416">[1]!'2424.TW-OperatingProfitRatio,Price,PriceChangeRatio,InOutRatioNumber,Value,YearReturn,MonthReturn,WeekReturn,FinanceBalanceDif,ChipsField2'</f>
        <v>-245.11</v>
      </c>
      <c r="L416">
        <v>20.05</v>
      </c>
      <c r="M416">
        <v>-3.37</v>
      </c>
      <c r="N416" t="str">
        <v>50.00%</v>
      </c>
      <c r="O416" t="str">
        <v>18.7萬</v>
      </c>
      <c r="P416" t="str">
        <v>-7.60</v>
      </c>
      <c r="Q416" t="str">
        <v>-4.98</v>
      </c>
      <c r="R416" t="str">
        <v>-2.91</v>
      </c>
      <c r="S416">
        <v>0</v>
      </c>
      <c r="T416">
        <v>0</v>
      </c>
      <c r="U416">
        <f t="array" ref="U416:AD416">[1]!'2424.TW-ChipsField3,ChipsField1,ChipsField25,CashAndStockDividend,CashDividendYieldRate,ProfitFourSeason,ProfitSingle,CName,ExchangeIndustry,CompanyPos'</f>
        <v>0</v>
      </c>
      <c r="V416">
        <v>0</v>
      </c>
      <c r="W416" t="str">
        <v>--</v>
      </c>
      <c r="X416" t="str">
        <v>0.00</v>
      </c>
      <c r="Y416">
        <v>0</v>
      </c>
      <c r="Z416" t="str">
        <v>-5.91</v>
      </c>
      <c r="AA416" t="str">
        <v>-1.26</v>
      </c>
      <c r="AB416" t="str">
        <v>隴華</v>
      </c>
      <c r="AC416" t="str">
        <v>上市電腦及週邊設備</v>
      </c>
      <c r="AD416" t="str">
        <v>轉型經營海上衛星寬頻業務</v>
      </c>
      <c r="AE416" t="str">
        <f t="array" ref="AE416:AH416">[1]!'2424.TW-CName,InvestorConferenceDate,DateofMeetingofShareHolders,TradingDate'</f>
        <v>隴華</v>
      </c>
      <c r="AF416" t="str">
        <v>2022/11/29</v>
      </c>
      <c r="AG416" t="str">
        <v>2022/06/17</v>
      </c>
      <c r="AH416" t="str">
        <v>2022/12/22</v>
      </c>
    </row>
    <row r="417" spans="1:34" x14ac:dyDescent="0.3">
      <c r="A417" t="str">
        <f t="array" ref="A417:J417">[1]!'2425.TW-ID,Name,MarketValue,Capital,NetIncomeGrowthRate,OperIncomeGrowthRate,FinancialStatementsTime,TFXRatio,MonthlyNetSalesYoY,RevenueMonth'</f>
        <v>2425</v>
      </c>
      <c r="B417" t="str">
        <v>承啟</v>
      </c>
      <c r="C417" t="str">
        <v>28.9</v>
      </c>
      <c r="D417" t="str">
        <v>9.65</v>
      </c>
      <c r="E417" t="str">
        <v>261.09</v>
      </c>
      <c r="F417" t="str">
        <v>0.72</v>
      </c>
      <c r="G417" t="str">
        <v>2022/09</v>
      </c>
      <c r="H417" t="str">
        <v>47.55</v>
      </c>
      <c r="I417" t="str">
        <v>-6.67</v>
      </c>
      <c r="J417" t="str">
        <v>2022/11</v>
      </c>
      <c r="K417" t="str">
        <f t="array" ref="K417:T417">[1]!'2425.TW-OperatingProfitRatio,Price,PriceChangeRatio,InOutRatioNumber,Value,YearReturn,MonthReturn,WeekReturn,FinanceBalanceDif,ChipsField2'</f>
        <v>5.53</v>
      </c>
      <c r="L417">
        <v>28.45</v>
      </c>
      <c r="M417">
        <v>-1.73</v>
      </c>
      <c r="N417" t="str">
        <v>54.04%</v>
      </c>
      <c r="O417" t="str">
        <v>1929萬</v>
      </c>
      <c r="P417" t="str">
        <v>+5.30</v>
      </c>
      <c r="Q417" t="str">
        <v>+4.02</v>
      </c>
      <c r="R417" t="str">
        <v>-5.17</v>
      </c>
      <c r="S417">
        <v>45</v>
      </c>
      <c r="T417">
        <v>0</v>
      </c>
      <c r="U417">
        <f t="array" ref="U417:AD417">[1]!'2425.TW-ChipsField3,ChipsField1,ChipsField25,CashAndStockDividend,CashDividendYieldRate,ProfitFourSeason,ProfitSingle,CName,ExchangeIndustry,CompanyPos'</f>
        <v>1</v>
      </c>
      <c r="V417">
        <v>-15</v>
      </c>
      <c r="W417" t="str">
        <v>2022/07/01</v>
      </c>
      <c r="X417" t="str">
        <v>0.60</v>
      </c>
      <c r="Y417">
        <v>2.11</v>
      </c>
      <c r="Z417" t="str">
        <v>3.94</v>
      </c>
      <c r="AA417" t="str">
        <v>1.50</v>
      </c>
      <c r="AB417" t="str">
        <v>承啟</v>
      </c>
      <c r="AC417" t="str">
        <v>上市電腦及週邊設備</v>
      </c>
      <c r="AD417" t="str">
        <v>台灣繪圖卡廠商，與大陸七彩紅合作推平板電腦</v>
      </c>
      <c r="AE417" t="str">
        <f t="array" ref="AE417:AH417">[1]!'2425.TW-CName,InvestorConferenceDate,DateofMeetingofShareHolders,TradingDate'</f>
        <v>承啟</v>
      </c>
      <c r="AF417" t="str">
        <v>2022/12/16</v>
      </c>
      <c r="AG417" t="str">
        <v>2022/06/15</v>
      </c>
      <c r="AH417" t="str">
        <v>2022/12/22</v>
      </c>
    </row>
    <row r="418" spans="1:34" x14ac:dyDescent="0.3">
      <c r="A418" t="str">
        <f t="array" ref="A418:J418">[1]!'2442.TW-ID,Name,MarketValue,Capital,NetIncomeGrowthRate,OperIncomeGrowthRate,FinancialStatementsTime,TFXRatio,MonthlyNetSalesYoY,RevenueMonth'</f>
        <v>2442</v>
      </c>
      <c r="B418" t="str">
        <v>新美齊</v>
      </c>
      <c r="C418" t="str">
        <v>33.6</v>
      </c>
      <c r="D418" t="str">
        <v>25.33</v>
      </c>
      <c r="E418" t="str">
        <v>-83.66</v>
      </c>
      <c r="F418" t="str">
        <v>-89.11</v>
      </c>
      <c r="G418" t="str">
        <v>2022/09</v>
      </c>
      <c r="H418" t="str">
        <v>-5.24</v>
      </c>
      <c r="I418" t="str">
        <v>-96.04</v>
      </c>
      <c r="J418" t="str">
        <v>2022/11</v>
      </c>
      <c r="K418" t="str">
        <f t="array" ref="K418:T418">[1]!'2442.TW-OperatingProfitRatio,Price,PriceChangeRatio,InOutRatioNumber,Value,YearReturn,MonthReturn,WeekReturn,FinanceBalanceDif,ChipsField2'</f>
        <v>6.35</v>
      </c>
      <c r="L418">
        <v>13.25</v>
      </c>
      <c r="M418">
        <v>1.92</v>
      </c>
      <c r="N418" t="str">
        <v>70.77%</v>
      </c>
      <c r="O418" t="str">
        <v>343萬</v>
      </c>
      <c r="P418" t="str">
        <v>+8.00</v>
      </c>
      <c r="Q418" t="str">
        <v>+8.16</v>
      </c>
      <c r="R418" t="str">
        <v>-3.64</v>
      </c>
      <c r="S418">
        <v>-108</v>
      </c>
      <c r="T418">
        <v>0</v>
      </c>
      <c r="U418">
        <f t="array" ref="U418:AD418">[1]!'2442.TW-ChipsField3,ChipsField1,ChipsField25,CashAndStockDividend,CashDividendYieldRate,ProfitFourSeason,ProfitSingle,CName,ExchangeIndustry,CompanyPos'</f>
        <v>-8</v>
      </c>
      <c r="V418">
        <v>42</v>
      </c>
      <c r="W418" t="str">
        <v>2022/08/29</v>
      </c>
      <c r="X418" t="str">
        <v>0.72</v>
      </c>
      <c r="Y418">
        <v>5.43</v>
      </c>
      <c r="Z418" t="str">
        <v>0.61</v>
      </c>
      <c r="AA418" t="str">
        <v>-0.12</v>
      </c>
      <c r="AB418" t="str">
        <v>新美齊</v>
      </c>
      <c r="AC418" t="str">
        <v>上市電腦及週邊設備</v>
      </c>
      <c r="AD418" t="str">
        <v>轉型從事不動產建設開發</v>
      </c>
      <c r="AE418" t="str">
        <f t="array" ref="AE418:AH418">[1]!'2442.TW-CName,InvestorConferenceDate,DateofMeetingofShareHolders,TradingDate'</f>
        <v>新美齊</v>
      </c>
      <c r="AF418" t="str">
        <v>2022/12/14</v>
      </c>
      <c r="AG418" t="str">
        <v>2022/05/24</v>
      </c>
      <c r="AH418" t="str">
        <v>2022/12/22</v>
      </c>
    </row>
    <row r="419" spans="1:34" x14ac:dyDescent="0.3">
      <c r="A419" t="str">
        <f t="array" ref="A419:J419">[1]!'2465.TW-ID,Name,MarketValue,Capital,NetIncomeGrowthRate,OperIncomeGrowthRate,FinancialStatementsTime,TFXRatio,MonthlyNetSalesYoY,RevenueMonth'</f>
        <v>2465</v>
      </c>
      <c r="B419" t="str">
        <v>麗臺</v>
      </c>
      <c r="C419" t="str">
        <v>22.8</v>
      </c>
      <c r="D419" t="str">
        <v>5.89</v>
      </c>
      <c r="E419" t="str">
        <v>-129.76</v>
      </c>
      <c r="F419" t="str">
        <v>-111.22</v>
      </c>
      <c r="G419" t="str">
        <v>2022/09</v>
      </c>
      <c r="H419" t="str">
        <v>51.71</v>
      </c>
      <c r="I419" t="str">
        <v>-51.21</v>
      </c>
      <c r="J419" t="str">
        <v>2022/11</v>
      </c>
      <c r="K419" t="str">
        <f t="array" ref="K419:T419">[1]!'2465.TW-OperatingProfitRatio,Price,PriceChangeRatio,InOutRatioNumber,Value,YearReturn,MonthReturn,WeekReturn,FinanceBalanceDif,ChipsField2'</f>
        <v>-1.18</v>
      </c>
      <c r="L419">
        <v>38.75</v>
      </c>
      <c r="M419">
        <v>0.52</v>
      </c>
      <c r="N419" t="str">
        <v>36.10%</v>
      </c>
      <c r="O419" t="str">
        <v>9311萬</v>
      </c>
      <c r="P419" t="str">
        <v>-45.97</v>
      </c>
      <c r="Q419" t="str">
        <v>+3.06</v>
      </c>
      <c r="R419" t="str">
        <v>-3.61</v>
      </c>
      <c r="S419">
        <v>75</v>
      </c>
      <c r="T419">
        <v>0</v>
      </c>
      <c r="U419">
        <f t="array" ref="U419:AD419">[1]!'2465.TW-ChipsField3,ChipsField1,ChipsField25,CashAndStockDividend,CashDividendYieldRate,ProfitFourSeason,ProfitSingle,CName,ExchangeIndustry,CompanyPos'</f>
        <v>0</v>
      </c>
      <c r="V419">
        <v>-569</v>
      </c>
      <c r="W419" t="str">
        <v>2022/09/01</v>
      </c>
      <c r="X419" t="str">
        <v>2.00</v>
      </c>
      <c r="Y419">
        <v>5.16</v>
      </c>
      <c r="Z419" t="str">
        <v>-0.47</v>
      </c>
      <c r="AA419" t="str">
        <v>-1.09</v>
      </c>
      <c r="AB419" t="str">
        <v>麗臺</v>
      </c>
      <c r="AC419" t="str">
        <v>上市電腦及週邊設備</v>
      </c>
      <c r="AD419" t="str">
        <v>台灣繪圖卡廠商</v>
      </c>
      <c r="AE419" t="str">
        <f t="array" ref="AE419:AH419">[1]!'2465.TW-CName,InvestorConferenceDate,DateofMeetingofShareHolders,TradingDate'</f>
        <v>麗臺</v>
      </c>
      <c r="AF419" t="str">
        <v>2022/12/14</v>
      </c>
      <c r="AG419" t="str">
        <v>2022/06/08</v>
      </c>
      <c r="AH419" t="str">
        <v>2022/12/22</v>
      </c>
    </row>
    <row r="420" spans="1:34" x14ac:dyDescent="0.3">
      <c r="A420" t="str">
        <f t="array" ref="A420:J420">[1]!'2495.TW-ID,Name,MarketValue,Capital,NetIncomeGrowthRate,OperIncomeGrowthRate,FinancialStatementsTime,TFXRatio,MonthlyNetSalesYoY,RevenueMonth'</f>
        <v>2495</v>
      </c>
      <c r="B420" t="str">
        <v>普安</v>
      </c>
      <c r="C420" t="str">
        <v>60.9</v>
      </c>
      <c r="D420" t="str">
        <v>27.36</v>
      </c>
      <c r="E420" t="str">
        <v>130.77</v>
      </c>
      <c r="F420" t="str">
        <v>1418.66</v>
      </c>
      <c r="G420" t="str">
        <v>2022/09</v>
      </c>
      <c r="H420" t="str">
        <v>7.39</v>
      </c>
      <c r="I420" t="str">
        <v>33.99</v>
      </c>
      <c r="J420" t="str">
        <v>2022/11</v>
      </c>
      <c r="K420" t="str">
        <f t="array" ref="K420:T420">[1]!'2495.TW-OperatingProfitRatio,Price,PriceChangeRatio,InOutRatioNumber,Value,YearReturn,MonthReturn,WeekReturn,FinanceBalanceDif,ChipsField2'</f>
        <v>11.50</v>
      </c>
      <c r="L420">
        <v>22.25</v>
      </c>
      <c r="M420">
        <v>2.06</v>
      </c>
      <c r="N420" t="str">
        <v>52.60%</v>
      </c>
      <c r="O420" t="str">
        <v>5079萬</v>
      </c>
      <c r="P420" t="str">
        <v>+21.27</v>
      </c>
      <c r="Q420" t="str">
        <v>+10.70</v>
      </c>
      <c r="R420" t="str">
        <v>-4.30</v>
      </c>
      <c r="S420">
        <v>66</v>
      </c>
      <c r="T420">
        <v>0</v>
      </c>
      <c r="U420">
        <f t="array" ref="U420:AD420">[1]!'2495.TW-ChipsField3,ChipsField1,ChipsField25,CashAndStockDividend,CashDividendYieldRate,ProfitFourSeason,ProfitSingle,CName,ExchangeIndustry,CompanyPos'</f>
        <v>-81</v>
      </c>
      <c r="V420">
        <v>158</v>
      </c>
      <c r="W420" t="str">
        <v>2022/08/01</v>
      </c>
      <c r="X420" t="str">
        <v>0.40</v>
      </c>
      <c r="Y420">
        <v>1.8</v>
      </c>
      <c r="Z420" t="str">
        <v>0.83</v>
      </c>
      <c r="AA420" t="str">
        <v>0.30</v>
      </c>
      <c r="AB420" t="str">
        <v>普安</v>
      </c>
      <c r="AC420" t="str">
        <v>上市電腦及週邊設備</v>
      </c>
      <c r="AD420" t="str">
        <v>全球前十大磁碟陣列及NAS系統供應商</v>
      </c>
      <c r="AE420" t="str">
        <f t="array" ref="AE420:AH420">[1]!'2495.TW-CName,InvestorConferenceDate,DateofMeetingofShareHolders,TradingDate'</f>
        <v>普安</v>
      </c>
      <c r="AF420" t="str">
        <v>2022/11/16</v>
      </c>
      <c r="AG420" t="str">
        <v>2022/06/14</v>
      </c>
      <c r="AH420" t="str">
        <v>2022/12/22</v>
      </c>
    </row>
    <row r="421" spans="1:34" x14ac:dyDescent="0.3">
      <c r="A421" t="str">
        <f t="array" ref="A421:J421">[1]!'3002.TW-ID,Name,MarketValue,Capital,NetIncomeGrowthRate,OperIncomeGrowthRate,FinancialStatementsTime,TFXRatio,MonthlyNetSalesYoY,RevenueMonth'</f>
        <v>3002</v>
      </c>
      <c r="B421" t="str">
        <v>歐格</v>
      </c>
      <c r="C421" t="str">
        <v>11.7</v>
      </c>
      <c r="D421" t="str">
        <v>10.20</v>
      </c>
      <c r="E421" t="str">
        <v>-197.90</v>
      </c>
      <c r="F421" t="str">
        <v>151.70</v>
      </c>
      <c r="G421" t="str">
        <v>2022/09</v>
      </c>
      <c r="H421" t="str">
        <v>-2.02</v>
      </c>
      <c r="I421" t="str">
        <v>-28.27</v>
      </c>
      <c r="J421" t="str">
        <v>2022/11</v>
      </c>
      <c r="K421" t="str">
        <f t="array" ref="K421:T421">[1]!'3002.TW-OperatingProfitRatio,Price,PriceChangeRatio,InOutRatioNumber,Value,YearReturn,MonthReturn,WeekReturn,FinanceBalanceDif,ChipsField2'</f>
        <v>2.05</v>
      </c>
      <c r="L421">
        <v>11.45</v>
      </c>
      <c r="M421">
        <v>-0.43</v>
      </c>
      <c r="N421" t="str">
        <v>50.98%</v>
      </c>
      <c r="O421" t="str">
        <v>58.5萬</v>
      </c>
      <c r="P421" t="str">
        <v>-7.29</v>
      </c>
      <c r="Q421" t="str">
        <v>0.00</v>
      </c>
      <c r="R421" t="str">
        <v>-1.29</v>
      </c>
      <c r="S421">
        <v>6</v>
      </c>
      <c r="T421">
        <v>0</v>
      </c>
      <c r="U421">
        <f t="array" ref="U421:AD421">[1]!'3002.TW-ChipsField3,ChipsField1,ChipsField25,CashAndStockDividend,CashDividendYieldRate,ProfitFourSeason,ProfitSingle,CName,ExchangeIndustry,CompanyPos'</f>
        <v>0</v>
      </c>
      <c r="V421">
        <v>-2</v>
      </c>
      <c r="W421" t="str">
        <v>--</v>
      </c>
      <c r="X421" t="str">
        <v>0.00</v>
      </c>
      <c r="Y421">
        <v>0</v>
      </c>
      <c r="Z421" t="str">
        <v>-0.05</v>
      </c>
      <c r="AA421" t="str">
        <v>0.03</v>
      </c>
      <c r="AB421" t="str">
        <v>歐格</v>
      </c>
      <c r="AC421" t="str">
        <v>上市電腦及週邊設備</v>
      </c>
      <c r="AD421" t="str">
        <v>台灣電源管理與智慧家庭解決方案領導廠商</v>
      </c>
      <c r="AE421" t="str">
        <f t="array" ref="AE421:AH421">[1]!'3002.TW-CName,InvestorConferenceDate,DateofMeetingofShareHolders,TradingDate'</f>
        <v>歐格</v>
      </c>
      <c r="AF421" t="str">
        <v>2022/12/01</v>
      </c>
      <c r="AG421" t="str">
        <v>2022/06/01</v>
      </c>
      <c r="AH421" t="str">
        <v>2022/12/22</v>
      </c>
    </row>
    <row r="422" spans="1:34" x14ac:dyDescent="0.3">
      <c r="A422" t="str">
        <f t="array" ref="A422:J422">[1]!'3005.TW-ID,Name,MarketValue,Capital,NetIncomeGrowthRate,OperIncomeGrowthRate,FinancialStatementsTime,TFXRatio,MonthlyNetSalesYoY,RevenueMonth'</f>
        <v>3005</v>
      </c>
      <c r="B422" t="str">
        <v>神基</v>
      </c>
      <c r="C422" t="str">
        <v>260.9</v>
      </c>
      <c r="D422" t="str">
        <v>60.26</v>
      </c>
      <c r="E422" t="str">
        <v>-55.09</v>
      </c>
      <c r="F422" t="str">
        <v>12.87</v>
      </c>
      <c r="G422" t="str">
        <v>2022/09</v>
      </c>
      <c r="H422" t="str">
        <v>9.06</v>
      </c>
      <c r="I422" t="str">
        <v>11.95</v>
      </c>
      <c r="J422" t="str">
        <v>2022/11</v>
      </c>
      <c r="K422" t="str">
        <f t="array" ref="K422:T422">[1]!'3005.TW-OperatingProfitRatio,Price,PriceChangeRatio,InOutRatioNumber,Value,YearReturn,MonthReturn,WeekReturn,FinanceBalanceDif,ChipsField2'</f>
        <v>8.40</v>
      </c>
      <c r="L422">
        <v>43.4</v>
      </c>
      <c r="M422">
        <v>0.23</v>
      </c>
      <c r="N422" t="str">
        <v>25.87%</v>
      </c>
      <c r="O422" t="str">
        <v>1512萬</v>
      </c>
      <c r="P422" t="str">
        <v>-13.39</v>
      </c>
      <c r="Q422" t="str">
        <v>+5.72</v>
      </c>
      <c r="R422" t="str">
        <v>-1.14</v>
      </c>
      <c r="S422">
        <v>4</v>
      </c>
      <c r="T422">
        <v>0</v>
      </c>
      <c r="U422">
        <f t="array" ref="U422:AD422">[1]!'3005.TW-ChipsField3,ChipsField1,ChipsField25,CashAndStockDividend,CashDividendYieldRate,ProfitFourSeason,ProfitSingle,CName,ExchangeIndustry,CompanyPos'</f>
        <v>-29</v>
      </c>
      <c r="V422">
        <v>46</v>
      </c>
      <c r="W422" t="str">
        <v>2022/03/25</v>
      </c>
      <c r="X422" t="str">
        <v>3.59</v>
      </c>
      <c r="Y422">
        <v>8.27</v>
      </c>
      <c r="Z422" t="str">
        <v>3.72</v>
      </c>
      <c r="AA422" t="str">
        <v>1.21</v>
      </c>
      <c r="AB422" t="str">
        <v>神基</v>
      </c>
      <c r="AC422" t="str">
        <v>上市電腦及週邊設備</v>
      </c>
      <c r="AD422" t="str">
        <v>全球前三大軍工規電腦廠</v>
      </c>
      <c r="AE422" t="str">
        <f t="array" ref="AE422:AH422">[1]!'3005.TW-CName,InvestorConferenceDate,DateofMeetingofShareHolders,TradingDate'</f>
        <v>神基</v>
      </c>
      <c r="AF422" t="str">
        <v>2022/08/17</v>
      </c>
      <c r="AG422" t="str">
        <v>2022/05/27</v>
      </c>
      <c r="AH422" t="str">
        <v>2022/12/22</v>
      </c>
    </row>
    <row r="423" spans="1:34" x14ac:dyDescent="0.3">
      <c r="A423" t="str">
        <f t="array" ref="A423:J423">[1]!'3013.TW-ID,Name,MarketValue,Capital,NetIncomeGrowthRate,OperIncomeGrowthRate,FinancialStatementsTime,TFXRatio,MonthlyNetSalesYoY,RevenueMonth'</f>
        <v>3013</v>
      </c>
      <c r="B423" t="str">
        <v>晟銘電</v>
      </c>
      <c r="C423" t="str">
        <v>32.1</v>
      </c>
      <c r="D423" t="str">
        <v>19.59</v>
      </c>
      <c r="E423" t="str">
        <v>317.12</v>
      </c>
      <c r="F423" t="str">
        <v>154.84</v>
      </c>
      <c r="G423" t="str">
        <v>2022/09</v>
      </c>
      <c r="H423" t="str">
        <v>49.00</v>
      </c>
      <c r="I423" t="str">
        <v>48.62</v>
      </c>
      <c r="J423" t="str">
        <v>2022/11</v>
      </c>
      <c r="K423" t="str">
        <f t="array" ref="K423:T423">[1]!'3013.TW-OperatingProfitRatio,Price,PriceChangeRatio,InOutRatioNumber,Value,YearReturn,MonthReturn,WeekReturn,FinanceBalanceDif,ChipsField2'</f>
        <v>1.44</v>
      </c>
      <c r="L423">
        <v>20.6</v>
      </c>
      <c r="M423">
        <v>3</v>
      </c>
      <c r="N423" t="str">
        <v>53.74%</v>
      </c>
      <c r="O423" t="str">
        <v>2.58億</v>
      </c>
      <c r="P423" t="str">
        <v>+40.14</v>
      </c>
      <c r="Q423" t="str">
        <v>+32.90</v>
      </c>
      <c r="R423" t="str">
        <v>-3.74</v>
      </c>
      <c r="S423">
        <v>132</v>
      </c>
      <c r="T423">
        <v>0</v>
      </c>
      <c r="U423">
        <f t="array" ref="U423:AD423">[1]!'3013.TW-ChipsField3,ChipsField1,ChipsField25,CashAndStockDividend,CashDividendYieldRate,ProfitFourSeason,ProfitSingle,CName,ExchangeIndustry,CompanyPos'</f>
        <v>3</v>
      </c>
      <c r="V423">
        <v>-901</v>
      </c>
      <c r="W423" t="str">
        <v>--</v>
      </c>
      <c r="X423" t="str">
        <v>0.00</v>
      </c>
      <c r="Y423">
        <v>0</v>
      </c>
      <c r="Z423" t="str">
        <v>0.79</v>
      </c>
      <c r="AA423" t="str">
        <v>0.66</v>
      </c>
      <c r="AB423" t="str">
        <v>晟銘電</v>
      </c>
      <c r="AC423" t="str">
        <v>上市電腦及週邊設備</v>
      </c>
      <c r="AD423" t="str">
        <v>台灣電腦機殼OEM/ODM製造商</v>
      </c>
      <c r="AE423" t="str">
        <f t="array" ref="AE423:AH423">[1]!'3013.TW-CName,InvestorConferenceDate,DateofMeetingofShareHolders,TradingDate'</f>
        <v>晟銘電</v>
      </c>
      <c r="AF423" t="str">
        <v>2022/11/11</v>
      </c>
      <c r="AG423" t="str">
        <v>2022/06/17</v>
      </c>
      <c r="AH423" t="str">
        <v>2022/12/22</v>
      </c>
    </row>
    <row r="424" spans="1:34" x14ac:dyDescent="0.3">
      <c r="A424" t="str">
        <f t="array" ref="A424:J424">[1]!'3017.TW-ID,Name,MarketValue,Capital,NetIncomeGrowthRate,OperIncomeGrowthRate,FinancialStatementsTime,TFXRatio,MonthlyNetSalesYoY,RevenueMonth'</f>
        <v>3017</v>
      </c>
      <c r="B424" t="str">
        <v>奇鋐</v>
      </c>
      <c r="C424" t="str">
        <v>399.2</v>
      </c>
      <c r="D424" t="str">
        <v>35.33</v>
      </c>
      <c r="E424" t="str">
        <v>34.69</v>
      </c>
      <c r="F424" t="str">
        <v>34.96</v>
      </c>
      <c r="G424" t="str">
        <v>2022/09</v>
      </c>
      <c r="H424" t="str">
        <v>1.41</v>
      </c>
      <c r="I424" t="str">
        <v>24.49</v>
      </c>
      <c r="J424" t="str">
        <v>2022/11</v>
      </c>
      <c r="K424" t="str">
        <f t="array" ref="K424:T424">[1]!'3017.TW-OperatingProfitRatio,Price,PriceChangeRatio,InOutRatioNumber,Value,YearReturn,MonthReturn,WeekReturn,FinanceBalanceDif,ChipsField2'</f>
        <v>11.20</v>
      </c>
      <c r="L424">
        <v>113</v>
      </c>
      <c r="M424">
        <v>3.67</v>
      </c>
      <c r="N424" t="str">
        <v>71.58%</v>
      </c>
      <c r="O424" t="str">
        <v>6.62億</v>
      </c>
      <c r="P424" t="str">
        <v>+36.41</v>
      </c>
      <c r="Q424" t="str">
        <v>+8.65</v>
      </c>
      <c r="R424" t="str">
        <v>-2.59</v>
      </c>
      <c r="S424">
        <v>217</v>
      </c>
      <c r="T424">
        <v>3128</v>
      </c>
      <c r="U424">
        <f t="array" ref="U424:AD424">[1]!'3017.TW-ChipsField3,ChipsField1,ChipsField25,CashAndStockDividend,CashDividendYieldRate,ProfitFourSeason,ProfitSingle,CName,ExchangeIndustry,CompanyPos'</f>
        <v>-257</v>
      </c>
      <c r="V424">
        <v>-4202</v>
      </c>
      <c r="W424" t="str">
        <v>2022/08/25</v>
      </c>
      <c r="X424" t="str">
        <v>4.30</v>
      </c>
      <c r="Y424">
        <v>3.81</v>
      </c>
      <c r="Z424" t="str">
        <v>10.73</v>
      </c>
      <c r="AA424" t="str">
        <v>3.51</v>
      </c>
      <c r="AB424" t="str">
        <v>奇鋐</v>
      </c>
      <c r="AC424" t="str">
        <v>上市電腦及週邊設備</v>
      </c>
      <c r="AD424" t="str">
        <v>全球最大PC散熱模組廠</v>
      </c>
      <c r="AE424" t="str">
        <f t="array" ref="AE424:AH424">[1]!'3017.TW-CName,InvestorConferenceDate,DateofMeetingofShareHolders,TradingDate'</f>
        <v>奇鋐</v>
      </c>
      <c r="AF424" t="str">
        <v>2022/08/09</v>
      </c>
      <c r="AG424" t="str">
        <v>2022/06/17</v>
      </c>
      <c r="AH424" t="str">
        <v>2022/12/22</v>
      </c>
    </row>
    <row r="425" spans="1:34" x14ac:dyDescent="0.3">
      <c r="A425" t="str">
        <f t="array" ref="A425:J425">[1]!'3022.TW-ID,Name,MarketValue,Capital,NetIncomeGrowthRate,OperIncomeGrowthRate,FinancialStatementsTime,TFXRatio,MonthlyNetSalesYoY,RevenueMonth'</f>
        <v>3022</v>
      </c>
      <c r="B425" t="str">
        <v>威強電</v>
      </c>
      <c r="C425" t="str">
        <v>132.6</v>
      </c>
      <c r="D425" t="str">
        <v>17.66</v>
      </c>
      <c r="E425" t="str">
        <v>71.55</v>
      </c>
      <c r="F425" t="str">
        <v>72.43</v>
      </c>
      <c r="G425" t="str">
        <v>2022/09</v>
      </c>
      <c r="H425" t="str">
        <v>19.05</v>
      </c>
      <c r="I425" t="str">
        <v>62.81</v>
      </c>
      <c r="J425" t="str">
        <v>2022/11</v>
      </c>
      <c r="K425" t="str">
        <f t="array" ref="K425:T425">[1]!'3022.TW-OperatingProfitRatio,Price,PriceChangeRatio,InOutRatioNumber,Value,YearReturn,MonthReturn,WeekReturn,FinanceBalanceDif,ChipsField2'</f>
        <v>17.50</v>
      </c>
      <c r="L425">
        <v>75.099999999999994</v>
      </c>
      <c r="M425">
        <v>-1.7</v>
      </c>
      <c r="N425" t="str">
        <v>41.03%</v>
      </c>
      <c r="O425" t="str">
        <v>2.11億</v>
      </c>
      <c r="P425" t="str">
        <v>+79.82</v>
      </c>
      <c r="Q425" t="str">
        <v>+11.76</v>
      </c>
      <c r="R425" t="str">
        <v>-6.01</v>
      </c>
      <c r="S425">
        <v>-167</v>
      </c>
      <c r="T425">
        <v>0</v>
      </c>
      <c r="U425">
        <f t="array" ref="U425:AD425">[1]!'3022.TW-ChipsField3,ChipsField1,ChipsField25,CashAndStockDividend,CashDividendYieldRate,ProfitFourSeason,ProfitSingle,CName,ExchangeIndustry,CompanyPos'</f>
        <v>-30</v>
      </c>
      <c r="V425">
        <v>71</v>
      </c>
      <c r="W425" t="str">
        <v>2022/07/14</v>
      </c>
      <c r="X425" t="str">
        <v>3.00</v>
      </c>
      <c r="Y425">
        <v>3.99</v>
      </c>
      <c r="Z425" t="str">
        <v>7.71</v>
      </c>
      <c r="AA425" t="str">
        <v>3.46</v>
      </c>
      <c r="AB425" t="str">
        <v>威強電</v>
      </c>
      <c r="AC425" t="str">
        <v>上市電腦及週邊設備</v>
      </c>
      <c r="AD425" t="str">
        <v>台灣知名工業電腦廠商</v>
      </c>
      <c r="AE425" t="str">
        <f t="array" ref="AE425:AH425">[1]!'3022.TW-CName,InvestorConferenceDate,DateofMeetingofShareHolders,TradingDate'</f>
        <v>威強電</v>
      </c>
      <c r="AF425" t="str">
        <v>2022/12/14</v>
      </c>
      <c r="AG425" t="str">
        <v>2022/06/14</v>
      </c>
      <c r="AH425" t="str">
        <v>2022/12/22</v>
      </c>
    </row>
    <row r="426" spans="1:34" x14ac:dyDescent="0.3">
      <c r="A426" t="str">
        <f t="array" ref="A426:J426">[1]!'3046.TW-ID,Name,MarketValue,Capital,NetIncomeGrowthRate,OperIncomeGrowthRate,FinancialStatementsTime,TFXRatio,MonthlyNetSalesYoY,RevenueMonth'</f>
        <v>3046</v>
      </c>
      <c r="B426" t="str">
        <v>建碁</v>
      </c>
      <c r="C426" t="str">
        <v>16.6</v>
      </c>
      <c r="D426" t="str">
        <v>7.14</v>
      </c>
      <c r="E426" t="str">
        <v>40.56</v>
      </c>
      <c r="F426" t="str">
        <v>7.25</v>
      </c>
      <c r="G426" t="str">
        <v>2022/09</v>
      </c>
      <c r="H426" t="str">
        <v>11.39</v>
      </c>
      <c r="I426" t="str">
        <v>3.63</v>
      </c>
      <c r="J426" t="str">
        <v>2022/11</v>
      </c>
      <c r="K426" t="str">
        <f t="array" ref="K426:T426">[1]!'3046.TW-OperatingProfitRatio,Price,PriceChangeRatio,InOutRatioNumber,Value,YearReturn,MonthReturn,WeekReturn,FinanceBalanceDif,ChipsField2'</f>
        <v>2.18</v>
      </c>
      <c r="L426">
        <v>47.4</v>
      </c>
      <c r="M426">
        <v>0.32</v>
      </c>
      <c r="N426" t="str">
        <v>42.65%</v>
      </c>
      <c r="O426" t="str">
        <v>5608萬</v>
      </c>
      <c r="P426" t="str">
        <v>+9.72</v>
      </c>
      <c r="Q426" t="str">
        <v>-16.40</v>
      </c>
      <c r="R426" t="str">
        <v>-8.49</v>
      </c>
      <c r="S426">
        <v>-82</v>
      </c>
      <c r="T426">
        <v>0</v>
      </c>
      <c r="U426">
        <f t="array" ref="U426:AD426">[1]!'3046.TW-ChipsField3,ChipsField1,ChipsField25,CashAndStockDividend,CashDividendYieldRate,ProfitFourSeason,ProfitSingle,CName,ExchangeIndustry,CompanyPos'</f>
        <v>0</v>
      </c>
      <c r="V426">
        <v>87</v>
      </c>
      <c r="W426" t="str">
        <v>--</v>
      </c>
      <c r="X426" t="str">
        <v>0.00</v>
      </c>
      <c r="Y426">
        <v>0</v>
      </c>
      <c r="Z426" t="str">
        <v>2.49</v>
      </c>
      <c r="AA426" t="str">
        <v>0.66</v>
      </c>
      <c r="AB426" t="str">
        <v>建碁</v>
      </c>
      <c r="AC426" t="str">
        <v>上市電腦及週邊設備</v>
      </c>
      <c r="AD426" t="str">
        <v>宏碁轉投資工業電腦與數位看板公司</v>
      </c>
      <c r="AE426" t="str">
        <f t="array" ref="AE426:AH426">[1]!'3046.TW-CName,InvestorConferenceDate,DateofMeetingofShareHolders,TradingDate'</f>
        <v>建碁</v>
      </c>
      <c r="AF426" t="str">
        <v>2022/04/15</v>
      </c>
      <c r="AG426" t="str">
        <v>2022/06/17</v>
      </c>
      <c r="AH426" t="str">
        <v>2022/12/22</v>
      </c>
    </row>
    <row r="427" spans="1:34" x14ac:dyDescent="0.3">
      <c r="A427" t="str">
        <f t="array" ref="A427:J427">[1]!'3057.TW-ID,Name,MarketValue,Capital,NetIncomeGrowthRate,OperIncomeGrowthRate,FinancialStatementsTime,TFXRatio,MonthlyNetSalesYoY,RevenueMonth'</f>
        <v>3057</v>
      </c>
      <c r="B427" t="str">
        <v>喬鼎</v>
      </c>
      <c r="C427" t="str">
        <v>8.5</v>
      </c>
      <c r="D427" t="str">
        <v>9.27</v>
      </c>
      <c r="E427" t="str">
        <v>385.10</v>
      </c>
      <c r="F427" t="str">
        <v>1216.31</v>
      </c>
      <c r="G427" t="str">
        <v>2022/09</v>
      </c>
      <c r="H427" t="str">
        <v>4.77</v>
      </c>
      <c r="I427" t="str">
        <v>-41.23</v>
      </c>
      <c r="J427" t="str">
        <v>2022/11</v>
      </c>
      <c r="K427" t="str">
        <f t="array" ref="K427:T427">[1]!'3057.TW-OperatingProfitRatio,Price,PriceChangeRatio,InOutRatioNumber,Value,YearReturn,MonthReturn,WeekReturn,FinanceBalanceDif,ChipsField2'</f>
        <v>0.66</v>
      </c>
      <c r="L427">
        <v>10.1</v>
      </c>
      <c r="M427">
        <v>1.1000000000000001</v>
      </c>
      <c r="N427" t="str">
        <v>66.67%</v>
      </c>
      <c r="O427" t="str">
        <v>34.2萬</v>
      </c>
      <c r="P427" t="str">
        <v>-31.29</v>
      </c>
      <c r="Q427" t="str">
        <v>0.00</v>
      </c>
      <c r="R427" t="str">
        <v>0.00</v>
      </c>
      <c r="S427">
        <v>0</v>
      </c>
      <c r="T427">
        <v>0</v>
      </c>
      <c r="U427">
        <f t="array" ref="U427:AD427">[1]!'3057.TW-ChipsField3,ChipsField1,ChipsField25,CashAndStockDividend,CashDividendYieldRate,ProfitFourSeason,ProfitSingle,CName,ExchangeIndustry,CompanyPos'</f>
        <v>0</v>
      </c>
      <c r="V427">
        <v>-1</v>
      </c>
      <c r="W427" t="str">
        <v>--</v>
      </c>
      <c r="X427" t="str">
        <v>0.00</v>
      </c>
      <c r="Y427">
        <v>0</v>
      </c>
      <c r="Z427" t="str">
        <v>0.34</v>
      </c>
      <c r="AA427" t="str">
        <v>0.01</v>
      </c>
      <c r="AB427" t="str">
        <v>喬鼎</v>
      </c>
      <c r="AC427" t="str">
        <v>上市電腦及週邊設備</v>
      </c>
      <c r="AD427" t="str">
        <v>全球知名RAID控制器及儲存解決方案供應商</v>
      </c>
      <c r="AE427" t="str">
        <f t="array" ref="AE427:AH427">[1]!'3057.TW-CName,InvestorConferenceDate,DateofMeetingofShareHolders,TradingDate'</f>
        <v>喬鼎</v>
      </c>
      <c r="AF427" t="str">
        <v>2021/12/22</v>
      </c>
      <c r="AG427" t="str">
        <v>2022/06/23</v>
      </c>
      <c r="AH427" t="str">
        <v>2022/12/22</v>
      </c>
    </row>
    <row r="428" spans="1:34" x14ac:dyDescent="0.3">
      <c r="A428" t="str">
        <f t="array" ref="A428:J428">[1]!'3060.TW-ID,Name,MarketValue,Capital,NetIncomeGrowthRate,OperIncomeGrowthRate,FinancialStatementsTime,TFXRatio,MonthlyNetSalesYoY,RevenueMonth'</f>
        <v>3060</v>
      </c>
      <c r="B428" t="str">
        <v>銘異</v>
      </c>
      <c r="C428" t="str">
        <v>22.7</v>
      </c>
      <c r="D428" t="str">
        <v>13.76</v>
      </c>
      <c r="E428" t="str">
        <v>-14.09</v>
      </c>
      <c r="F428" t="str">
        <v>-114.90</v>
      </c>
      <c r="G428" t="str">
        <v>2022/09</v>
      </c>
      <c r="H428" t="str">
        <v>-27.68</v>
      </c>
      <c r="I428" t="str">
        <v>-56.58</v>
      </c>
      <c r="J428" t="str">
        <v>2022/11</v>
      </c>
      <c r="K428" t="str">
        <f t="array" ref="K428:T428">[1]!'3060.TW-OperatingProfitRatio,Price,PriceChangeRatio,InOutRatioNumber,Value,YearReturn,MonthReturn,WeekReturn,FinanceBalanceDif,ChipsField2'</f>
        <v>-0.46</v>
      </c>
      <c r="L428">
        <v>16.5</v>
      </c>
      <c r="M428">
        <v>0.61</v>
      </c>
      <c r="N428" t="str">
        <v>36.56%</v>
      </c>
      <c r="O428" t="str">
        <v>158萬</v>
      </c>
      <c r="P428" t="str">
        <v>-35.06</v>
      </c>
      <c r="Q428" t="str">
        <v>-2.37</v>
      </c>
      <c r="R428" t="str">
        <v>-3.79</v>
      </c>
      <c r="S428">
        <v>-7</v>
      </c>
      <c r="T428">
        <v>0</v>
      </c>
      <c r="U428">
        <f t="array" ref="U428:AD428">[1]!'3060.TW-ChipsField3,ChipsField1,ChipsField25,CashAndStockDividend,CashDividendYieldRate,ProfitFourSeason,ProfitSingle,CName,ExchangeIndustry,CompanyPos'</f>
        <v>-6</v>
      </c>
      <c r="V428">
        <v>46</v>
      </c>
      <c r="W428" t="str">
        <v>2022/07/08</v>
      </c>
      <c r="X428" t="str">
        <v>1.00</v>
      </c>
      <c r="Y428">
        <v>6.06</v>
      </c>
      <c r="Z428" t="str">
        <v>1.29</v>
      </c>
      <c r="AA428" t="str">
        <v>0.09</v>
      </c>
      <c r="AB428" t="str">
        <v>銘異</v>
      </c>
      <c r="AC428" t="str">
        <v>上市電腦及週邊設備</v>
      </c>
      <c r="AD428" t="str">
        <v>台灣最大硬碟零組件製造商，主要產品為音圈馬達</v>
      </c>
      <c r="AE428" t="str">
        <f t="array" ref="AE428:AH428">[1]!'3060.TW-CName,InvestorConferenceDate,DateofMeetingofShareHolders,TradingDate'</f>
        <v>銘異</v>
      </c>
      <c r="AF428" t="str">
        <v>2022/12/15</v>
      </c>
      <c r="AG428" t="str">
        <v>2022/06/14</v>
      </c>
      <c r="AH428" t="str">
        <v>2022/12/22</v>
      </c>
    </row>
    <row r="429" spans="1:34" x14ac:dyDescent="0.3">
      <c r="A429" t="str">
        <f t="array" ref="A429:J429">[1]!'3231.TW-ID,Name,MarketValue,Capital,NetIncomeGrowthRate,OperIncomeGrowthRate,FinancialStatementsTime,TFXRatio,MonthlyNetSalesYoY,RevenueMonth'</f>
        <v>3231</v>
      </c>
      <c r="B429" t="str">
        <v>緯創</v>
      </c>
      <c r="C429" t="str">
        <v>874.8</v>
      </c>
      <c r="D429" t="str">
        <v>290.16</v>
      </c>
      <c r="E429" t="str">
        <v>58.27</v>
      </c>
      <c r="F429" t="str">
        <v>54.41</v>
      </c>
      <c r="G429" t="str">
        <v>2022/09</v>
      </c>
      <c r="H429" t="str">
        <v>12.73</v>
      </c>
      <c r="I429" t="str">
        <v>2.78</v>
      </c>
      <c r="J429" t="str">
        <v>2022/11</v>
      </c>
      <c r="K429" t="str">
        <f t="array" ref="K429:T429">[1]!'3231.TW-OperatingProfitRatio,Price,PriceChangeRatio,InOutRatioNumber,Value,YearReturn,MonthReturn,WeekReturn,FinanceBalanceDif,ChipsField2'</f>
        <v>2.33</v>
      </c>
      <c r="L429">
        <v>30.15</v>
      </c>
      <c r="M429">
        <v>0.33</v>
      </c>
      <c r="N429" t="str">
        <v>41.82%</v>
      </c>
      <c r="O429" t="str">
        <v>7.06億</v>
      </c>
      <c r="P429" t="str">
        <v>+13.67</v>
      </c>
      <c r="Q429" t="str">
        <v>+10.24</v>
      </c>
      <c r="R429" t="str">
        <v>+3.43</v>
      </c>
      <c r="S429">
        <v>-21</v>
      </c>
      <c r="T429">
        <v>644</v>
      </c>
      <c r="U429">
        <f t="array" ref="U429:AD429">[1]!'3231.TW-ChipsField3,ChipsField1,ChipsField25,CashAndStockDividend,CashDividendYieldRate,ProfitFourSeason,ProfitSingle,CName,ExchangeIndustry,CompanyPos'</f>
        <v>47</v>
      </c>
      <c r="V429">
        <v>7328</v>
      </c>
      <c r="W429" t="str">
        <v>2022/07/06</v>
      </c>
      <c r="X429" t="str">
        <v>2.20</v>
      </c>
      <c r="Y429">
        <v>7.3</v>
      </c>
      <c r="Z429" t="str">
        <v>4.48</v>
      </c>
      <c r="AA429" t="str">
        <v>1.33</v>
      </c>
      <c r="AB429" t="str">
        <v>緯創</v>
      </c>
      <c r="AC429" t="str">
        <v>上市電腦及週邊設備</v>
      </c>
      <c r="AD429" t="str">
        <v>全球前五大NB代工廠</v>
      </c>
      <c r="AE429" t="str">
        <f t="array" ref="AE429:AH429">[1]!'3231.TW-CName,InvestorConferenceDate,DateofMeetingofShareHolders,TradingDate'</f>
        <v>緯創</v>
      </c>
      <c r="AF429" t="str">
        <v>2021/06/10</v>
      </c>
      <c r="AG429" t="str">
        <v>2022/06/17</v>
      </c>
      <c r="AH429" t="str">
        <v>2022/12/22</v>
      </c>
    </row>
    <row r="430" spans="1:34" x14ac:dyDescent="0.3">
      <c r="A430" t="str">
        <f t="array" ref="A430:J430">[1]!'3416.TW-ID,Name,MarketValue,Capital,NetIncomeGrowthRate,OperIncomeGrowthRate,FinancialStatementsTime,TFXRatio,MonthlyNetSalesYoY,RevenueMonth'</f>
        <v>3416</v>
      </c>
      <c r="B430" t="str">
        <v>融程電</v>
      </c>
      <c r="C430" t="str">
        <v>60.1</v>
      </c>
      <c r="D430" t="str">
        <v>7.28</v>
      </c>
      <c r="E430" t="str">
        <v>18.01</v>
      </c>
      <c r="F430" t="str">
        <v>-1.03</v>
      </c>
      <c r="G430" t="str">
        <v>2022/09</v>
      </c>
      <c r="H430" t="str">
        <v>29.28</v>
      </c>
      <c r="I430" t="str">
        <v>27.41</v>
      </c>
      <c r="J430" t="str">
        <v>2022/11</v>
      </c>
      <c r="K430" t="str">
        <f t="array" ref="K430:T430">[1]!'3416.TW-OperatingProfitRatio,Price,PriceChangeRatio,InOutRatioNumber,Value,YearReturn,MonthReturn,WeekReturn,FinanceBalanceDif,ChipsField2'</f>
        <v>17.41</v>
      </c>
      <c r="L430">
        <v>82.7</v>
      </c>
      <c r="M430">
        <v>0</v>
      </c>
      <c r="N430" t="str">
        <v>35.71%</v>
      </c>
      <c r="O430" t="str">
        <v>240萬</v>
      </c>
      <c r="P430" t="str">
        <v>+14.75</v>
      </c>
      <c r="Q430" t="str">
        <v>-0.48</v>
      </c>
      <c r="R430" t="str">
        <v>-1.43</v>
      </c>
      <c r="S430">
        <v>-1</v>
      </c>
      <c r="T430">
        <v>0</v>
      </c>
      <c r="U430">
        <f t="array" ref="U430:AD430">[1]!'3416.TW-ChipsField3,ChipsField1,ChipsField25,CashAndStockDividend,CashDividendYieldRate,ProfitFourSeason,ProfitSingle,CName,ExchangeIndustry,CompanyPos'</f>
        <v>0</v>
      </c>
      <c r="V430">
        <v>-4</v>
      </c>
      <c r="W430" t="str">
        <v>2022/06/27</v>
      </c>
      <c r="X430" t="str">
        <v>4.50</v>
      </c>
      <c r="Y430">
        <v>5.44</v>
      </c>
      <c r="Z430" t="str">
        <v>5.75</v>
      </c>
      <c r="AA430" t="str">
        <v>2.24</v>
      </c>
      <c r="AB430" t="str">
        <v>融程電</v>
      </c>
      <c r="AC430" t="str">
        <v>上市電腦及週邊設備</v>
      </c>
      <c r="AD430" t="str">
        <v>專攻工業電腦用顯示器廠</v>
      </c>
      <c r="AE430" t="str">
        <f t="array" ref="AE430:AH430">[1]!'3416.TW-CName,InvestorConferenceDate,DateofMeetingofShareHolders,TradingDate'</f>
        <v>融程電</v>
      </c>
      <c r="AF430" t="str">
        <v>2022/04/20</v>
      </c>
      <c r="AG430" t="str">
        <v>2022/05/27</v>
      </c>
      <c r="AH430" t="str">
        <v>2022/12/22</v>
      </c>
    </row>
    <row r="431" spans="1:34" x14ac:dyDescent="0.3">
      <c r="A431" t="str">
        <f t="array" ref="A431:J431">[1]!'3494.TW-ID,Name,MarketValue,Capital,NetIncomeGrowthRate,OperIncomeGrowthRate,FinancialStatementsTime,TFXRatio,MonthlyNetSalesYoY,RevenueMonth'</f>
        <v>3494</v>
      </c>
      <c r="B431" t="str">
        <v>誠研</v>
      </c>
      <c r="C431" t="str">
        <v>13.4</v>
      </c>
      <c r="D431" t="str">
        <v>12.40</v>
      </c>
      <c r="E431" t="str">
        <v>8.82</v>
      </c>
      <c r="F431" t="str">
        <v>16.86</v>
      </c>
      <c r="G431" t="str">
        <v>2022/09</v>
      </c>
      <c r="H431" t="str">
        <v>25.71</v>
      </c>
      <c r="I431" t="str">
        <v>40.31</v>
      </c>
      <c r="J431" t="str">
        <v>2022/11</v>
      </c>
      <c r="K431" t="str">
        <f t="array" ref="K431:T431">[1]!'3494.TW-OperatingProfitRatio,Price,PriceChangeRatio,InOutRatioNumber,Value,YearReturn,MonthReturn,WeekReturn,FinanceBalanceDif,ChipsField2'</f>
        <v>-45.46</v>
      </c>
      <c r="L431">
        <v>11.15</v>
      </c>
      <c r="M431">
        <v>-3.04</v>
      </c>
      <c r="N431" t="str">
        <v>24.27%</v>
      </c>
      <c r="O431" t="str">
        <v>2325萬</v>
      </c>
      <c r="P431" t="str">
        <v>+127.55</v>
      </c>
      <c r="Q431" t="str">
        <v>+25.99</v>
      </c>
      <c r="R431" t="str">
        <v>-10.80</v>
      </c>
      <c r="S431">
        <v>0</v>
      </c>
      <c r="T431">
        <v>0</v>
      </c>
      <c r="U431">
        <f t="array" ref="U431:AD431">[1]!'3494.TW-ChipsField3,ChipsField1,ChipsField25,CashAndStockDividend,CashDividendYieldRate,ProfitFourSeason,ProfitSingle,CName,ExchangeIndustry,CompanyPos'</f>
        <v>0</v>
      </c>
      <c r="V431">
        <v>62</v>
      </c>
      <c r="W431" t="str">
        <v>--</v>
      </c>
      <c r="X431" t="str">
        <v>0.00</v>
      </c>
      <c r="Y431">
        <v>0</v>
      </c>
      <c r="Z431" t="str">
        <v>-1.37</v>
      </c>
      <c r="AA431" t="str">
        <v>-0.13</v>
      </c>
      <c r="AB431" t="str">
        <v>誠研</v>
      </c>
      <c r="AC431" t="str">
        <v>上市電腦及週邊設備</v>
      </c>
      <c r="AD431" t="str">
        <v>熱昇華式數位相片印表機供應商</v>
      </c>
      <c r="AE431" t="str">
        <f t="array" ref="AE431:AH431">[1]!'3494.TW-CName,InvestorConferenceDate,DateofMeetingofShareHolders,TradingDate'</f>
        <v>誠研</v>
      </c>
      <c r="AF431" t="str">
        <v>2022/12/22</v>
      </c>
      <c r="AG431" t="str">
        <v>2022/06/30</v>
      </c>
      <c r="AH431" t="str">
        <v>2022/12/22</v>
      </c>
    </row>
    <row r="432" spans="1:34" x14ac:dyDescent="0.3">
      <c r="A432" t="str">
        <f t="array" ref="A432:J432">[1]!'3515.TW-ID,Name,MarketValue,Capital,NetIncomeGrowthRate,OperIncomeGrowthRate,FinancialStatementsTime,TFXRatio,MonthlyNetSalesYoY,RevenueMonth'</f>
        <v>3515</v>
      </c>
      <c r="B432" t="str">
        <v>華擎</v>
      </c>
      <c r="C432" t="str">
        <v>167.8</v>
      </c>
      <c r="D432" t="str">
        <v>12.20</v>
      </c>
      <c r="E432" t="str">
        <v>-33.06</v>
      </c>
      <c r="F432" t="str">
        <v>-57.00</v>
      </c>
      <c r="G432" t="str">
        <v>2022/09</v>
      </c>
      <c r="H432" t="str">
        <v>29.14</v>
      </c>
      <c r="I432" t="str">
        <v>2.54</v>
      </c>
      <c r="J432" t="str">
        <v>2022/11</v>
      </c>
      <c r="K432" t="str">
        <f t="array" ref="K432:T432">[1]!'3515.TW-OperatingProfitRatio,Price,PriceChangeRatio,InOutRatioNumber,Value,YearReturn,MonthReturn,WeekReturn,FinanceBalanceDif,ChipsField2'</f>
        <v>7.73</v>
      </c>
      <c r="L432">
        <v>136.5</v>
      </c>
      <c r="M432">
        <v>2.63</v>
      </c>
      <c r="N432" t="str">
        <v>39.09%</v>
      </c>
      <c r="O432" t="str">
        <v>2.61億</v>
      </c>
      <c r="P432" t="str">
        <v>-42.13</v>
      </c>
      <c r="Q432" t="str">
        <v>+5.41</v>
      </c>
      <c r="R432" t="str">
        <v>-4.88</v>
      </c>
      <c r="S432">
        <v>167</v>
      </c>
      <c r="T432">
        <v>0</v>
      </c>
      <c r="U432">
        <f t="array" ref="U432:AD432">[1]!'3515.TW-ChipsField3,ChipsField1,ChipsField25,CashAndStockDividend,CashDividendYieldRate,ProfitFourSeason,ProfitSingle,CName,ExchangeIndustry,CompanyPos'</f>
        <v>-176</v>
      </c>
      <c r="V432">
        <v>-73</v>
      </c>
      <c r="W432" t="str">
        <v>2022/07/14</v>
      </c>
      <c r="X432" t="str">
        <v>13.00</v>
      </c>
      <c r="Y432">
        <v>9.52</v>
      </c>
      <c r="Z432" t="str">
        <v>14.08</v>
      </c>
      <c r="AA432" t="str">
        <v>1.46</v>
      </c>
      <c r="AB432" t="str">
        <v>華擎</v>
      </c>
      <c r="AC432" t="str">
        <v>上市電腦及週邊設備</v>
      </c>
      <c r="AD432" t="str">
        <v>華碩旗下專攻低階MB品牌廠</v>
      </c>
      <c r="AE432" t="str">
        <f t="array" ref="AE432:AH432">[1]!'3515.TW-CName,InvestorConferenceDate,DateofMeetingofShareHolders,TradingDate'</f>
        <v>華擎</v>
      </c>
      <c r="AF432" t="str">
        <v>2022/11/15</v>
      </c>
      <c r="AG432" t="str">
        <v>2022/05/25</v>
      </c>
      <c r="AH432" t="str">
        <v>2022/12/22</v>
      </c>
    </row>
    <row r="433" spans="1:34" x14ac:dyDescent="0.3">
      <c r="A433" t="str">
        <f t="array" ref="A433:J433">[1]!'3652.TW-ID,Name,MarketValue,Capital,NetIncomeGrowthRate,OperIncomeGrowthRate,FinancialStatementsTime,TFXRatio,MonthlyNetSalesYoY,RevenueMonth'</f>
        <v>3652</v>
      </c>
      <c r="B433" t="str">
        <v>精聯</v>
      </c>
      <c r="C433" t="str">
        <v>17.3</v>
      </c>
      <c r="D433" t="str">
        <v>7.51</v>
      </c>
      <c r="E433" t="str">
        <v>49.32</v>
      </c>
      <c r="F433" t="str">
        <v>0.78</v>
      </c>
      <c r="G433" t="str">
        <v>2022/09</v>
      </c>
      <c r="H433" t="str">
        <v>0.51</v>
      </c>
      <c r="I433" t="str">
        <v>12.69</v>
      </c>
      <c r="J433" t="str">
        <v>2022/11</v>
      </c>
      <c r="K433" t="str">
        <f t="array" ref="K433:T433">[1]!'3652.TW-OperatingProfitRatio,Price,PriceChangeRatio,InOutRatioNumber,Value,YearReturn,MonthReturn,WeekReturn,FinanceBalanceDif,ChipsField2'</f>
        <v>5.12</v>
      </c>
      <c r="L433">
        <v>23.1</v>
      </c>
      <c r="M433">
        <v>0.43</v>
      </c>
      <c r="N433" t="str">
        <v>25.81%</v>
      </c>
      <c r="O433" t="str">
        <v>150萬</v>
      </c>
      <c r="P433" t="str">
        <v>+7.10</v>
      </c>
      <c r="Q433" t="str">
        <v>+2.44</v>
      </c>
      <c r="R433" t="str">
        <v>-0.86</v>
      </c>
      <c r="S433">
        <v>-24</v>
      </c>
      <c r="T433">
        <v>0</v>
      </c>
      <c r="U433">
        <f t="array" ref="U433:AD433">[1]!'3652.TW-ChipsField3,ChipsField1,ChipsField25,CashAndStockDividend,CashDividendYieldRate,ProfitFourSeason,ProfitSingle,CName,ExchangeIndustry,CompanyPos'</f>
        <v>0</v>
      </c>
      <c r="V433">
        <v>-6</v>
      </c>
      <c r="W433" t="str">
        <v>2022/06/30</v>
      </c>
      <c r="X433" t="str">
        <v>0.41</v>
      </c>
      <c r="Y433">
        <v>1.77</v>
      </c>
      <c r="Z433" t="str">
        <v>1.15</v>
      </c>
      <c r="AA433" t="str">
        <v>0.35</v>
      </c>
      <c r="AB433" t="str">
        <v>精聯</v>
      </c>
      <c r="AC433" t="str">
        <v>上市電腦及週邊設備</v>
      </c>
      <c r="AD433" t="str">
        <v>台灣自動資料收集ADC大廠</v>
      </c>
      <c r="AE433" t="str">
        <f t="array" ref="AE433:AH433">[1]!'3652.TW-CName,InvestorConferenceDate,DateofMeetingofShareHolders,TradingDate'</f>
        <v>精聯</v>
      </c>
      <c r="AF433" t="str">
        <v>2022/11/24</v>
      </c>
      <c r="AG433" t="str">
        <v>2022/06/08</v>
      </c>
      <c r="AH433" t="str">
        <v>2022/12/22</v>
      </c>
    </row>
    <row r="434" spans="1:34" x14ac:dyDescent="0.3">
      <c r="A434" t="str">
        <f t="array" ref="A434:J434">[1]!'3701.TW-ID,Name,MarketValue,Capital,NetIncomeGrowthRate,OperIncomeGrowthRate,FinancialStatementsTime,TFXRatio,MonthlyNetSalesYoY,RevenueMonth'</f>
        <v>3701</v>
      </c>
      <c r="B434" t="str">
        <v>大眾控</v>
      </c>
      <c r="C434" t="str">
        <v>82.6</v>
      </c>
      <c r="D434" t="str">
        <v>21.51</v>
      </c>
      <c r="E434" t="str">
        <v>53.24</v>
      </c>
      <c r="F434" t="str">
        <v>39.52</v>
      </c>
      <c r="G434" t="str">
        <v>2022/09</v>
      </c>
      <c r="H434" t="str">
        <v>-9.12</v>
      </c>
      <c r="I434" t="str">
        <v>11.22</v>
      </c>
      <c r="J434" t="str">
        <v>2022/11</v>
      </c>
      <c r="K434" t="str">
        <f t="array" ref="K434:T434">[1]!'3701.TW-OperatingProfitRatio,Price,PriceChangeRatio,InOutRatioNumber,Value,YearReturn,MonthReturn,WeekReturn,FinanceBalanceDif,ChipsField2'</f>
        <v>3.21</v>
      </c>
      <c r="L434">
        <v>38.4</v>
      </c>
      <c r="M434">
        <v>1.19</v>
      </c>
      <c r="N434" t="str">
        <v>37.21%</v>
      </c>
      <c r="O434" t="str">
        <v>673萬</v>
      </c>
      <c r="P434" t="str">
        <v>-48.80</v>
      </c>
      <c r="Q434" t="str">
        <v>+0.13</v>
      </c>
      <c r="R434" t="str">
        <v>-6.34</v>
      </c>
      <c r="S434">
        <v>4</v>
      </c>
      <c r="T434">
        <v>0</v>
      </c>
      <c r="U434">
        <f t="array" ref="U434:AD434">[1]!'3701.TW-ChipsField3,ChipsField1,ChipsField25,CashAndStockDividend,CashDividendYieldRate,ProfitFourSeason,ProfitSingle,CName,ExchangeIndustry,CompanyPos'</f>
        <v>-11</v>
      </c>
      <c r="V434">
        <v>0</v>
      </c>
      <c r="W434" t="str">
        <v>--</v>
      </c>
      <c r="X434" t="str">
        <v>0.00</v>
      </c>
      <c r="Y434">
        <v>0</v>
      </c>
      <c r="Z434" t="str">
        <v>1.90</v>
      </c>
      <c r="AA434" t="str">
        <v>0.65</v>
      </c>
      <c r="AB434" t="str">
        <v>大眾控</v>
      </c>
      <c r="AC434" t="str">
        <v>上市電腦及週邊設備</v>
      </c>
      <c r="AD434" t="str">
        <v>大眾集團之控股公司</v>
      </c>
      <c r="AE434" t="str">
        <f t="array" ref="AE434:AH434">[1]!'3701.TW-CName,InvestorConferenceDate,DateofMeetingofShareHolders,TradingDate'</f>
        <v>大眾控</v>
      </c>
      <c r="AF434" t="str">
        <v>2022/11/17</v>
      </c>
      <c r="AG434" t="str">
        <v>2022/06/23</v>
      </c>
      <c r="AH434" t="str">
        <v>2022/12/22</v>
      </c>
    </row>
    <row r="435" spans="1:34" x14ac:dyDescent="0.3">
      <c r="A435" t="str">
        <f t="array" ref="A435:J435">[1]!'3706.TW-ID,Name,MarketValue,Capital,NetIncomeGrowthRate,OperIncomeGrowthRate,FinancialStatementsTime,TFXRatio,MonthlyNetSalesYoY,RevenueMonth'</f>
        <v>3706</v>
      </c>
      <c r="B435" t="str">
        <v>神達</v>
      </c>
      <c r="C435" t="str">
        <v>359.0</v>
      </c>
      <c r="D435" t="str">
        <v>120.66</v>
      </c>
      <c r="E435" t="str">
        <v>-15.57</v>
      </c>
      <c r="F435" t="str">
        <v>802.60</v>
      </c>
      <c r="G435" t="str">
        <v>2022/09</v>
      </c>
      <c r="H435" t="str">
        <v>-10.91</v>
      </c>
      <c r="I435" t="str">
        <v>12.32</v>
      </c>
      <c r="J435" t="str">
        <v>2022/11</v>
      </c>
      <c r="K435" t="str">
        <f t="array" ref="K435:T435">[1]!'3706.TW-OperatingProfitRatio,Price,PriceChangeRatio,InOutRatioNumber,Value,YearReturn,MonthReturn,WeekReturn,FinanceBalanceDif,ChipsField2'</f>
        <v>0.57</v>
      </c>
      <c r="L435">
        <v>29.75</v>
      </c>
      <c r="M435">
        <v>0</v>
      </c>
      <c r="N435" t="str">
        <v>56.35%</v>
      </c>
      <c r="O435" t="str">
        <v>1.06億</v>
      </c>
      <c r="P435" t="str">
        <v>-6.34</v>
      </c>
      <c r="Q435" t="str">
        <v>+2.41</v>
      </c>
      <c r="R435" t="str">
        <v>0.00</v>
      </c>
      <c r="S435">
        <v>-213</v>
      </c>
      <c r="T435">
        <v>1802</v>
      </c>
      <c r="U435">
        <f t="array" ref="U435:AD435">[1]!'3706.TW-ChipsField3,ChipsField1,ChipsField25,CashAndStockDividend,CashDividendYieldRate,ProfitFourSeason,ProfitSingle,CName,ExchangeIndustry,CompanyPos'</f>
        <v>-24</v>
      </c>
      <c r="V435">
        <v>-1138</v>
      </c>
      <c r="W435" t="str">
        <v>2022/03/31</v>
      </c>
      <c r="X435" t="str">
        <v>2.00</v>
      </c>
      <c r="Y435">
        <v>6.72</v>
      </c>
      <c r="Z435" t="str">
        <v>8.51</v>
      </c>
      <c r="AA435" t="str">
        <v>7.17</v>
      </c>
      <c r="AB435" t="str">
        <v>神達</v>
      </c>
      <c r="AC435" t="str">
        <v>上市電腦及週邊設備</v>
      </c>
      <c r="AD435" t="str">
        <v>控股子公司從事伺服器、儲存設備、GPS等業務</v>
      </c>
      <c r="AE435" t="str">
        <f t="array" ref="AE435:AH435">[1]!'3706.TW-CName,InvestorConferenceDate,DateofMeetingofShareHolders,TradingDate'</f>
        <v>神達</v>
      </c>
      <c r="AF435" t="str">
        <v>2022/11/21</v>
      </c>
      <c r="AG435" t="str">
        <v>2022/05/31</v>
      </c>
      <c r="AH435" t="str">
        <v>2022/12/22</v>
      </c>
    </row>
    <row r="436" spans="1:34" x14ac:dyDescent="0.3">
      <c r="A436" t="str">
        <f t="array" ref="A436:J436">[1]!'3712.TW-ID,Name,MarketValue,Capital,NetIncomeGrowthRate,OperIncomeGrowthRate,FinancialStatementsTime,TFXRatio,MonthlyNetSalesYoY,RevenueMonth'</f>
        <v>3712</v>
      </c>
      <c r="B436" t="str">
        <v>永崴投控</v>
      </c>
      <c r="C436" t="str">
        <v>68.2</v>
      </c>
      <c r="D436" t="str">
        <v>24.62</v>
      </c>
      <c r="E436" t="str">
        <v>44.15</v>
      </c>
      <c r="F436" t="str">
        <v>17.28</v>
      </c>
      <c r="G436" t="str">
        <v>2022/09</v>
      </c>
      <c r="H436" t="str">
        <v>3.75</v>
      </c>
      <c r="I436" t="str">
        <v>-21.03</v>
      </c>
      <c r="J436" t="str">
        <v>2022/11</v>
      </c>
      <c r="K436" t="str">
        <f t="array" ref="K436:T436">[1]!'3712.TW-OperatingProfitRatio,Price,PriceChangeRatio,InOutRatioNumber,Value,YearReturn,MonthReturn,WeekReturn,FinanceBalanceDif,ChipsField2'</f>
        <v>4.42</v>
      </c>
      <c r="L436">
        <v>27.7</v>
      </c>
      <c r="M436">
        <v>0</v>
      </c>
      <c r="N436" t="str">
        <v>38.33%</v>
      </c>
      <c r="O436" t="str">
        <v>512萬</v>
      </c>
      <c r="P436" t="str">
        <v>-10.16</v>
      </c>
      <c r="Q436" t="str">
        <v>+9.27</v>
      </c>
      <c r="R436" t="str">
        <v>-2.81</v>
      </c>
      <c r="S436">
        <v>196</v>
      </c>
      <c r="T436">
        <v>0</v>
      </c>
      <c r="U436">
        <f t="array" ref="U436:AD436">[1]!'3712.TW-ChipsField3,ChipsField1,ChipsField25,CashAndStockDividend,CashDividendYieldRate,ProfitFourSeason,ProfitSingle,CName,ExchangeIndustry,CompanyPos'</f>
        <v>-4</v>
      </c>
      <c r="V436">
        <v>-25</v>
      </c>
      <c r="W436" t="str">
        <v>2022/08/04</v>
      </c>
      <c r="X436" t="str">
        <v>1.50</v>
      </c>
      <c r="Y436">
        <v>5.42</v>
      </c>
      <c r="Z436" t="str">
        <v>2.61</v>
      </c>
      <c r="AA436" t="str">
        <v>0.86</v>
      </c>
      <c r="AB436" t="str">
        <v>永崴投控</v>
      </c>
      <c r="AC436" t="str">
        <v>上市電腦及週邊設備</v>
      </c>
      <c r="AD436" t="str">
        <v>勁永、崴強、光燿科合併設立控股公司</v>
      </c>
      <c r="AE436" t="str">
        <f t="array" ref="AE436:AH436">[1]!'3712.TW-CName,InvestorConferenceDate,DateofMeetingofShareHolders,TradingDate'</f>
        <v>永崴投控</v>
      </c>
      <c r="AF436" t="str">
        <v>2022/11/24</v>
      </c>
      <c r="AG436" t="str">
        <v>2022/06/17</v>
      </c>
      <c r="AH436" t="str">
        <v>2022/12/22</v>
      </c>
    </row>
    <row r="437" spans="1:34" x14ac:dyDescent="0.3">
      <c r="A437" t="str">
        <f t="array" ref="A437:J437">[1]!'4916.TW-ID,Name,MarketValue,Capital,NetIncomeGrowthRate,OperIncomeGrowthRate,FinancialStatementsTime,TFXRatio,MonthlyNetSalesYoY,RevenueMonth'</f>
        <v>4916</v>
      </c>
      <c r="B437" t="str">
        <v>事欣科</v>
      </c>
      <c r="C437" t="str">
        <v>22.0</v>
      </c>
      <c r="D437" t="str">
        <v>8.34</v>
      </c>
      <c r="E437" t="str">
        <v>-56.47</v>
      </c>
      <c r="F437" t="str">
        <v>103.18</v>
      </c>
      <c r="G437" t="str">
        <v>2022/09</v>
      </c>
      <c r="H437" t="str">
        <v>16.90</v>
      </c>
      <c r="I437" t="str">
        <v>97.72</v>
      </c>
      <c r="J437" t="str">
        <v>2022/11</v>
      </c>
      <c r="K437" t="str">
        <f t="array" ref="K437:T437">[1]!'4916.TW-OperatingProfitRatio,Price,PriceChangeRatio,InOutRatioNumber,Value,YearReturn,MonthReturn,WeekReturn,FinanceBalanceDif,ChipsField2'</f>
        <v>0.06</v>
      </c>
      <c r="L437">
        <v>26.35</v>
      </c>
      <c r="M437">
        <v>0.38</v>
      </c>
      <c r="N437" t="str">
        <v>35.39%</v>
      </c>
      <c r="O437" t="str">
        <v>1133萬</v>
      </c>
      <c r="P437" t="str">
        <v>-14.45</v>
      </c>
      <c r="Q437" t="str">
        <v>+17.90</v>
      </c>
      <c r="R437" t="str">
        <v>-6.23</v>
      </c>
      <c r="S437">
        <v>-37</v>
      </c>
      <c r="T437">
        <v>0</v>
      </c>
      <c r="U437">
        <f t="array" ref="U437:AD437">[1]!'4916.TW-ChipsField3,ChipsField1,ChipsField25,CashAndStockDividend,CashDividendYieldRate,ProfitFourSeason,ProfitSingle,CName,ExchangeIndustry,CompanyPos'</f>
        <v>0</v>
      </c>
      <c r="V437">
        <v>122</v>
      </c>
      <c r="W437" t="str">
        <v>2022/08/17</v>
      </c>
      <c r="X437" t="str">
        <v>0.50</v>
      </c>
      <c r="Y437">
        <v>1.9</v>
      </c>
      <c r="Z437" t="str">
        <v>0.63</v>
      </c>
      <c r="AA437" t="str">
        <v>0.03</v>
      </c>
      <c r="AB437" t="str">
        <v>事欣科</v>
      </c>
      <c r="AC437" t="str">
        <v>上市電腦及週邊設備</v>
      </c>
      <c r="AD437" t="str">
        <v>工業電腦及博弈機台組件事業製造廠商</v>
      </c>
      <c r="AE437" t="str">
        <f t="array" ref="AE437:AH437">[1]!'4916.TW-CName,InvestorConferenceDate,DateofMeetingofShareHolders,TradingDate'</f>
        <v>事欣科</v>
      </c>
      <c r="AF437" t="str">
        <v>2022/11/29</v>
      </c>
      <c r="AG437" t="str">
        <v>2022/05/31</v>
      </c>
      <c r="AH437" t="str">
        <v>2022/12/22</v>
      </c>
    </row>
    <row r="438" spans="1:34" x14ac:dyDescent="0.3">
      <c r="A438" t="str">
        <f t="array" ref="A438:J438">[1]!'4938.TW-ID,Name,MarketValue,Capital,NetIncomeGrowthRate,OperIncomeGrowthRate,FinancialStatementsTime,TFXRatio,MonthlyNetSalesYoY,RevenueMonth'</f>
        <v>4938</v>
      </c>
      <c r="B438" t="str">
        <v>和碩</v>
      </c>
      <c r="C438" t="str">
        <v>1707.5</v>
      </c>
      <c r="D438" t="str">
        <v>266.76</v>
      </c>
      <c r="E438" t="str">
        <v>-4.26</v>
      </c>
      <c r="F438" t="str">
        <v>102.58</v>
      </c>
      <c r="G438" t="str">
        <v>2022/09</v>
      </c>
      <c r="H438" t="str">
        <v>-13.90</v>
      </c>
      <c r="I438" t="str">
        <v>-28.29</v>
      </c>
      <c r="J438" t="str">
        <v>2022/11</v>
      </c>
      <c r="K438" t="str">
        <f t="array" ref="K438:T438">[1]!'4938.TW-OperatingProfitRatio,Price,PriceChangeRatio,InOutRatioNumber,Value,YearReturn,MonthReturn,WeekReturn,FinanceBalanceDif,ChipsField2'</f>
        <v>1.92</v>
      </c>
      <c r="L438">
        <v>64</v>
      </c>
      <c r="M438">
        <v>0.47</v>
      </c>
      <c r="N438" t="str">
        <v>26.53%</v>
      </c>
      <c r="O438" t="str">
        <v>10.8億</v>
      </c>
      <c r="P438" t="str">
        <v>+0.70</v>
      </c>
      <c r="Q438" t="str">
        <v>+7.74</v>
      </c>
      <c r="R438" t="str">
        <v>+1.11</v>
      </c>
      <c r="S438">
        <v>-44</v>
      </c>
      <c r="T438">
        <v>-10914</v>
      </c>
      <c r="U438">
        <f t="array" ref="U438:AD438">[1]!'4938.TW-ChipsField3,ChipsField1,ChipsField25,CashAndStockDividend,CashDividendYieldRate,ProfitFourSeason,ProfitSingle,CName,ExchangeIndustry,CompanyPos'</f>
        <v>-42</v>
      </c>
      <c r="V438">
        <v>11460</v>
      </c>
      <c r="W438" t="str">
        <v>2022/06/30</v>
      </c>
      <c r="X438" t="str">
        <v>5.00</v>
      </c>
      <c r="Y438">
        <v>7.81</v>
      </c>
      <c r="Z438" t="str">
        <v>6.71</v>
      </c>
      <c r="AA438" t="str">
        <v>1.97</v>
      </c>
      <c r="AB438" t="str">
        <v>和碩</v>
      </c>
      <c r="AC438" t="str">
        <v>上市電腦及週邊設備</v>
      </c>
      <c r="AD438" t="str">
        <v>全球前五大NB代工廠</v>
      </c>
      <c r="AE438" t="str">
        <f t="array" ref="AE438:AH438">[1]!'4938.TW-CName,InvestorConferenceDate,DateofMeetingofShareHolders,TradingDate'</f>
        <v>和碩</v>
      </c>
      <c r="AF438" t="str">
        <v>2021/03/25</v>
      </c>
      <c r="AG438" t="str">
        <v>2022/06/15</v>
      </c>
      <c r="AH438" t="str">
        <v>2022/12/22</v>
      </c>
    </row>
    <row r="439" spans="1:34" x14ac:dyDescent="0.3">
      <c r="A439" t="str">
        <f t="array" ref="A439:J439">[1]!'5215.TW-ID,Name,MarketValue,Capital,NetIncomeGrowthRate,OperIncomeGrowthRate,FinancialStatementsTime,TFXRatio,MonthlyNetSalesYoY,RevenueMonth'</f>
        <v>5215</v>
      </c>
      <c r="B439" t="str">
        <v>科嘉-KY</v>
      </c>
      <c r="C439" t="str">
        <v>29.0</v>
      </c>
      <c r="D439" t="str">
        <v>6.43</v>
      </c>
      <c r="E439" t="str">
        <v>-43.00</v>
      </c>
      <c r="F439" t="str">
        <v>-62.11</v>
      </c>
      <c r="G439" t="str">
        <v>2022/09</v>
      </c>
      <c r="H439" t="str">
        <v>-11.34</v>
      </c>
      <c r="I439" t="str">
        <v>-48.84</v>
      </c>
      <c r="J439" t="str">
        <v>2022/11</v>
      </c>
      <c r="K439" t="str">
        <f t="array" ref="K439:T439">[1]!'5215.TW-OperatingProfitRatio,Price,PriceChangeRatio,InOutRatioNumber,Value,YearReturn,MonthReturn,WeekReturn,FinanceBalanceDif,ChipsField2'</f>
        <v>12.33</v>
      </c>
      <c r="L439">
        <v>45</v>
      </c>
      <c r="M439">
        <v>-0.44</v>
      </c>
      <c r="N439" t="str">
        <v>36.73%</v>
      </c>
      <c r="O439" t="str">
        <v>444萬</v>
      </c>
      <c r="P439" t="str">
        <v>-35.31</v>
      </c>
      <c r="Q439" t="str">
        <v>-8.91</v>
      </c>
      <c r="R439" t="str">
        <v>-5.96</v>
      </c>
      <c r="S439">
        <v>-14</v>
      </c>
      <c r="T439">
        <v>0</v>
      </c>
      <c r="U439">
        <f t="array" ref="U439:AD439">[1]!'5215.TW-ChipsField3,ChipsField1,ChipsField25,CashAndStockDividend,CashDividendYieldRate,ProfitFourSeason,ProfitSingle,CName,ExchangeIndustry,CompanyPos'</f>
        <v>-1</v>
      </c>
      <c r="V439">
        <v>13</v>
      </c>
      <c r="W439" t="str">
        <v>2022/07/15</v>
      </c>
      <c r="X439" t="str">
        <v>5.00</v>
      </c>
      <c r="Y439">
        <v>11.11</v>
      </c>
      <c r="Z439" t="str">
        <v>5.50</v>
      </c>
      <c r="AA439" t="str">
        <v>2.05</v>
      </c>
      <c r="AB439" t="str">
        <v>科嘉-KY</v>
      </c>
      <c r="AC439" t="str">
        <v>上市電腦及週邊設備</v>
      </c>
      <c r="AD439" t="str">
        <v>全球知名NB薄膜觸控開關製造商</v>
      </c>
      <c r="AE439" t="str">
        <f t="array" ref="AE439:AH439">[1]!'5215.TW-CName,InvestorConferenceDate,DateofMeetingofShareHolders,TradingDate'</f>
        <v>科嘉-KY</v>
      </c>
      <c r="AF439" t="str">
        <v>2022/03/31</v>
      </c>
      <c r="AG439" t="str">
        <v>2022/06/28</v>
      </c>
      <c r="AH439" t="str">
        <v>2022/12/22</v>
      </c>
    </row>
    <row r="440" spans="1:34" x14ac:dyDescent="0.3">
      <c r="A440" t="str">
        <f t="array" ref="A440:J440">[1]!'5258.TW-ID,Name,MarketValue,Capital,NetIncomeGrowthRate,OperIncomeGrowthRate,FinancialStatementsTime,TFXRatio,MonthlyNetSalesYoY,RevenueMonth'</f>
        <v>5258</v>
      </c>
      <c r="B440" t="str">
        <v>虹堡</v>
      </c>
      <c r="C440" t="str">
        <v>64.0</v>
      </c>
      <c r="D440" t="str">
        <v>9.95</v>
      </c>
      <c r="E440" t="str">
        <v>351.17</v>
      </c>
      <c r="F440" t="str">
        <v>316.95</v>
      </c>
      <c r="G440" t="str">
        <v>2022/09</v>
      </c>
      <c r="H440" t="str">
        <v>1.85</v>
      </c>
      <c r="I440" t="str">
        <v>70.28</v>
      </c>
      <c r="J440" t="str">
        <v>2022/11</v>
      </c>
      <c r="K440" t="str">
        <f t="array" ref="K440:T440">[1]!'5258.TW-OperatingProfitRatio,Price,PriceChangeRatio,InOutRatioNumber,Value,YearReturn,MonthReturn,WeekReturn,FinanceBalanceDif,ChipsField2'</f>
        <v>13.65</v>
      </c>
      <c r="L440">
        <v>64.3</v>
      </c>
      <c r="M440">
        <v>0.31</v>
      </c>
      <c r="N440" t="str">
        <v>42.74%</v>
      </c>
      <c r="O440" t="str">
        <v>1.14億</v>
      </c>
      <c r="P440" t="str">
        <v>+64.12</v>
      </c>
      <c r="Q440" t="str">
        <v>-7.22</v>
      </c>
      <c r="R440" t="str">
        <v>-5.86</v>
      </c>
      <c r="S440">
        <v>-133</v>
      </c>
      <c r="T440">
        <v>0</v>
      </c>
      <c r="U440">
        <f t="array" ref="U440:AD440">[1]!'5258.TW-ChipsField3,ChipsField1,ChipsField25,CashAndStockDividend,CashDividendYieldRate,ProfitFourSeason,ProfitSingle,CName,ExchangeIndustry,CompanyPos'</f>
        <v>-4</v>
      </c>
      <c r="V440">
        <v>67</v>
      </c>
      <c r="W440" t="str">
        <v>2022/10/21</v>
      </c>
      <c r="X440" t="str">
        <v>0.54</v>
      </c>
      <c r="Y440">
        <v>0.84</v>
      </c>
      <c r="Z440" t="str">
        <v>7.06</v>
      </c>
      <c r="AA440" t="str">
        <v>2.49</v>
      </c>
      <c r="AB440" t="str">
        <v>虹堡</v>
      </c>
      <c r="AC440" t="str">
        <v>上市電腦及週邊設備</v>
      </c>
      <c r="AD440" t="str">
        <v>台灣POS設備製造商</v>
      </c>
      <c r="AE440" t="str">
        <f t="array" ref="AE440:AH440">[1]!'5258.TW-CName,InvestorConferenceDate,DateofMeetingofShareHolders,TradingDate'</f>
        <v>虹堡</v>
      </c>
      <c r="AF440" t="str">
        <v>2022/11/23</v>
      </c>
      <c r="AG440" t="str">
        <v>2022/06/21</v>
      </c>
      <c r="AH440" t="str">
        <v>2022/12/22</v>
      </c>
    </row>
    <row r="441" spans="1:34" x14ac:dyDescent="0.3">
      <c r="A441" t="str">
        <f t="array" ref="A441:J441">[1]!'6117.TW-ID,Name,MarketValue,Capital,NetIncomeGrowthRate,OperIncomeGrowthRate,FinancialStatementsTime,TFXRatio,MonthlyNetSalesYoY,RevenueMonth'</f>
        <v>6117</v>
      </c>
      <c r="B441" t="str">
        <v>迎廣</v>
      </c>
      <c r="C441" t="str">
        <v>12.4</v>
      </c>
      <c r="D441" t="str">
        <v>8.87</v>
      </c>
      <c r="E441" t="str">
        <v>217.79</v>
      </c>
      <c r="F441" t="str">
        <v>114.84</v>
      </c>
      <c r="G441" t="str">
        <v>2022/09</v>
      </c>
      <c r="H441" t="str">
        <v>-26.35</v>
      </c>
      <c r="I441" t="str">
        <v>-13.72</v>
      </c>
      <c r="J441" t="str">
        <v>2022/11</v>
      </c>
      <c r="K441" t="str">
        <f t="array" ref="K441:T441">[1]!'6117.TW-OperatingProfitRatio,Price,PriceChangeRatio,InOutRatioNumber,Value,YearReturn,MonthReturn,WeekReturn,FinanceBalanceDif,ChipsField2'</f>
        <v>0.30</v>
      </c>
      <c r="L441">
        <v>13.95</v>
      </c>
      <c r="M441">
        <v>1.45</v>
      </c>
      <c r="N441" t="str">
        <v>75.00%</v>
      </c>
      <c r="O441" t="str">
        <v>55.0萬</v>
      </c>
      <c r="P441" t="str">
        <v>-18.18</v>
      </c>
      <c r="Q441" t="str">
        <v>+1.09</v>
      </c>
      <c r="R441" t="str">
        <v>-4.12</v>
      </c>
      <c r="S441">
        <v>-3</v>
      </c>
      <c r="T441">
        <v>0</v>
      </c>
      <c r="U441">
        <f t="array" ref="U441:AD441">[1]!'6117.TW-ChipsField3,ChipsField1,ChipsField25,CashAndStockDividend,CashDividendYieldRate,ProfitFourSeason,ProfitSingle,CName,ExchangeIndustry,CompanyPos'</f>
        <v>0</v>
      </c>
      <c r="V441">
        <v>-19</v>
      </c>
      <c r="W441" t="str">
        <v>--</v>
      </c>
      <c r="X441" t="str">
        <v>0.00</v>
      </c>
      <c r="Y441">
        <v>0</v>
      </c>
      <c r="Z441" t="str">
        <v>0.13</v>
      </c>
      <c r="AA441" t="str">
        <v>0.75</v>
      </c>
      <c r="AB441" t="str">
        <v>迎廣</v>
      </c>
      <c r="AC441" t="str">
        <v>上市電腦及週邊設備</v>
      </c>
      <c r="AD441" t="str">
        <v>PC機殼及電源供應器廠</v>
      </c>
      <c r="AE441" t="str">
        <f t="array" ref="AE441:AH441">[1]!'6117.TW-CName,InvestorConferenceDate,DateofMeetingofShareHolders,TradingDate'</f>
        <v>迎廣</v>
      </c>
      <c r="AF441" t="str">
        <v>2022/11/24</v>
      </c>
      <c r="AG441" t="str">
        <v>2022/06/24</v>
      </c>
      <c r="AH441" t="str">
        <v>2022/12/22</v>
      </c>
    </row>
    <row r="442" spans="1:34" x14ac:dyDescent="0.3">
      <c r="A442" t="str">
        <f t="array" ref="A442:J442">[1]!'6128.TW-ID,Name,MarketValue,Capital,NetIncomeGrowthRate,OperIncomeGrowthRate,FinancialStatementsTime,TFXRatio,MonthlyNetSalesYoY,RevenueMonth'</f>
        <v>6128</v>
      </c>
      <c r="B442" t="str">
        <v>上福</v>
      </c>
      <c r="C442" t="str">
        <v>37.6</v>
      </c>
      <c r="D442" t="str">
        <v>12.76</v>
      </c>
      <c r="E442" t="str">
        <v>138.92</v>
      </c>
      <c r="F442" t="str">
        <v>51.23</v>
      </c>
      <c r="G442" t="str">
        <v>2022/09</v>
      </c>
      <c r="H442" t="str">
        <v>4.70</v>
      </c>
      <c r="I442" t="str">
        <v>-2.19</v>
      </c>
      <c r="J442" t="str">
        <v>2022/11</v>
      </c>
      <c r="K442" t="str">
        <f t="array" ref="K442:T442">[1]!'6128.TW-OperatingProfitRatio,Price,PriceChangeRatio,InOutRatioNumber,Value,YearReturn,MonthReturn,WeekReturn,FinanceBalanceDif,ChipsField2'</f>
        <v>9.36</v>
      </c>
      <c r="L442">
        <v>29.45</v>
      </c>
      <c r="M442">
        <v>0.17</v>
      </c>
      <c r="N442" t="str">
        <v>11.63%</v>
      </c>
      <c r="O442" t="str">
        <v>127萬</v>
      </c>
      <c r="P442" t="str">
        <v>+10.21</v>
      </c>
      <c r="Q442" t="str">
        <v>+0.34</v>
      </c>
      <c r="R442" t="str">
        <v>-0.84</v>
      </c>
      <c r="S442">
        <v>11</v>
      </c>
      <c r="T442">
        <v>0</v>
      </c>
      <c r="U442">
        <f t="array" ref="U442:AD442">[1]!'6128.TW-ChipsField3,ChipsField1,ChipsField25,CashAndStockDividend,CashDividendYieldRate,ProfitFourSeason,ProfitSingle,CName,ExchangeIndustry,CompanyPos'</f>
        <v>-10</v>
      </c>
      <c r="V442">
        <v>0</v>
      </c>
      <c r="W442" t="str">
        <v>2022/07/05</v>
      </c>
      <c r="X442" t="str">
        <v>2.00</v>
      </c>
      <c r="Y442">
        <v>6.79</v>
      </c>
      <c r="Z442" t="str">
        <v>5.08</v>
      </c>
      <c r="AA442" t="str">
        <v>2.24</v>
      </c>
      <c r="AB442" t="str">
        <v>上福</v>
      </c>
      <c r="AC442" t="str">
        <v>上市電腦及週邊設備</v>
      </c>
      <c r="AD442" t="str">
        <v>台灣唯一具備雷射印表機之碳粉匣及OPC感光鼓齒輪研發設計廠</v>
      </c>
      <c r="AE442" t="str">
        <f t="array" ref="AE442:AH442">[1]!'6128.TW-CName,InvestorConferenceDate,DateofMeetingofShareHolders,TradingDate'</f>
        <v>上福</v>
      </c>
      <c r="AF442" t="str">
        <v>2022/11/22</v>
      </c>
      <c r="AG442" t="str">
        <v>2022/06/16</v>
      </c>
      <c r="AH442" t="str">
        <v>2022/12/22</v>
      </c>
    </row>
    <row r="443" spans="1:34" x14ac:dyDescent="0.3">
      <c r="A443" t="str">
        <f t="array" ref="A443:J443">[1]!'6166.TW-ID,Name,MarketValue,Capital,NetIncomeGrowthRate,OperIncomeGrowthRate,FinancialStatementsTime,TFXRatio,MonthlyNetSalesYoY,RevenueMonth'</f>
        <v>6166</v>
      </c>
      <c r="B443" t="str">
        <v>凌華</v>
      </c>
      <c r="C443" t="str">
        <v>114.8</v>
      </c>
      <c r="D443" t="str">
        <v>21.75</v>
      </c>
      <c r="E443" t="str">
        <v>4021.32</v>
      </c>
      <c r="F443" t="str">
        <v>3886.99</v>
      </c>
      <c r="G443" t="str">
        <v>2022/09</v>
      </c>
      <c r="H443" t="str">
        <v>25.06</v>
      </c>
      <c r="I443" t="str">
        <v>25.58</v>
      </c>
      <c r="J443" t="str">
        <v>2022/11</v>
      </c>
      <c r="K443" t="str">
        <f t="array" ref="K443:T443">[1]!'6166.TW-OperatingProfitRatio,Price,PriceChangeRatio,InOutRatioNumber,Value,YearReturn,MonthReturn,WeekReturn,FinanceBalanceDif,ChipsField2'</f>
        <v>5.22</v>
      </c>
      <c r="L443">
        <v>52.8</v>
      </c>
      <c r="M443">
        <v>1.1499999999999999</v>
      </c>
      <c r="N443" t="str">
        <v>42.86%</v>
      </c>
      <c r="O443" t="str">
        <v>184萬</v>
      </c>
      <c r="P443" t="str">
        <v>-14.79</v>
      </c>
      <c r="Q443" t="str">
        <v>+5.92</v>
      </c>
      <c r="R443" t="str">
        <v>-4.52</v>
      </c>
      <c r="S443">
        <v>9</v>
      </c>
      <c r="T443">
        <v>0</v>
      </c>
      <c r="U443">
        <f t="array" ref="U443:AD443">[1]!'6166.TW-ChipsField3,ChipsField1,ChipsField25,CashAndStockDividend,CashDividendYieldRate,ProfitFourSeason,ProfitSingle,CName,ExchangeIndustry,CompanyPos'</f>
        <v>-10</v>
      </c>
      <c r="V443">
        <v>-2</v>
      </c>
      <c r="W443" t="str">
        <v>2022/07/12</v>
      </c>
      <c r="X443" t="str">
        <v>0.30</v>
      </c>
      <c r="Y443">
        <v>0.56999999999999995</v>
      </c>
      <c r="Z443" t="str">
        <v>3.78</v>
      </c>
      <c r="AA443" t="str">
        <v>1.06</v>
      </c>
      <c r="AB443" t="str">
        <v>凌華</v>
      </c>
      <c r="AC443" t="str">
        <v>上市電腦及週邊設備</v>
      </c>
      <c r="AD443" t="str">
        <v>台灣前三大工業電腦廠</v>
      </c>
      <c r="AE443" t="str">
        <f t="array" ref="AE443:AH443">[1]!'6166.TW-CName,InvestorConferenceDate,DateofMeetingofShareHolders,TradingDate'</f>
        <v>凌華</v>
      </c>
      <c r="AF443" t="str">
        <v>2022/08/02</v>
      </c>
      <c r="AG443" t="str">
        <v>2022/06/22</v>
      </c>
      <c r="AH443" t="str">
        <v>2022/12/22</v>
      </c>
    </row>
    <row r="444" spans="1:34" x14ac:dyDescent="0.3">
      <c r="A444" t="str">
        <f t="array" ref="A444:J444">[1]!'6206.TW-ID,Name,MarketValue,Capital,NetIncomeGrowthRate,OperIncomeGrowthRate,FinancialStatementsTime,TFXRatio,MonthlyNetSalesYoY,RevenueMonth'</f>
        <v>6206</v>
      </c>
      <c r="B444" t="str">
        <v>飛捷</v>
      </c>
      <c r="C444" t="str">
        <v>93.4</v>
      </c>
      <c r="D444" t="str">
        <v>14.31</v>
      </c>
      <c r="E444" t="str">
        <v>109.58</v>
      </c>
      <c r="F444" t="str">
        <v>79.27</v>
      </c>
      <c r="G444" t="str">
        <v>2022/09</v>
      </c>
      <c r="H444" t="str">
        <v>-38.68</v>
      </c>
      <c r="I444" t="str">
        <v>-53.07</v>
      </c>
      <c r="J444" t="str">
        <v>2022/11</v>
      </c>
      <c r="K444" t="str">
        <f t="array" ref="K444:T444">[1]!'6206.TW-OperatingProfitRatio,Price,PriceChangeRatio,InOutRatioNumber,Value,YearReturn,MonthReturn,WeekReturn,FinanceBalanceDif,ChipsField2'</f>
        <v>21.31</v>
      </c>
      <c r="L444">
        <v>65.3</v>
      </c>
      <c r="M444">
        <v>0.15</v>
      </c>
      <c r="N444" t="str">
        <v>42.86%</v>
      </c>
      <c r="O444" t="str">
        <v>876萬</v>
      </c>
      <c r="P444" t="str">
        <v>-14.04</v>
      </c>
      <c r="Q444" t="str">
        <v>-3.97</v>
      </c>
      <c r="R444" t="str">
        <v>-1.95</v>
      </c>
      <c r="S444">
        <v>-9</v>
      </c>
      <c r="T444">
        <v>0</v>
      </c>
      <c r="U444">
        <f t="array" ref="U444:AD444">[1]!'6206.TW-ChipsField3,ChipsField1,ChipsField25,CashAndStockDividend,CashDividendYieldRate,ProfitFourSeason,ProfitSingle,CName,ExchangeIndustry,CompanyPos'</f>
        <v>-9</v>
      </c>
      <c r="V444">
        <v>-10</v>
      </c>
      <c r="W444" t="str">
        <v>2022/07/20</v>
      </c>
      <c r="X444" t="str">
        <v>4.00</v>
      </c>
      <c r="Y444">
        <v>6.13</v>
      </c>
      <c r="Z444" t="str">
        <v>8.36</v>
      </c>
      <c r="AA444" t="str">
        <v>2.22</v>
      </c>
      <c r="AB444" t="str">
        <v>飛捷</v>
      </c>
      <c r="AC444" t="str">
        <v>上市電腦及週邊設備</v>
      </c>
      <c r="AD444" t="str">
        <v>台灣最大、全球前三大POS專業代工廠</v>
      </c>
      <c r="AE444" t="str">
        <f t="array" ref="AE444:AH444">[1]!'6206.TW-CName,InvestorConferenceDate,DateofMeetingofShareHolders,TradingDate'</f>
        <v>飛捷</v>
      </c>
      <c r="AF444" t="str">
        <v>2022/05/10</v>
      </c>
      <c r="AG444" t="str">
        <v>2022/06/08</v>
      </c>
      <c r="AH444" t="str">
        <v>2022/12/22</v>
      </c>
    </row>
    <row r="445" spans="1:34" x14ac:dyDescent="0.3">
      <c r="A445" t="str">
        <f t="array" ref="A445:J445">[1]!'6230.TW-ID,Name,MarketValue,Capital,NetIncomeGrowthRate,OperIncomeGrowthRate,FinancialStatementsTime,TFXRatio,MonthlyNetSalesYoY,RevenueMonth'</f>
        <v>6230</v>
      </c>
      <c r="B445" t="str">
        <v>尼得科超眾</v>
      </c>
      <c r="C445" t="str">
        <v>104.0</v>
      </c>
      <c r="D445" t="str">
        <v>8.63</v>
      </c>
      <c r="E445" t="str">
        <v>15.69</v>
      </c>
      <c r="F445" t="str">
        <v>-10.14</v>
      </c>
      <c r="G445" t="str">
        <v>2022/09</v>
      </c>
      <c r="H445" t="str">
        <v>-0.63</v>
      </c>
      <c r="I445" t="str">
        <v>5.94</v>
      </c>
      <c r="J445" t="str">
        <v>2022/11</v>
      </c>
      <c r="K445" t="str">
        <f t="array" ref="K445:T445">[1]!'6230.TW-OperatingProfitRatio,Price,PriceChangeRatio,InOutRatioNumber,Value,YearReturn,MonthReturn,WeekReturn,FinanceBalanceDif,ChipsField2'</f>
        <v>4.66</v>
      </c>
      <c r="L445">
        <v>120.5</v>
      </c>
      <c r="M445">
        <v>0.84</v>
      </c>
      <c r="N445" t="str">
        <v>69.23%</v>
      </c>
      <c r="O445" t="str">
        <v>645萬</v>
      </c>
      <c r="P445" t="str">
        <v>-26.11</v>
      </c>
      <c r="Q445" t="str">
        <v>+6.64</v>
      </c>
      <c r="R445" t="str">
        <v>-7.66</v>
      </c>
      <c r="S445">
        <v>-9</v>
      </c>
      <c r="T445">
        <v>0</v>
      </c>
      <c r="U445">
        <f t="array" ref="U445:AD445">[1]!'6230.TW-ChipsField3,ChipsField1,ChipsField25,CashAndStockDividend,CashDividendYieldRate,ProfitFourSeason,ProfitSingle,CName,ExchangeIndustry,CompanyPos'</f>
        <v>-1</v>
      </c>
      <c r="V445">
        <v>3</v>
      </c>
      <c r="W445" t="str">
        <v>2022/08/25</v>
      </c>
      <c r="X445" t="str">
        <v>0.61</v>
      </c>
      <c r="Y445">
        <v>0.51</v>
      </c>
      <c r="Z445" t="str">
        <v>4.62</v>
      </c>
      <c r="AA445" t="str">
        <v>2.70</v>
      </c>
      <c r="AB445" t="str">
        <v>尼得科超眾</v>
      </c>
      <c r="AC445" t="str">
        <v>上市電腦及週邊設備</v>
      </c>
      <c r="AD445" t="str">
        <v>日本電產轉投資之散熱模組製造商</v>
      </c>
      <c r="AE445" t="str">
        <f t="array" ref="AE445:AH445">[1]!'6230.TW-CName,InvestorConferenceDate,DateofMeetingofShareHolders,TradingDate'</f>
        <v>尼得科超眾</v>
      </c>
      <c r="AF445" t="str">
        <v>2022/08/31</v>
      </c>
      <c r="AG445" t="str">
        <v>2022/06/20</v>
      </c>
      <c r="AH445" t="str">
        <v>2022/12/22</v>
      </c>
    </row>
    <row r="446" spans="1:34" x14ac:dyDescent="0.3">
      <c r="A446" t="str">
        <f t="array" ref="A446:J446">[1]!'6235.TW-ID,Name,MarketValue,Capital,NetIncomeGrowthRate,OperIncomeGrowthRate,FinancialStatementsTime,TFXRatio,MonthlyNetSalesYoY,RevenueMonth'</f>
        <v>6235</v>
      </c>
      <c r="B446" t="str">
        <v>華孚</v>
      </c>
      <c r="C446" t="str">
        <v>68.8</v>
      </c>
      <c r="D446" t="str">
        <v>19.15</v>
      </c>
      <c r="E446" t="str">
        <v>156.42</v>
      </c>
      <c r="F446" t="str">
        <v>215.74</v>
      </c>
      <c r="G446" t="str">
        <v>2022/09</v>
      </c>
      <c r="H446" t="str">
        <v>4.57</v>
      </c>
      <c r="I446" t="str">
        <v>38.21</v>
      </c>
      <c r="J446" t="str">
        <v>2022/11</v>
      </c>
      <c r="K446" t="str">
        <f t="array" ref="K446:T446">[1]!'6235.TW-OperatingProfitRatio,Price,PriceChangeRatio,InOutRatioNumber,Value,YearReturn,MonthReturn,WeekReturn,FinanceBalanceDif,ChipsField2'</f>
        <v>7.48</v>
      </c>
      <c r="L446">
        <v>35.9</v>
      </c>
      <c r="M446">
        <v>0.28000000000000003</v>
      </c>
      <c r="N446" t="str">
        <v>33.51%</v>
      </c>
      <c r="O446" t="str">
        <v>9744萬</v>
      </c>
      <c r="P446" t="str">
        <v>+9.43</v>
      </c>
      <c r="Q446" t="str">
        <v>+3.01</v>
      </c>
      <c r="R446" t="str">
        <v>-5.53</v>
      </c>
      <c r="S446">
        <v>-379</v>
      </c>
      <c r="T446">
        <v>0</v>
      </c>
      <c r="U446">
        <f t="array" ref="U446:AD446">[1]!'6235.TW-ChipsField3,ChipsField1,ChipsField25,CashAndStockDividend,CashDividendYieldRate,ProfitFourSeason,ProfitSingle,CName,ExchangeIndustry,CompanyPos'</f>
        <v>-274</v>
      </c>
      <c r="V446">
        <v>329</v>
      </c>
      <c r="W446" t="str">
        <v>2022/04/21</v>
      </c>
      <c r="X446" t="str">
        <v>0.30</v>
      </c>
      <c r="Y446">
        <v>0.84</v>
      </c>
      <c r="Z446" t="str">
        <v>1.64</v>
      </c>
      <c r="AA446" t="str">
        <v>0.50</v>
      </c>
      <c r="AB446" t="str">
        <v>華孚</v>
      </c>
      <c r="AC446" t="str">
        <v>上市電腦及週邊設備</v>
      </c>
      <c r="AD446" t="str">
        <v>車用及筆電外殼之鎂合金製造廠</v>
      </c>
      <c r="AE446" t="str">
        <f t="array" ref="AE446:AH446">[1]!'6235.TW-CName,InvestorConferenceDate,DateofMeetingofShareHolders,TradingDate'</f>
        <v>華孚</v>
      </c>
      <c r="AF446" t="str">
        <v>2022/11/18</v>
      </c>
      <c r="AG446" t="str">
        <v>2022/06/21</v>
      </c>
      <c r="AH446" t="str">
        <v>2022/12/22</v>
      </c>
    </row>
    <row r="447" spans="1:34" x14ac:dyDescent="0.3">
      <c r="A447" t="str">
        <f t="array" ref="A447:J447">[1]!'6277.TW-ID,Name,MarketValue,Capital,NetIncomeGrowthRate,OperIncomeGrowthRate,FinancialStatementsTime,TFXRatio,MonthlyNetSalesYoY,RevenueMonth'</f>
        <v>6277</v>
      </c>
      <c r="B447" t="str">
        <v>宏正</v>
      </c>
      <c r="C447" t="str">
        <v>92.4</v>
      </c>
      <c r="D447" t="str">
        <v>11.95</v>
      </c>
      <c r="E447" t="str">
        <v>11.80</v>
      </c>
      <c r="F447" t="str">
        <v>1.10</v>
      </c>
      <c r="G447" t="str">
        <v>2022/09</v>
      </c>
      <c r="H447" t="str">
        <v>-8.70</v>
      </c>
      <c r="I447" t="str">
        <v>-1.38</v>
      </c>
      <c r="J447" t="str">
        <v>2022/11</v>
      </c>
      <c r="K447" t="str">
        <f t="array" ref="K447:T447">[1]!'6277.TW-OperatingProfitRatio,Price,PriceChangeRatio,InOutRatioNumber,Value,YearReturn,MonthReturn,WeekReturn,FinanceBalanceDif,ChipsField2'</f>
        <v>15.01</v>
      </c>
      <c r="L447">
        <v>77.3</v>
      </c>
      <c r="M447">
        <v>-0.13</v>
      </c>
      <c r="N447" t="str">
        <v>23.08%</v>
      </c>
      <c r="O447" t="str">
        <v>101萬</v>
      </c>
      <c r="P447" t="str">
        <v>+2.04</v>
      </c>
      <c r="Q447" t="str">
        <v>+0.78</v>
      </c>
      <c r="R447" t="str">
        <v>0.00</v>
      </c>
      <c r="S447">
        <v>-1</v>
      </c>
      <c r="T447">
        <v>0</v>
      </c>
      <c r="U447">
        <f t="array" ref="U447:AD447">[1]!'6277.TW-ChipsField3,ChipsField1,ChipsField25,CashAndStockDividend,CashDividendYieldRate,ProfitFourSeason,ProfitSingle,CName,ExchangeIndustry,CompanyPos'</f>
        <v>0</v>
      </c>
      <c r="V447">
        <v>7</v>
      </c>
      <c r="W447" t="str">
        <v>2022/11/17</v>
      </c>
      <c r="X447" t="str">
        <v>2.40</v>
      </c>
      <c r="Y447">
        <v>6.73</v>
      </c>
      <c r="Z447" t="str">
        <v>5.80</v>
      </c>
      <c r="AA447" t="str">
        <v>1.71</v>
      </c>
      <c r="AB447" t="str">
        <v>宏正</v>
      </c>
      <c r="AC447" t="str">
        <v>上市電腦及週邊設備</v>
      </c>
      <c r="AD447" t="str">
        <v>全球知名KVM製造商</v>
      </c>
      <c r="AE447" t="str">
        <f t="array" ref="AE447:AH447">[1]!'6277.TW-CName,InvestorConferenceDate,DateofMeetingofShareHolders,TradingDate'</f>
        <v>宏正</v>
      </c>
      <c r="AF447" t="str">
        <v>2022/08/10</v>
      </c>
      <c r="AG447" t="str">
        <v>2022/06/17</v>
      </c>
      <c r="AH447" t="str">
        <v>2022/12/22</v>
      </c>
    </row>
    <row r="448" spans="1:34" x14ac:dyDescent="0.3">
      <c r="A448" t="str">
        <f t="array" ref="A448:J448">[1]!'6414.TW-ID,Name,MarketValue,Capital,NetIncomeGrowthRate,OperIncomeGrowthRate,FinancialStatementsTime,TFXRatio,MonthlyNetSalesYoY,RevenueMonth'</f>
        <v>6414</v>
      </c>
      <c r="B448" t="str">
        <v>樺漢</v>
      </c>
      <c r="C448" t="str">
        <v>201.3</v>
      </c>
      <c r="D448" t="str">
        <v>10.60</v>
      </c>
      <c r="E448" t="str">
        <v>52.37</v>
      </c>
      <c r="F448" t="str">
        <v>27.03</v>
      </c>
      <c r="G448" t="str">
        <v>2022/09</v>
      </c>
      <c r="H448" t="str">
        <v>18.62</v>
      </c>
      <c r="I448" t="str">
        <v>24.23</v>
      </c>
      <c r="J448" t="str">
        <v>2022/11</v>
      </c>
      <c r="K448" t="str">
        <f t="array" ref="K448:T448">[1]!'6414.TW-OperatingProfitRatio,Price,PriceChangeRatio,InOutRatioNumber,Value,YearReturn,MonthReturn,WeekReturn,FinanceBalanceDif,ChipsField2'</f>
        <v>3.70</v>
      </c>
      <c r="L448">
        <v>199</v>
      </c>
      <c r="M448">
        <v>1.02</v>
      </c>
      <c r="N448" t="str">
        <v>36.14%</v>
      </c>
      <c r="O448" t="str">
        <v>6003萬</v>
      </c>
      <c r="P448" t="str">
        <v>-9.43</v>
      </c>
      <c r="Q448" t="str">
        <v>-0.25</v>
      </c>
      <c r="R448" t="str">
        <v>-6.35</v>
      </c>
      <c r="S448">
        <v>1</v>
      </c>
      <c r="T448">
        <v>0</v>
      </c>
      <c r="U448">
        <f t="array" ref="U448:AD448">[1]!'6414.TW-ChipsField3,ChipsField1,ChipsField25,CashAndStockDividend,CashDividendYieldRate,ProfitFourSeason,ProfitSingle,CName,ExchangeIndustry,CompanyPos'</f>
        <v>-19</v>
      </c>
      <c r="V448">
        <v>-130</v>
      </c>
      <c r="W448" t="str">
        <v>2022/07/29</v>
      </c>
      <c r="X448" t="str">
        <v>7.00</v>
      </c>
      <c r="Y448">
        <v>3.52</v>
      </c>
      <c r="Z448" t="str">
        <v>18.50</v>
      </c>
      <c r="AA448" t="str">
        <v>6.15</v>
      </c>
      <c r="AB448" t="str">
        <v>樺漢</v>
      </c>
      <c r="AC448" t="str">
        <v>上市電腦及週邊設備</v>
      </c>
      <c r="AD448" t="str">
        <v>鴻海轉投資之工業電腦廠</v>
      </c>
      <c r="AE448" t="str">
        <f t="array" ref="AE448:AH448">[1]!'6414.TW-CName,InvestorConferenceDate,DateofMeetingofShareHolders,TradingDate'</f>
        <v>樺漢</v>
      </c>
      <c r="AF448" t="str">
        <v>2022/11/10</v>
      </c>
      <c r="AG448" t="str">
        <v>2022/06/23</v>
      </c>
      <c r="AH448" t="str">
        <v>2022/12/22</v>
      </c>
    </row>
    <row r="449" spans="1:34" x14ac:dyDescent="0.3">
      <c r="A449" t="str">
        <f t="array" ref="A449:J449">[1]!'6579.TW-ID,Name,MarketValue,Capital,NetIncomeGrowthRate,OperIncomeGrowthRate,FinancialStatementsTime,TFXRatio,MonthlyNetSalesYoY,RevenueMonth'</f>
        <v>6579</v>
      </c>
      <c r="B449" t="str">
        <v>研揚</v>
      </c>
      <c r="C449" t="str">
        <v>124.2</v>
      </c>
      <c r="D449" t="str">
        <v>14.91</v>
      </c>
      <c r="E449" t="str">
        <v>382.83</v>
      </c>
      <c r="F449" t="str">
        <v>231.18</v>
      </c>
      <c r="G449" t="str">
        <v>2022/09</v>
      </c>
      <c r="H449" t="str">
        <v>6.87</v>
      </c>
      <c r="I449" t="str">
        <v>5.18</v>
      </c>
      <c r="J449" t="str">
        <v>2022/11</v>
      </c>
      <c r="K449" t="str">
        <f t="array" ref="K449:T449">[1]!'6579.TW-OperatingProfitRatio,Price,PriceChangeRatio,InOutRatioNumber,Value,YearReturn,MonthReturn,WeekReturn,FinanceBalanceDif,ChipsField2'</f>
        <v>13.87</v>
      </c>
      <c r="L449">
        <v>83.3</v>
      </c>
      <c r="M449">
        <v>0.97</v>
      </c>
      <c r="N449" t="str">
        <v>38.46%</v>
      </c>
      <c r="O449" t="str">
        <v>648萬</v>
      </c>
      <c r="P449" t="str">
        <v>+29.96</v>
      </c>
      <c r="Q449" t="str">
        <v>+3.35</v>
      </c>
      <c r="R449" t="str">
        <v>-6.40</v>
      </c>
      <c r="S449">
        <v>-13</v>
      </c>
      <c r="T449">
        <v>0</v>
      </c>
      <c r="U449">
        <f t="array" ref="U449:AD449">[1]!'6579.TW-ChipsField3,ChipsField1,ChipsField25,CashAndStockDividend,CashDividendYieldRate,ProfitFourSeason,ProfitSingle,CName,ExchangeIndustry,CompanyPos'</f>
        <v>-6</v>
      </c>
      <c r="V449">
        <v>12</v>
      </c>
      <c r="W449" t="str">
        <v>2022/06/24</v>
      </c>
      <c r="X449" t="str">
        <v>3.10</v>
      </c>
      <c r="Y449">
        <v>3.72</v>
      </c>
      <c r="Z449" t="str">
        <v>10.09</v>
      </c>
      <c r="AA449" t="str">
        <v>3.33</v>
      </c>
      <c r="AB449" t="str">
        <v>研揚</v>
      </c>
      <c r="AC449" t="str">
        <v>上市電腦及週邊設備</v>
      </c>
      <c r="AD449" t="str">
        <v>華碩旗下之工業電腦廠</v>
      </c>
      <c r="AE449" t="str">
        <f t="array" ref="AE449:AH449">[1]!'6579.TW-CName,InvestorConferenceDate,DateofMeetingofShareHolders,TradingDate'</f>
        <v>研揚</v>
      </c>
      <c r="AF449" t="str">
        <v>2022/08/19</v>
      </c>
      <c r="AG449" t="str">
        <v>2022/05/27</v>
      </c>
      <c r="AH449" t="str">
        <v>2022/12/22</v>
      </c>
    </row>
    <row r="450" spans="1:34" x14ac:dyDescent="0.3">
      <c r="A450" t="str">
        <f t="array" ref="A450:J450">[1]!'6591.TW-ID,Name,MarketValue,Capital,NetIncomeGrowthRate,OperIncomeGrowthRate,FinancialStatementsTime,TFXRatio,MonthlyNetSalesYoY,RevenueMonth'</f>
        <v>6591</v>
      </c>
      <c r="B450" t="str">
        <v>動力-KY</v>
      </c>
      <c r="C450" t="str">
        <v>14.7</v>
      </c>
      <c r="D450" t="str">
        <v>3.42</v>
      </c>
      <c r="E450" t="str">
        <v>21.51</v>
      </c>
      <c r="F450" t="str">
        <v>-22.40</v>
      </c>
      <c r="G450" t="str">
        <v>2022/09</v>
      </c>
      <c r="H450" t="str">
        <v>49.39</v>
      </c>
      <c r="I450" t="str">
        <v>-16.99</v>
      </c>
      <c r="J450" t="str">
        <v>2022/11</v>
      </c>
      <c r="K450" t="str">
        <f t="array" ref="K450:T450">[1]!'6591.TW-OperatingProfitRatio,Price,PriceChangeRatio,InOutRatioNumber,Value,YearReturn,MonthReturn,WeekReturn,FinanceBalanceDif,ChipsField2'</f>
        <v>15.16</v>
      </c>
      <c r="L450">
        <v>42.95</v>
      </c>
      <c r="M450">
        <v>0.47</v>
      </c>
      <c r="N450" t="str">
        <v>38.46%</v>
      </c>
      <c r="O450" t="str">
        <v>112萬</v>
      </c>
      <c r="P450" t="str">
        <v>-16.06</v>
      </c>
      <c r="Q450" t="str">
        <v>+3.49</v>
      </c>
      <c r="R450" t="str">
        <v>-3.27</v>
      </c>
      <c r="S450">
        <v>7</v>
      </c>
      <c r="T450">
        <v>0</v>
      </c>
      <c r="U450">
        <f t="array" ref="U450:AD450">[1]!'6591.TW-ChipsField3,ChipsField1,ChipsField25,CashAndStockDividend,CashDividendYieldRate,ProfitFourSeason,ProfitSingle,CName,ExchangeIndustry,CompanyPos'</f>
        <v>0</v>
      </c>
      <c r="V450">
        <v>-4</v>
      </c>
      <c r="W450" t="str">
        <v>2022/06/28</v>
      </c>
      <c r="X450" t="str">
        <v>4.00</v>
      </c>
      <c r="Y450">
        <v>9.31</v>
      </c>
      <c r="Z450" t="str">
        <v>7.83</v>
      </c>
      <c r="AA450" t="str">
        <v>0.50</v>
      </c>
      <c r="AB450" t="str">
        <v>動力-KY</v>
      </c>
      <c r="AC450" t="str">
        <v>上市電腦及週邊設備</v>
      </c>
      <c r="AD450" t="str">
        <v>電競PC散熱風扇供應商</v>
      </c>
      <c r="AE450" t="str">
        <f t="array" ref="AE450:AH450">[1]!'6591.TW-CName,InvestorConferenceDate,DateofMeetingofShareHolders,TradingDate'</f>
        <v>動力-KY</v>
      </c>
      <c r="AF450" t="str">
        <v>2022/03/31</v>
      </c>
      <c r="AG450" t="str">
        <v>2022/05/31</v>
      </c>
      <c r="AH450" t="str">
        <v>2022/12/22</v>
      </c>
    </row>
    <row r="451" spans="1:34" x14ac:dyDescent="0.3">
      <c r="A451" t="str">
        <f t="array" ref="A451:J451">[1]!'6669.TW-ID,Name,MarketValue,Capital,NetIncomeGrowthRate,OperIncomeGrowthRate,FinancialStatementsTime,TFXRatio,MonthlyNetSalesYoY,RevenueMonth'</f>
        <v>6669</v>
      </c>
      <c r="B451" t="str">
        <v>緯穎</v>
      </c>
      <c r="C451" t="str">
        <v>1451.2</v>
      </c>
      <c r="D451" t="str">
        <v>17.48</v>
      </c>
      <c r="E451" t="str">
        <v>69.44</v>
      </c>
      <c r="F451" t="str">
        <v>55.20</v>
      </c>
      <c r="G451" t="str">
        <v>2022/09</v>
      </c>
      <c r="H451" t="str">
        <v>42.56</v>
      </c>
      <c r="I451" t="str">
        <v>62.81</v>
      </c>
      <c r="J451" t="str">
        <v>2022/11</v>
      </c>
      <c r="K451" t="str">
        <f t="array" ref="K451:T451">[1]!'6669.TW-OperatingProfitRatio,Price,PriceChangeRatio,InOutRatioNumber,Value,YearReturn,MonthReturn,WeekReturn,FinanceBalanceDif,ChipsField2'</f>
        <v>6.02</v>
      </c>
      <c r="L451">
        <v>830</v>
      </c>
      <c r="M451">
        <v>-3.15</v>
      </c>
      <c r="N451" t="str">
        <v>50.16%</v>
      </c>
      <c r="O451" t="str">
        <v>10.6億</v>
      </c>
      <c r="P451" t="str">
        <v>-20.32</v>
      </c>
      <c r="Q451" t="str">
        <v>-3.26</v>
      </c>
      <c r="R451" t="str">
        <v>-11.61</v>
      </c>
      <c r="S451">
        <v>-8</v>
      </c>
      <c r="T451">
        <v>0</v>
      </c>
      <c r="U451">
        <f t="array" ref="U451:AD451">[1]!'6669.TW-ChipsField3,ChipsField1,ChipsField25,CashAndStockDividend,CashDividendYieldRate,ProfitFourSeason,ProfitSingle,CName,ExchangeIndustry,CompanyPos'</f>
        <v>-4</v>
      </c>
      <c r="V451">
        <v>35</v>
      </c>
      <c r="W451" t="str">
        <v>2022/06/17</v>
      </c>
      <c r="X451" t="str">
        <v>25.00</v>
      </c>
      <c r="Y451">
        <v>3.01</v>
      </c>
      <c r="Z451" t="str">
        <v>73.43</v>
      </c>
      <c r="AA451" t="str">
        <v>24.68</v>
      </c>
      <c r="AB451" t="str">
        <v>緯穎</v>
      </c>
      <c r="AC451" t="str">
        <v>上市電腦及週邊設備</v>
      </c>
      <c r="AD451" t="str">
        <v>緯創轉投資之大型雲端資料中心硬體供應商</v>
      </c>
      <c r="AE451" t="str">
        <f t="array" ref="AE451:AH451">[1]!'6669.TW-CName,InvestorConferenceDate,DateofMeetingofShareHolders,TradingDate'</f>
        <v>緯穎</v>
      </c>
      <c r="AF451" t="str">
        <v>--</v>
      </c>
      <c r="AG451" t="str">
        <v>2022/05/31</v>
      </c>
      <c r="AH451" t="str">
        <v>2022/12/22</v>
      </c>
    </row>
    <row r="452" spans="1:34" x14ac:dyDescent="0.3">
      <c r="A452" t="str">
        <f t="array" ref="A452:J452">[1]!'8114.TW-ID,Name,MarketValue,Capital,NetIncomeGrowthRate,OperIncomeGrowthRate,FinancialStatementsTime,TFXRatio,MonthlyNetSalesYoY,RevenueMonth'</f>
        <v>8114</v>
      </c>
      <c r="B452" t="str">
        <v>振樺電</v>
      </c>
      <c r="C452" t="str">
        <v>82.0</v>
      </c>
      <c r="D452" t="str">
        <v>7.55</v>
      </c>
      <c r="E452" t="str">
        <v>168.04</v>
      </c>
      <c r="F452" t="str">
        <v>77.28</v>
      </c>
      <c r="G452" t="str">
        <v>2022/09</v>
      </c>
      <c r="H452" t="str">
        <v>-12.16</v>
      </c>
      <c r="I452" t="str">
        <v>-2.43</v>
      </c>
      <c r="J452" t="str">
        <v>2022/11</v>
      </c>
      <c r="K452" t="str">
        <f t="array" ref="K452:T452">[1]!'8114.TW-OperatingProfitRatio,Price,PriceChangeRatio,InOutRatioNumber,Value,YearReturn,MonthReturn,WeekReturn,FinanceBalanceDif,ChipsField2'</f>
        <v>13.57</v>
      </c>
      <c r="L452">
        <v>109</v>
      </c>
      <c r="M452">
        <v>0</v>
      </c>
      <c r="N452" t="str">
        <v>23.98%</v>
      </c>
      <c r="O452" t="str">
        <v>2727萬</v>
      </c>
      <c r="P452" t="str">
        <v>-7.15</v>
      </c>
      <c r="Q452" t="str">
        <v>-8.79</v>
      </c>
      <c r="R452" t="str">
        <v>-4.80</v>
      </c>
      <c r="S452">
        <v>-8</v>
      </c>
      <c r="T452">
        <v>-100</v>
      </c>
      <c r="U452">
        <f t="array" ref="U452:AD452">[1]!'8114.TW-ChipsField3,ChipsField1,ChipsField25,CashAndStockDividend,CashDividendYieldRate,ProfitFourSeason,ProfitSingle,CName,ExchangeIndustry,CompanyPos'</f>
        <v>-6</v>
      </c>
      <c r="V452">
        <v>142</v>
      </c>
      <c r="W452" t="str">
        <v>2022/07/01</v>
      </c>
      <c r="X452" t="str">
        <v>4.50</v>
      </c>
      <c r="Y452">
        <v>4.13</v>
      </c>
      <c r="Z452" t="str">
        <v>12.82</v>
      </c>
      <c r="AA452" t="str">
        <v>4.27</v>
      </c>
      <c r="AB452" t="str">
        <v>振樺電</v>
      </c>
      <c r="AC452" t="str">
        <v>上市電腦及週邊設備</v>
      </c>
      <c r="AD452" t="str">
        <v>台灣前三大POS廠</v>
      </c>
      <c r="AE452" t="str">
        <f t="array" ref="AE452:AH452">[1]!'8114.TW-CName,InvestorConferenceDate,DateofMeetingofShareHolders,TradingDate'</f>
        <v>振樺電</v>
      </c>
      <c r="AF452" t="str">
        <v>2022/12/23</v>
      </c>
      <c r="AG452" t="str">
        <v>2022/06/06</v>
      </c>
      <c r="AH452" t="str">
        <v>2022/12/22</v>
      </c>
    </row>
    <row r="453" spans="1:34" x14ac:dyDescent="0.3">
      <c r="A453" t="str">
        <f t="array" ref="A453:J453">[1]!'8163.TW-ID,Name,MarketValue,Capital,NetIncomeGrowthRate,OperIncomeGrowthRate,FinancialStatementsTime,TFXRatio,MonthlyNetSalesYoY,RevenueMonth'</f>
        <v>8163</v>
      </c>
      <c r="B453" t="str">
        <v>達方</v>
      </c>
      <c r="C453" t="str">
        <v>106.0</v>
      </c>
      <c r="D453" t="str">
        <v>28.00</v>
      </c>
      <c r="E453" t="str">
        <v>16.03</v>
      </c>
      <c r="F453" t="str">
        <v>16.91</v>
      </c>
      <c r="G453" t="str">
        <v>2022/09</v>
      </c>
      <c r="H453" t="str">
        <v>-13.81</v>
      </c>
      <c r="I453" t="str">
        <v>-22.46</v>
      </c>
      <c r="J453" t="str">
        <v>2022/11</v>
      </c>
      <c r="K453" t="str">
        <f t="array" ref="K453:T453">[1]!'8163.TW-OperatingProfitRatio,Price,PriceChangeRatio,InOutRatioNumber,Value,YearReturn,MonthReturn,WeekReturn,FinanceBalanceDif,ChipsField2'</f>
        <v>5.48</v>
      </c>
      <c r="L453">
        <v>37.85</v>
      </c>
      <c r="M453">
        <v>1.2</v>
      </c>
      <c r="N453" t="str">
        <v>35.29%</v>
      </c>
      <c r="O453" t="str">
        <v>1341萬</v>
      </c>
      <c r="P453" t="str">
        <v>-15.38</v>
      </c>
      <c r="Q453" t="str">
        <v>-3.32</v>
      </c>
      <c r="R453" t="str">
        <v>-2.07</v>
      </c>
      <c r="S453">
        <v>-23</v>
      </c>
      <c r="T453">
        <v>0</v>
      </c>
      <c r="U453">
        <f t="array" ref="U453:AD453">[1]!'8163.TW-ChipsField3,ChipsField1,ChipsField25,CashAndStockDividend,CashDividendYieldRate,ProfitFourSeason,ProfitSingle,CName,ExchangeIndustry,CompanyPos'</f>
        <v>-16</v>
      </c>
      <c r="V453">
        <v>-136</v>
      </c>
      <c r="W453" t="str">
        <v>2022/07/07</v>
      </c>
      <c r="X453" t="str">
        <v>3.00</v>
      </c>
      <c r="Y453">
        <v>7.93</v>
      </c>
      <c r="Z453" t="str">
        <v>4.30</v>
      </c>
      <c r="AA453" t="str">
        <v>1.21</v>
      </c>
      <c r="AB453" t="str">
        <v>達方</v>
      </c>
      <c r="AC453" t="str">
        <v>上市電腦及週邊設備</v>
      </c>
      <c r="AD453" t="str">
        <v>屬明基友達集團，為全球前兩大NB鍵盤廠</v>
      </c>
      <c r="AE453" t="str">
        <f t="array" ref="AE453:AH453">[1]!'8163.TW-CName,InvestorConferenceDate,DateofMeetingofShareHolders,TradingDate'</f>
        <v>達方</v>
      </c>
      <c r="AF453" t="str">
        <v>2022/11/03</v>
      </c>
      <c r="AG453" t="str">
        <v>2022/06/16</v>
      </c>
      <c r="AH453" t="str">
        <v>2022/12/22</v>
      </c>
    </row>
    <row r="454" spans="1:34" x14ac:dyDescent="0.3">
      <c r="A454" t="str">
        <f t="array" ref="A454:J454">[1]!'8210.TW-ID,Name,MarketValue,Capital,NetIncomeGrowthRate,OperIncomeGrowthRate,FinancialStatementsTime,TFXRatio,MonthlyNetSalesYoY,RevenueMonth'</f>
        <v>8210</v>
      </c>
      <c r="B454" t="str">
        <v>勤誠</v>
      </c>
      <c r="C454" t="str">
        <v>90.5</v>
      </c>
      <c r="D454" t="str">
        <v>12.06</v>
      </c>
      <c r="E454" t="str">
        <v>63.48</v>
      </c>
      <c r="F454" t="str">
        <v>27.40</v>
      </c>
      <c r="G454" t="str">
        <v>2022/09</v>
      </c>
      <c r="H454" t="str">
        <v>-0.78</v>
      </c>
      <c r="I454" t="str">
        <v>-4.90</v>
      </c>
      <c r="J454" t="str">
        <v>2022/11</v>
      </c>
      <c r="K454" t="str">
        <f t="array" ref="K454:T454">[1]!'8210.TW-OperatingProfitRatio,Price,PriceChangeRatio,InOutRatioNumber,Value,YearReturn,MonthReturn,WeekReturn,FinanceBalanceDif,ChipsField2'</f>
        <v>11.24</v>
      </c>
      <c r="L454">
        <v>75</v>
      </c>
      <c r="M454">
        <v>0.94</v>
      </c>
      <c r="N454" t="str">
        <v>56.69%</v>
      </c>
      <c r="O454" t="str">
        <v>979萬</v>
      </c>
      <c r="P454" t="str">
        <v>+7.23</v>
      </c>
      <c r="Q454" t="str">
        <v>+3.45</v>
      </c>
      <c r="R454" t="str">
        <v>+1.21</v>
      </c>
      <c r="S454">
        <v>-1</v>
      </c>
      <c r="T454">
        <v>56</v>
      </c>
      <c r="U454">
        <f t="array" ref="U454:AD454">[1]!'8210.TW-ChipsField3,ChipsField1,ChipsField25,CashAndStockDividend,CashDividendYieldRate,ProfitFourSeason,ProfitSingle,CName,ExchangeIndustry,CompanyPos'</f>
        <v>-8</v>
      </c>
      <c r="V454">
        <v>31</v>
      </c>
      <c r="W454" t="str">
        <v>2022/06/23</v>
      </c>
      <c r="X454" t="str">
        <v>3.00</v>
      </c>
      <c r="Y454">
        <v>4</v>
      </c>
      <c r="Z454" t="str">
        <v>8.30</v>
      </c>
      <c r="AA454" t="str">
        <v>3.66</v>
      </c>
      <c r="AB454" t="str">
        <v>勤誠</v>
      </c>
      <c r="AC454" t="str">
        <v>上市電腦及週邊設備</v>
      </c>
      <c r="AD454" t="str">
        <v>台灣伺服器機殼龍頭廠</v>
      </c>
      <c r="AE454" t="str">
        <f t="array" ref="AE454:AH454">[1]!'8210.TW-CName,InvestorConferenceDate,DateofMeetingofShareHolders,TradingDate'</f>
        <v>勤誠</v>
      </c>
      <c r="AF454" t="str">
        <v>2022/11/14</v>
      </c>
      <c r="AG454" t="str">
        <v>2022/05/31</v>
      </c>
      <c r="AH454" t="str">
        <v>2022/12/22</v>
      </c>
    </row>
    <row r="455" spans="1:34" x14ac:dyDescent="0.3">
      <c r="A455" t="str">
        <f t="array" ref="A455:J455">[1]!'9912.TW-ID,Name,MarketValue,Capital,NetIncomeGrowthRate,OperIncomeGrowthRate,FinancialStatementsTime,TFXRatio,MonthlyNetSalesYoY,RevenueMonth'</f>
        <v>9912</v>
      </c>
      <c r="B455" t="str">
        <v>偉聯</v>
      </c>
      <c r="C455" t="str">
        <v>5.1</v>
      </c>
      <c r="D455" t="str">
        <v>5.45</v>
      </c>
      <c r="E455" t="str">
        <v>-312.36</v>
      </c>
      <c r="F455" t="str">
        <v>-231.35</v>
      </c>
      <c r="G455" t="str">
        <v>2022/09</v>
      </c>
      <c r="H455" t="str">
        <v>0.44</v>
      </c>
      <c r="I455" t="str">
        <v>-43.48</v>
      </c>
      <c r="J455" t="str">
        <v>2022/11</v>
      </c>
      <c r="K455" t="str">
        <f t="array" ref="K455:T455">[1]!'9912.TW-OperatingProfitRatio,Price,PriceChangeRatio,InOutRatioNumber,Value,YearReturn,MonthReturn,WeekReturn,FinanceBalanceDif,ChipsField2'</f>
        <v>-4.50</v>
      </c>
      <c r="L455">
        <v>9.36</v>
      </c>
      <c r="M455">
        <v>0</v>
      </c>
      <c r="N455" t="str">
        <v>70.83%</v>
      </c>
      <c r="O455" t="str">
        <v>22.4萬</v>
      </c>
      <c r="P455" t="str">
        <v>-3.11</v>
      </c>
      <c r="Q455" t="str">
        <v>-4.39</v>
      </c>
      <c r="R455" t="str">
        <v>-3.51</v>
      </c>
      <c r="S455">
        <v>0</v>
      </c>
      <c r="T455">
        <v>0</v>
      </c>
      <c r="U455">
        <f t="array" ref="U455:AD455">[1]!'9912.TW-ChipsField3,ChipsField1,ChipsField25,CashAndStockDividend,CashDividendYieldRate,ProfitFourSeason,ProfitSingle,CName,ExchangeIndustry,CompanyPos'</f>
        <v>0</v>
      </c>
      <c r="V455">
        <v>-4</v>
      </c>
      <c r="W455" t="str">
        <v>--</v>
      </c>
      <c r="X455" t="str">
        <v>0.00</v>
      </c>
      <c r="Y455">
        <v>0</v>
      </c>
      <c r="Z455" t="str">
        <v>0.15</v>
      </c>
      <c r="AA455" t="str">
        <v>0.02</v>
      </c>
      <c r="AB455" t="str">
        <v>偉聯</v>
      </c>
      <c r="AC455" t="str">
        <v>上市電腦及週邊設備</v>
      </c>
      <c r="AD455" t="str">
        <v>以自有品牌發展專業用途顯示器廠</v>
      </c>
      <c r="AE455" t="str">
        <f t="array" ref="AE455:AH455">[1]!'9912.TW-CName,InvestorConferenceDate,DateofMeetingofShareHolders,TradingDate'</f>
        <v>偉聯</v>
      </c>
      <c r="AF455" t="str">
        <v>2022/06/28</v>
      </c>
      <c r="AG455" t="str">
        <v>2022/06/22</v>
      </c>
      <c r="AH455" t="str">
        <v>2022/12/22</v>
      </c>
    </row>
    <row r="456" spans="1:34" x14ac:dyDescent="0.3">
      <c r="A456" t="str">
        <f t="array" ref="A456:J456">[1]!'2323.TW-ID,Name,MarketValue,Capital,NetIncomeGrowthRate,OperIncomeGrowthRate,FinancialStatementsTime,TFXRatio,MonthlyNetSalesYoY,RevenueMonth'</f>
        <v>2323</v>
      </c>
      <c r="B456" t="str">
        <v>中環</v>
      </c>
      <c r="C456" t="str">
        <v>81.7</v>
      </c>
      <c r="D456" t="str">
        <v>108.93</v>
      </c>
      <c r="E456" t="str">
        <v>-4818.75</v>
      </c>
      <c r="F456" t="str">
        <v>-100.21</v>
      </c>
      <c r="G456" t="str">
        <v>2022/09</v>
      </c>
      <c r="H456" t="str">
        <v>2.02</v>
      </c>
      <c r="I456" t="str">
        <v>-18.14</v>
      </c>
      <c r="J456" t="str">
        <v>2022/11</v>
      </c>
      <c r="K456" t="str">
        <f t="array" ref="K456:T456">[1]!'2323.TW-OperatingProfitRatio,Price,PriceChangeRatio,InOutRatioNumber,Value,YearReturn,MonthReturn,WeekReturn,FinanceBalanceDif,ChipsField2'</f>
        <v>-4.92</v>
      </c>
      <c r="L456">
        <v>7.5</v>
      </c>
      <c r="M456">
        <v>1.63</v>
      </c>
      <c r="N456" t="str">
        <v>64.84%</v>
      </c>
      <c r="O456" t="str">
        <v>1428萬</v>
      </c>
      <c r="P456" t="str">
        <v>-12.01</v>
      </c>
      <c r="Q456" t="str">
        <v>+6.99</v>
      </c>
      <c r="R456" t="str">
        <v>-2.60</v>
      </c>
      <c r="S456">
        <v>17</v>
      </c>
      <c r="T456">
        <v>0</v>
      </c>
      <c r="U456">
        <f t="array" ref="U456:AD456">[1]!'2323.TW-ChipsField3,ChipsField1,ChipsField25,CashAndStockDividend,CashDividendYieldRate,ProfitFourSeason,ProfitSingle,CName,ExchangeIndustry,CompanyPos'</f>
        <v>-240</v>
      </c>
      <c r="V456">
        <v>-216</v>
      </c>
      <c r="W456" t="str">
        <v>2022/10/14</v>
      </c>
      <c r="X456" t="str">
        <v>0.10</v>
      </c>
      <c r="Y456">
        <v>1.33</v>
      </c>
      <c r="Z456" t="str">
        <v>-0.71</v>
      </c>
      <c r="AA456" t="str">
        <v>-0.25</v>
      </c>
      <c r="AB456" t="str">
        <v>中環</v>
      </c>
      <c r="AC456" t="str">
        <v>上市光電</v>
      </c>
      <c r="AD456" t="str">
        <v>全球前三大光碟片製造商之一</v>
      </c>
      <c r="AE456" t="str">
        <f t="array" ref="AE456:AH456">[1]!'2323.TW-CName,InvestorConferenceDate,DateofMeetingofShareHolders,TradingDate'</f>
        <v>中環</v>
      </c>
      <c r="AF456" t="str">
        <v>2022/12/09</v>
      </c>
      <c r="AG456" t="str">
        <v>2022/06/17</v>
      </c>
      <c r="AH456" t="str">
        <v>2022/12/22</v>
      </c>
    </row>
    <row r="457" spans="1:34" x14ac:dyDescent="0.3">
      <c r="A457" t="str">
        <f t="array" ref="A457:J457">[1]!'2349.TW-ID,Name,MarketValue,Capital,NetIncomeGrowthRate,OperIncomeGrowthRate,FinancialStatementsTime,TFXRatio,MonthlyNetSalesYoY,RevenueMonth'</f>
        <v>2349</v>
      </c>
      <c r="B457" t="str">
        <v>錸德</v>
      </c>
      <c r="C457" t="str">
        <v>54.7</v>
      </c>
      <c r="D457" t="str">
        <v>69.37</v>
      </c>
      <c r="E457" t="str">
        <v>109.72</v>
      </c>
      <c r="F457" t="str">
        <v>-37.75</v>
      </c>
      <c r="G457" t="str">
        <v>2022/09</v>
      </c>
      <c r="H457" t="str">
        <v>8.51</v>
      </c>
      <c r="I457" t="str">
        <v>9.75</v>
      </c>
      <c r="J457" t="str">
        <v>2022/11</v>
      </c>
      <c r="K457" t="str">
        <f t="array" ref="K457:T457">[1]!'2349.TW-OperatingProfitRatio,Price,PriceChangeRatio,InOutRatioNumber,Value,YearReturn,MonthReturn,WeekReturn,FinanceBalanceDif,ChipsField2'</f>
        <v>-2.46</v>
      </c>
      <c r="L457">
        <v>7.88</v>
      </c>
      <c r="M457">
        <v>1.1599999999999999</v>
      </c>
      <c r="N457" t="str">
        <v>48.54%</v>
      </c>
      <c r="O457" t="str">
        <v>889萬</v>
      </c>
      <c r="P457" t="str">
        <v>-17.05</v>
      </c>
      <c r="Q457" t="str">
        <v>+7.80</v>
      </c>
      <c r="R457" t="str">
        <v>-3.08</v>
      </c>
      <c r="S457">
        <v>0</v>
      </c>
      <c r="T457">
        <v>0</v>
      </c>
      <c r="U457">
        <f t="array" ref="U457:AD457">[1]!'2349.TW-ChipsField3,ChipsField1,ChipsField25,CashAndStockDividend,CashDividendYieldRate,ProfitFourSeason,ProfitSingle,CName,ExchangeIndustry,CompanyPos'</f>
        <v>0</v>
      </c>
      <c r="V457">
        <v>-3</v>
      </c>
      <c r="W457" t="str">
        <v>--</v>
      </c>
      <c r="X457" t="str">
        <v>0.00</v>
      </c>
      <c r="Y457">
        <v>0</v>
      </c>
      <c r="Z457" t="str">
        <v>-0.20</v>
      </c>
      <c r="AA457" t="str">
        <v>0.01</v>
      </c>
      <c r="AB457" t="str">
        <v>錸德</v>
      </c>
      <c r="AC457" t="str">
        <v>上市光電</v>
      </c>
      <c r="AD457" t="str">
        <v>全球前三大光碟片製造商之一</v>
      </c>
      <c r="AE457" t="str">
        <f t="array" ref="AE457:AH457">[1]!'2349.TW-CName,InvestorConferenceDate,DateofMeetingofShareHolders,TradingDate'</f>
        <v>錸德</v>
      </c>
      <c r="AF457" t="str">
        <v>2022/12/06</v>
      </c>
      <c r="AG457" t="str">
        <v>2022/06/16</v>
      </c>
      <c r="AH457" t="str">
        <v>2022/12/22</v>
      </c>
    </row>
    <row r="458" spans="1:34" x14ac:dyDescent="0.3">
      <c r="A458" t="str">
        <f t="array" ref="A458:J458">[1]!'2374.TW-ID,Name,MarketValue,Capital,NetIncomeGrowthRate,OperIncomeGrowthRate,FinancialStatementsTime,TFXRatio,MonthlyNetSalesYoY,RevenueMonth'</f>
        <v>2374</v>
      </c>
      <c r="B458" t="str">
        <v>佳能</v>
      </c>
      <c r="C458" t="str">
        <v>59.5</v>
      </c>
      <c r="D458" t="str">
        <v>28.76</v>
      </c>
      <c r="E458" t="str">
        <v>-69.55</v>
      </c>
      <c r="F458" t="str">
        <v>94.77</v>
      </c>
      <c r="G458" t="str">
        <v>2022/09</v>
      </c>
      <c r="H458" t="str">
        <v>-14.04</v>
      </c>
      <c r="I458" t="str">
        <v>6.00</v>
      </c>
      <c r="J458" t="str">
        <v>2022/11</v>
      </c>
      <c r="K458" t="str">
        <f t="array" ref="K458:T458">[1]!'2374.TW-OperatingProfitRatio,Price,PriceChangeRatio,InOutRatioNumber,Value,YearReturn,MonthReturn,WeekReturn,FinanceBalanceDif,ChipsField2'</f>
        <v>-0.44</v>
      </c>
      <c r="L458">
        <v>20.7</v>
      </c>
      <c r="M458">
        <v>0.73</v>
      </c>
      <c r="N458" t="str">
        <v>42.21%</v>
      </c>
      <c r="O458" t="str">
        <v>512萬</v>
      </c>
      <c r="P458" t="str">
        <v>-9.02</v>
      </c>
      <c r="Q458" t="str">
        <v>-3.72</v>
      </c>
      <c r="R458" t="str">
        <v>-4.17</v>
      </c>
      <c r="S458">
        <v>22</v>
      </c>
      <c r="T458">
        <v>0</v>
      </c>
      <c r="U458">
        <f t="array" ref="U458:AD458">[1]!'2374.TW-ChipsField3,ChipsField1,ChipsField25,CashAndStockDividend,CashDividendYieldRate,ProfitFourSeason,ProfitSingle,CName,ExchangeIndustry,CompanyPos'</f>
        <v>-13</v>
      </c>
      <c r="V458">
        <v>-39</v>
      </c>
      <c r="W458" t="str">
        <v>2022/07/18</v>
      </c>
      <c r="X458" t="str">
        <v>1.00</v>
      </c>
      <c r="Y458">
        <v>4.83</v>
      </c>
      <c r="Z458" t="str">
        <v>0.60</v>
      </c>
      <c r="AA458" t="str">
        <v>0.60</v>
      </c>
      <c r="AB458" t="str">
        <v>佳能</v>
      </c>
      <c r="AC458" t="str">
        <v>上市光電</v>
      </c>
      <c r="AD458" t="str">
        <v>轉型車載鏡頭及AI相機應用為主</v>
      </c>
      <c r="AE458" t="str">
        <f t="array" ref="AE458:AH458">[1]!'2374.TW-CName,InvestorConferenceDate,DateofMeetingofShareHolders,TradingDate'</f>
        <v>佳能</v>
      </c>
      <c r="AF458" t="str">
        <v>2022/12/26</v>
      </c>
      <c r="AG458" t="str">
        <v>2022/06/21</v>
      </c>
      <c r="AH458" t="str">
        <v>2022/12/22</v>
      </c>
    </row>
    <row r="459" spans="1:34" x14ac:dyDescent="0.3">
      <c r="A459" t="str">
        <f t="array" ref="A459:J459">[1]!'2393.TW-ID,Name,MarketValue,Capital,NetIncomeGrowthRate,OperIncomeGrowthRate,FinancialStatementsTime,TFXRatio,MonthlyNetSalesYoY,RevenueMonth'</f>
        <v>2393</v>
      </c>
      <c r="B459" t="str">
        <v>億光</v>
      </c>
      <c r="C459" t="str">
        <v>164.7</v>
      </c>
      <c r="D459" t="str">
        <v>44.35</v>
      </c>
      <c r="E459" t="str">
        <v>-21.10</v>
      </c>
      <c r="F459" t="str">
        <v>-39.19</v>
      </c>
      <c r="G459" t="str">
        <v>2022/09</v>
      </c>
      <c r="H459" t="str">
        <v>1.49</v>
      </c>
      <c r="I459" t="str">
        <v>-21.58</v>
      </c>
      <c r="J459" t="str">
        <v>2022/11</v>
      </c>
      <c r="K459" t="str">
        <f t="array" ref="K459:T459">[1]!'2393.TW-OperatingProfitRatio,Price,PriceChangeRatio,InOutRatioNumber,Value,YearReturn,MonthReturn,WeekReturn,FinanceBalanceDif,ChipsField2'</f>
        <v>8.15</v>
      </c>
      <c r="L459">
        <v>37.15</v>
      </c>
      <c r="M459">
        <v>0.27</v>
      </c>
      <c r="N459" t="str">
        <v>36.83%</v>
      </c>
      <c r="O459" t="str">
        <v>1175萬</v>
      </c>
      <c r="P459" t="str">
        <v>-20.81</v>
      </c>
      <c r="Q459" t="str">
        <v>+0.13</v>
      </c>
      <c r="R459" t="str">
        <v>-3.51</v>
      </c>
      <c r="S459">
        <v>10</v>
      </c>
      <c r="T459">
        <v>0</v>
      </c>
      <c r="U459">
        <f t="array" ref="U459:AD459">[1]!'2393.TW-ChipsField3,ChipsField1,ChipsField25,CashAndStockDividend,CashDividendYieldRate,ProfitFourSeason,ProfitSingle,CName,ExchangeIndustry,CompanyPos'</f>
        <v>-17</v>
      </c>
      <c r="V459">
        <v>46</v>
      </c>
      <c r="W459" t="str">
        <v>2022/08/03</v>
      </c>
      <c r="X459" t="str">
        <v>3.50</v>
      </c>
      <c r="Y459">
        <v>9.42</v>
      </c>
      <c r="Z459" t="str">
        <v>3.49</v>
      </c>
      <c r="AA459" t="str">
        <v>0.96</v>
      </c>
      <c r="AB459" t="str">
        <v>億光</v>
      </c>
      <c r="AC459" t="str">
        <v>上市光電</v>
      </c>
      <c r="AD459" t="str">
        <v>全球前十大LED封裝廠</v>
      </c>
      <c r="AE459" t="str">
        <f t="array" ref="AE459:AH459">[1]!'2393.TW-CName,InvestorConferenceDate,DateofMeetingofShareHolders,TradingDate'</f>
        <v>億光</v>
      </c>
      <c r="AF459" t="str">
        <v>2021/03/24</v>
      </c>
      <c r="AG459" t="str">
        <v>2022/06/17</v>
      </c>
      <c r="AH459" t="str">
        <v>2022/12/22</v>
      </c>
    </row>
    <row r="460" spans="1:34" x14ac:dyDescent="0.3">
      <c r="A460" t="str">
        <f t="array" ref="A460:J460">[1]!'2406.TW-ID,Name,MarketValue,Capital,NetIncomeGrowthRate,OperIncomeGrowthRate,FinancialStatementsTime,TFXRatio,MonthlyNetSalesYoY,RevenueMonth'</f>
        <v>2406</v>
      </c>
      <c r="B460" t="str">
        <v>國碩</v>
      </c>
      <c r="C460" t="str">
        <v>66.7</v>
      </c>
      <c r="D460" t="str">
        <v>35.09</v>
      </c>
      <c r="E460" t="str">
        <v>-809.91</v>
      </c>
      <c r="F460" t="str">
        <v>-274.29</v>
      </c>
      <c r="G460" t="str">
        <v>2022/09</v>
      </c>
      <c r="H460" t="str">
        <v>3.35</v>
      </c>
      <c r="I460" t="str">
        <v>-23.72</v>
      </c>
      <c r="J460" t="str">
        <v>2022/11</v>
      </c>
      <c r="K460" t="str">
        <f t="array" ref="K460:T460">[1]!'2406.TW-OperatingProfitRatio,Price,PriceChangeRatio,InOutRatioNumber,Value,YearReturn,MonthReturn,WeekReturn,FinanceBalanceDif,ChipsField2'</f>
        <v>-3.73</v>
      </c>
      <c r="L460">
        <v>19</v>
      </c>
      <c r="M460">
        <v>1.06</v>
      </c>
      <c r="N460" t="str">
        <v>55.49%</v>
      </c>
      <c r="O460" t="str">
        <v>1571萬</v>
      </c>
      <c r="P460" t="str">
        <v>-44.77</v>
      </c>
      <c r="Q460" t="str">
        <v>+4.11</v>
      </c>
      <c r="R460" t="str">
        <v>-6.86</v>
      </c>
      <c r="S460">
        <v>41</v>
      </c>
      <c r="T460">
        <v>0</v>
      </c>
      <c r="U460">
        <f t="array" ref="U460:AD460">[1]!'2406.TW-ChipsField3,ChipsField1,ChipsField25,CashAndStockDividend,CashDividendYieldRate,ProfitFourSeason,ProfitSingle,CName,ExchangeIndustry,CompanyPos'</f>
        <v>-18</v>
      </c>
      <c r="V460">
        <v>-44</v>
      </c>
      <c r="W460" t="str">
        <v>--</v>
      </c>
      <c r="X460" t="str">
        <v>0.00</v>
      </c>
      <c r="Y460">
        <v>0</v>
      </c>
      <c r="Z460" t="str">
        <v>-0.35</v>
      </c>
      <c r="AA460" t="str">
        <v>-0.02</v>
      </c>
      <c r="AB460" t="str">
        <v>國碩</v>
      </c>
      <c r="AC460" t="str">
        <v>上市光電</v>
      </c>
      <c r="AD460" t="str">
        <v>台灣太陽能導電銲帶龍頭，並轉投資太陽能導電漿廠碩禾</v>
      </c>
      <c r="AE460" t="str">
        <f t="array" ref="AE460:AH460">[1]!'2406.TW-CName,InvestorConferenceDate,DateofMeetingofShareHolders,TradingDate'</f>
        <v>國碩</v>
      </c>
      <c r="AF460" t="str">
        <v>2022/11/23</v>
      </c>
      <c r="AG460" t="str">
        <v>2022/06/24</v>
      </c>
      <c r="AH460" t="str">
        <v>2022/12/22</v>
      </c>
    </row>
    <row r="461" spans="1:34" x14ac:dyDescent="0.3">
      <c r="A461" t="str">
        <f t="array" ref="A461:J461">[1]!'2409.TW-ID,Name,MarketValue,Capital,NetIncomeGrowthRate,OperIncomeGrowthRate,FinancialStatementsTime,TFXRatio,MonthlyNetSalesYoY,RevenueMonth'</f>
        <v>2409</v>
      </c>
      <c r="B461" t="str">
        <v>友達</v>
      </c>
      <c r="C461" t="str">
        <v>1178.0</v>
      </c>
      <c r="D461" t="str">
        <v>769.94</v>
      </c>
      <c r="E461" t="str">
        <v>-121.31</v>
      </c>
      <c r="F461" t="str">
        <v>-124.77</v>
      </c>
      <c r="G461" t="str">
        <v>2022/09</v>
      </c>
      <c r="H461" t="str">
        <v>1.74</v>
      </c>
      <c r="I461" t="str">
        <v>-43.42</v>
      </c>
      <c r="J461" t="str">
        <v>2022/11</v>
      </c>
      <c r="K461" t="str">
        <f t="array" ref="K461:T461">[1]!'2409.TW-OperatingProfitRatio,Price,PriceChangeRatio,InOutRatioNumber,Value,YearReturn,MonthReturn,WeekReturn,FinanceBalanceDif,ChipsField2'</f>
        <v>-6.73</v>
      </c>
      <c r="L461">
        <v>15.3</v>
      </c>
      <c r="M461">
        <v>4.4400000000000004</v>
      </c>
      <c r="N461" t="str">
        <v>41.85%</v>
      </c>
      <c r="O461" t="str">
        <v>12.3億</v>
      </c>
      <c r="P461" t="str">
        <v>-32.10</v>
      </c>
      <c r="Q461" t="str">
        <v>-6.42</v>
      </c>
      <c r="R461" t="str">
        <v>-2.86</v>
      </c>
      <c r="S461">
        <v>296</v>
      </c>
      <c r="T461">
        <v>-19460</v>
      </c>
      <c r="U461">
        <f t="array" ref="U461:AD461">[1]!'2409.TW-ChipsField3,ChipsField1,ChipsField25,CashAndStockDividend,CashDividendYieldRate,ProfitFourSeason,ProfitSingle,CName,ExchangeIndustry,CompanyPos'</f>
        <v>271</v>
      </c>
      <c r="V461">
        <v>8748</v>
      </c>
      <c r="W461" t="str">
        <v>2022/07/04</v>
      </c>
      <c r="X461" t="str">
        <v>1.00</v>
      </c>
      <c r="Y461">
        <v>6.54</v>
      </c>
      <c r="Z461" t="str">
        <v>-0.03</v>
      </c>
      <c r="AA461" t="str">
        <v>-1.23</v>
      </c>
      <c r="AB461" t="str">
        <v>友達</v>
      </c>
      <c r="AC461" t="str">
        <v>上市光電</v>
      </c>
      <c r="AD461" t="str">
        <v>全球前五大面板大廠之一</v>
      </c>
      <c r="AE461" t="str">
        <f t="array" ref="AE461:AH461">[1]!'2409.TW-CName,InvestorConferenceDate,DateofMeetingofShareHolders,TradingDate'</f>
        <v>友達</v>
      </c>
      <c r="AF461" t="str">
        <v>2022/10/26</v>
      </c>
      <c r="AG461" t="str">
        <v>2022/06/17</v>
      </c>
      <c r="AH461" t="str">
        <v>2022/12/22</v>
      </c>
    </row>
    <row r="462" spans="1:34" x14ac:dyDescent="0.3">
      <c r="A462" t="str">
        <f t="array" ref="A462:J462">[1]!'2426.TW-ID,Name,MarketValue,Capital,NetIncomeGrowthRate,OperIncomeGrowthRate,FinancialStatementsTime,TFXRatio,MonthlyNetSalesYoY,RevenueMonth'</f>
        <v>2426</v>
      </c>
      <c r="B462" t="str">
        <v>鼎元</v>
      </c>
      <c r="C462" t="str">
        <v>51.1</v>
      </c>
      <c r="D462" t="str">
        <v>30.06</v>
      </c>
      <c r="E462" t="str">
        <v>-156.31</v>
      </c>
      <c r="F462" t="str">
        <v>-62.73</v>
      </c>
      <c r="G462" t="str">
        <v>2022/09</v>
      </c>
      <c r="H462" t="str">
        <v>-1.98</v>
      </c>
      <c r="I462" t="str">
        <v>-32.46</v>
      </c>
      <c r="J462" t="str">
        <v>2022/11</v>
      </c>
      <c r="K462" t="str">
        <f t="array" ref="K462:T462">[1]!'2426.TW-OperatingProfitRatio,Price,PriceChangeRatio,InOutRatioNumber,Value,YearReturn,MonthReturn,WeekReturn,FinanceBalanceDif,ChipsField2'</f>
        <v>5.05</v>
      </c>
      <c r="L462">
        <v>17</v>
      </c>
      <c r="M462">
        <v>0.59</v>
      </c>
      <c r="N462" t="str">
        <v>31.62%</v>
      </c>
      <c r="O462" t="str">
        <v>200萬</v>
      </c>
      <c r="P462" t="str">
        <v>-36.42</v>
      </c>
      <c r="Q462" t="str">
        <v>-3.13</v>
      </c>
      <c r="R462" t="str">
        <v>-5.29</v>
      </c>
      <c r="S462">
        <v>4</v>
      </c>
      <c r="T462">
        <v>0</v>
      </c>
      <c r="U462">
        <f t="array" ref="U462:AD462">[1]!'2426.TW-ChipsField3,ChipsField1,ChipsField25,CashAndStockDividend,CashDividendYieldRate,ProfitFourSeason,ProfitSingle,CName,ExchangeIndustry,CompanyPos'</f>
        <v>-15</v>
      </c>
      <c r="V462">
        <v>28</v>
      </c>
      <c r="W462" t="str">
        <v>2022/08/18</v>
      </c>
      <c r="X462" t="str">
        <v>1.00</v>
      </c>
      <c r="Y462">
        <v>5.88</v>
      </c>
      <c r="Z462" t="str">
        <v>1.34</v>
      </c>
      <c r="AA462" t="str">
        <v>-0.21</v>
      </c>
      <c r="AB462" t="str">
        <v>鼎元</v>
      </c>
      <c r="AC462" t="str">
        <v>上市光電</v>
      </c>
      <c r="AD462" t="str">
        <v>台灣大型LED晶粒切割、檢測廠</v>
      </c>
      <c r="AE462" t="str">
        <f t="array" ref="AE462:AH462">[1]!'2426.TW-CName,InvestorConferenceDate,DateofMeetingofShareHolders,TradingDate'</f>
        <v>鼎元</v>
      </c>
      <c r="AF462" t="str">
        <v>2022/12/15</v>
      </c>
      <c r="AG462" t="str">
        <v>2022/06/08</v>
      </c>
      <c r="AH462" t="str">
        <v>2022/12/22</v>
      </c>
    </row>
    <row r="463" spans="1:34" x14ac:dyDescent="0.3">
      <c r="A463" t="str">
        <f t="array" ref="A463:J463">[1]!'2429.TW-ID,Name,MarketValue,Capital,NetIncomeGrowthRate,OperIncomeGrowthRate,FinancialStatementsTime,TFXRatio,MonthlyNetSalesYoY,RevenueMonth'</f>
        <v>2429</v>
      </c>
      <c r="B463" t="str">
        <v>銘旺科</v>
      </c>
      <c r="C463" t="str">
        <v>2.9</v>
      </c>
      <c r="D463" t="str">
        <v>4.37</v>
      </c>
      <c r="E463" t="str">
        <v>-250.09</v>
      </c>
      <c r="F463" t="str">
        <v>-125.30</v>
      </c>
      <c r="G463" t="str">
        <v>2022/09</v>
      </c>
      <c r="H463" t="str">
        <v>9.27</v>
      </c>
      <c r="I463" t="str">
        <v>-30.23</v>
      </c>
      <c r="J463" t="str">
        <v>2022/11</v>
      </c>
      <c r="K463" t="str">
        <f t="array" ref="K463:T463">[1]!'2429.TW-OperatingProfitRatio,Price,PriceChangeRatio,InOutRatioNumber,Value,YearReturn,MonthReturn,WeekReturn,FinanceBalanceDif,ChipsField2'</f>
        <v>-7.05</v>
      </c>
      <c r="L463">
        <v>10.7</v>
      </c>
      <c r="M463">
        <v>-2.2799999999999998</v>
      </c>
      <c r="N463" t="str">
        <v>50.00%</v>
      </c>
      <c r="O463" t="str">
        <v>2.13萬</v>
      </c>
      <c r="P463" t="str">
        <v>-49.17</v>
      </c>
      <c r="Q463" t="str">
        <v>+3.38</v>
      </c>
      <c r="R463" t="str">
        <v>-0.47</v>
      </c>
      <c r="S463">
        <v>0</v>
      </c>
      <c r="T463">
        <v>0</v>
      </c>
      <c r="U463">
        <f t="array" ref="U463:AD463">[1]!'2429.TW-ChipsField3,ChipsField1,ChipsField25,CashAndStockDividend,CashDividendYieldRate,ProfitFourSeason,ProfitSingle,CName,ExchangeIndustry,CompanyPos'</f>
        <v>0</v>
      </c>
      <c r="V463">
        <v>0</v>
      </c>
      <c r="W463" t="str">
        <v>--</v>
      </c>
      <c r="X463" t="str">
        <v>0.00</v>
      </c>
      <c r="Y463">
        <v>0</v>
      </c>
      <c r="Z463" t="str">
        <v>-0.81</v>
      </c>
      <c r="AA463" t="str">
        <v>-0.23</v>
      </c>
      <c r="AB463" t="str">
        <v>銘旺科</v>
      </c>
      <c r="AC463" t="str">
        <v>上市光電</v>
      </c>
      <c r="AD463" t="str">
        <v>台灣觸控面板公司</v>
      </c>
      <c r="AE463" t="str">
        <f t="array" ref="AE463:AH463">[1]!'2429.TW-CName,InvestorConferenceDate,DateofMeetingofShareHolders,TradingDate'</f>
        <v>銘旺科</v>
      </c>
      <c r="AF463" t="str">
        <v>2022/12/20</v>
      </c>
      <c r="AG463" t="str">
        <v>2022/06/30</v>
      </c>
      <c r="AH463" t="str">
        <v>2022/12/22</v>
      </c>
    </row>
    <row r="464" spans="1:34" x14ac:dyDescent="0.3">
      <c r="A464" t="str">
        <f t="array" ref="A464:J464">[1]!'2438.TW-ID,Name,MarketValue,Capital,NetIncomeGrowthRate,OperIncomeGrowthRate,FinancialStatementsTime,TFXRatio,MonthlyNetSalesYoY,RevenueMonth'</f>
        <v>2438</v>
      </c>
      <c r="B464" t="str">
        <v>翔耀</v>
      </c>
      <c r="C464" t="str">
        <v>8.2</v>
      </c>
      <c r="D464" t="str">
        <v>6.02</v>
      </c>
      <c r="E464" t="str">
        <v>-168.96</v>
      </c>
      <c r="F464" t="str">
        <v>-197.27</v>
      </c>
      <c r="G464" t="str">
        <v>2022/09</v>
      </c>
      <c r="H464" t="str">
        <v>0.43</v>
      </c>
      <c r="I464" t="str">
        <v>-64.39</v>
      </c>
      <c r="J464" t="str">
        <v>2022/11</v>
      </c>
      <c r="K464" t="str">
        <f t="array" ref="K464:T464">[1]!'2438.TW-OperatingProfitRatio,Price,PriceChangeRatio,InOutRatioNumber,Value,YearReturn,MonthReturn,WeekReturn,FinanceBalanceDif,ChipsField2'</f>
        <v>-8.28</v>
      </c>
      <c r="L464">
        <v>13.7</v>
      </c>
      <c r="M464">
        <v>-0.36</v>
      </c>
      <c r="N464" t="str">
        <v>9.52%</v>
      </c>
      <c r="O464" t="str">
        <v>28.6萬</v>
      </c>
      <c r="P464" t="str">
        <v>-7.12</v>
      </c>
      <c r="Q464" t="str">
        <v>+5.38</v>
      </c>
      <c r="R464" t="str">
        <v>+0.37</v>
      </c>
      <c r="S464">
        <v>0</v>
      </c>
      <c r="T464">
        <v>0</v>
      </c>
      <c r="U464">
        <f t="array" ref="U464:AD464">[1]!'2438.TW-ChipsField3,ChipsField1,ChipsField25,CashAndStockDividend,CashDividendYieldRate,ProfitFourSeason,ProfitSingle,CName,ExchangeIndustry,CompanyPos'</f>
        <v>0</v>
      </c>
      <c r="V464">
        <v>0</v>
      </c>
      <c r="W464" t="str">
        <v>--</v>
      </c>
      <c r="X464" t="str">
        <v>0.00</v>
      </c>
      <c r="Y464">
        <v>0</v>
      </c>
      <c r="Z464" t="str">
        <v>-0.17</v>
      </c>
      <c r="AA464" t="str">
        <v>-0.08</v>
      </c>
      <c r="AB464" t="str">
        <v>翔耀</v>
      </c>
      <c r="AC464" t="str">
        <v>上市光電</v>
      </c>
      <c r="AD464" t="str">
        <v>主要經營玻璃基板薄化加工及機電設備</v>
      </c>
      <c r="AE464" t="str">
        <f t="array" ref="AE464:AH464">[1]!'2438.TW-CName,InvestorConferenceDate,DateofMeetingofShareHolders,TradingDate'</f>
        <v>翔耀</v>
      </c>
      <c r="AF464" t="str">
        <v>2022/11/30</v>
      </c>
      <c r="AG464" t="str">
        <v>2022/06/22</v>
      </c>
      <c r="AH464" t="str">
        <v>2022/12/22</v>
      </c>
    </row>
    <row r="465" spans="1:34" x14ac:dyDescent="0.3">
      <c r="A465" t="str">
        <f t="array" ref="A465:J465">[1]!'2466.TW-ID,Name,MarketValue,Capital,NetIncomeGrowthRate,OperIncomeGrowthRate,FinancialStatementsTime,TFXRatio,MonthlyNetSalesYoY,RevenueMonth'</f>
        <v>2466</v>
      </c>
      <c r="B465" t="str">
        <v>冠西電</v>
      </c>
      <c r="C465" t="str">
        <v>56.6</v>
      </c>
      <c r="D465" t="str">
        <v>16.81</v>
      </c>
      <c r="E465" t="str">
        <v>335.11</v>
      </c>
      <c r="F465" t="str">
        <v>79.83</v>
      </c>
      <c r="G465" t="str">
        <v>2022/09</v>
      </c>
      <c r="H465" t="str">
        <v>-16.88</v>
      </c>
      <c r="I465" t="str">
        <v>-3.61</v>
      </c>
      <c r="J465" t="str">
        <v>2022/11</v>
      </c>
      <c r="K465" t="str">
        <f t="array" ref="K465:T465">[1]!'2466.TW-OperatingProfitRatio,Price,PriceChangeRatio,InOutRatioNumber,Value,YearReturn,MonthReturn,WeekReturn,FinanceBalanceDif,ChipsField2'</f>
        <v>6.93</v>
      </c>
      <c r="L465">
        <v>33.700000000000003</v>
      </c>
      <c r="M465">
        <v>4.66</v>
      </c>
      <c r="N465" t="str">
        <v>87.88%</v>
      </c>
      <c r="O465" t="str">
        <v>220萬</v>
      </c>
      <c r="P465" t="str">
        <v>-1.69</v>
      </c>
      <c r="Q465" t="str">
        <v>+1.30</v>
      </c>
      <c r="R465" t="str">
        <v>+2.12</v>
      </c>
      <c r="S465">
        <v>-8</v>
      </c>
      <c r="T465">
        <v>0</v>
      </c>
      <c r="U465">
        <f t="array" ref="U465:AD465">[1]!'2466.TW-ChipsField3,ChipsField1,ChipsField25,CashAndStockDividend,CashDividendYieldRate,ProfitFourSeason,ProfitSingle,CName,ExchangeIndustry,CompanyPos'</f>
        <v>-6</v>
      </c>
      <c r="V465">
        <v>13</v>
      </c>
      <c r="W465" t="str">
        <v>--</v>
      </c>
      <c r="X465" t="str">
        <v>0.40</v>
      </c>
      <c r="Y465">
        <v>1.19</v>
      </c>
      <c r="Z465" t="str">
        <v>0.76</v>
      </c>
      <c r="AA465" t="str">
        <v>0.23</v>
      </c>
      <c r="AB465" t="str">
        <v>冠西電</v>
      </c>
      <c r="AC465" t="str">
        <v>上市光電</v>
      </c>
      <c r="AD465" t="str">
        <v>台灣光纖耦合器與繼電器製造商</v>
      </c>
      <c r="AE465" t="str">
        <f t="array" ref="AE465:AH465">[1]!'2466.TW-CName,InvestorConferenceDate,DateofMeetingofShareHolders,TradingDate'</f>
        <v>冠西電</v>
      </c>
      <c r="AF465" t="str">
        <v>2022/12/12</v>
      </c>
      <c r="AG465" t="str">
        <v>2022/06/24</v>
      </c>
      <c r="AH465" t="str">
        <v>2022/12/22</v>
      </c>
    </row>
    <row r="466" spans="1:34" x14ac:dyDescent="0.3">
      <c r="A466" t="str">
        <f t="array" ref="A466:J466">[1]!'2486.TW-ID,Name,MarketValue,Capital,NetIncomeGrowthRate,OperIncomeGrowthRate,FinancialStatementsTime,TFXRatio,MonthlyNetSalesYoY,RevenueMonth'</f>
        <v>2486</v>
      </c>
      <c r="B466" t="str">
        <v>一詮</v>
      </c>
      <c r="C466" t="str">
        <v>47.9</v>
      </c>
      <c r="D466" t="str">
        <v>22.20</v>
      </c>
      <c r="E466" t="str">
        <v>-71.95</v>
      </c>
      <c r="F466" t="str">
        <v>-106.07</v>
      </c>
      <c r="G466" t="str">
        <v>2022/09</v>
      </c>
      <c r="H466" t="str">
        <v>6.76</v>
      </c>
      <c r="I466" t="str">
        <v>-17.50</v>
      </c>
      <c r="J466" t="str">
        <v>2022/11</v>
      </c>
      <c r="K466" t="str">
        <f t="array" ref="K466:T466">[1]!'2486.TW-OperatingProfitRatio,Price,PriceChangeRatio,InOutRatioNumber,Value,YearReturn,MonthReturn,WeekReturn,FinanceBalanceDif,ChipsField2'</f>
        <v>-0.66</v>
      </c>
      <c r="L466">
        <v>21.6</v>
      </c>
      <c r="M466">
        <v>0.47</v>
      </c>
      <c r="N466" t="str">
        <v>39.28%</v>
      </c>
      <c r="O466" t="str">
        <v>4428萬</v>
      </c>
      <c r="P466" t="str">
        <v>-57.51</v>
      </c>
      <c r="Q466" t="str">
        <v>+14.89</v>
      </c>
      <c r="R466" t="str">
        <v>-11.48</v>
      </c>
      <c r="S466">
        <v>-241</v>
      </c>
      <c r="T466">
        <v>0</v>
      </c>
      <c r="U466">
        <f t="array" ref="U466:AD466">[1]!'2486.TW-ChipsField3,ChipsField1,ChipsField25,CashAndStockDividend,CashDividendYieldRate,ProfitFourSeason,ProfitSingle,CName,ExchangeIndustry,CompanyPos'</f>
        <v>-20</v>
      </c>
      <c r="V466">
        <v>173</v>
      </c>
      <c r="W466" t="str">
        <v>2022/06/02</v>
      </c>
      <c r="X466" t="str">
        <v>0.50</v>
      </c>
      <c r="Y466">
        <v>2.31</v>
      </c>
      <c r="Z466" t="str">
        <v>0.58</v>
      </c>
      <c r="AA466" t="str">
        <v>0.17</v>
      </c>
      <c r="AB466" t="str">
        <v>一詮</v>
      </c>
      <c r="AC466" t="str">
        <v>上市光電</v>
      </c>
      <c r="AD466" t="str">
        <v>台灣最大LED導線架生產商</v>
      </c>
      <c r="AE466" t="str">
        <f t="array" ref="AE466:AH466">[1]!'2486.TW-CName,InvestorConferenceDate,DateofMeetingofShareHolders,TradingDate'</f>
        <v>一詮</v>
      </c>
      <c r="AF466" t="str">
        <v>2022/12/06</v>
      </c>
      <c r="AG466" t="str">
        <v>2022/06/01</v>
      </c>
      <c r="AH466" t="str">
        <v>2022/12/22</v>
      </c>
    </row>
    <row r="467" spans="1:34" x14ac:dyDescent="0.3">
      <c r="A467" t="str">
        <f t="array" ref="A467:J467">[1]!'2489.TW-ID,Name,MarketValue,Capital,NetIncomeGrowthRate,OperIncomeGrowthRate,FinancialStatementsTime,TFXRatio,MonthlyNetSalesYoY,RevenueMonth'</f>
        <v>2489</v>
      </c>
      <c r="B467" t="str">
        <v>瑞軒</v>
      </c>
      <c r="C467" t="str">
        <v>78.4</v>
      </c>
      <c r="D467" t="str">
        <v>79.80</v>
      </c>
      <c r="E467" t="str">
        <v>-141.94</v>
      </c>
      <c r="F467" t="str">
        <v>87.54</v>
      </c>
      <c r="G467" t="str">
        <v>2022/09</v>
      </c>
      <c r="H467" t="str">
        <v>-2.38</v>
      </c>
      <c r="I467" t="str">
        <v>-32.81</v>
      </c>
      <c r="J467" t="str">
        <v>2022/11</v>
      </c>
      <c r="K467" t="str">
        <f t="array" ref="K467:T467">[1]!'2489.TW-OperatingProfitRatio,Price,PriceChangeRatio,InOutRatioNumber,Value,YearReturn,MonthReturn,WeekReturn,FinanceBalanceDif,ChipsField2'</f>
        <v>-0.42</v>
      </c>
      <c r="L467">
        <v>9.83</v>
      </c>
      <c r="M467">
        <v>1.1299999999999999</v>
      </c>
      <c r="N467" t="str">
        <v>54.93%</v>
      </c>
      <c r="O467" t="str">
        <v>721萬</v>
      </c>
      <c r="P467" t="str">
        <v>-36.26</v>
      </c>
      <c r="Q467" t="str">
        <v>-1.70</v>
      </c>
      <c r="R467" t="str">
        <v>+0.72</v>
      </c>
      <c r="S467">
        <v>76</v>
      </c>
      <c r="T467">
        <v>0</v>
      </c>
      <c r="U467">
        <f t="array" ref="U467:AD467">[1]!'2489.TW-ChipsField3,ChipsField1,ChipsField25,CashAndStockDividend,CashDividendYieldRate,ProfitFourSeason,ProfitSingle,CName,ExchangeIndustry,CompanyPos'</f>
        <v>-2</v>
      </c>
      <c r="V467">
        <v>-129</v>
      </c>
      <c r="W467" t="str">
        <v>2022/09/01</v>
      </c>
      <c r="X467" t="str">
        <v>1.25</v>
      </c>
      <c r="Y467">
        <v>12.72</v>
      </c>
      <c r="Z467" t="str">
        <v>-3.69</v>
      </c>
      <c r="AA467" t="str">
        <v>1.29</v>
      </c>
      <c r="AB467" t="str">
        <v>瑞軒</v>
      </c>
      <c r="AC467" t="str">
        <v>上市光電</v>
      </c>
      <c r="AD467" t="str">
        <v>Vizio及JVC電視雙品牌暨代工廠</v>
      </c>
      <c r="AE467" t="str">
        <f t="array" ref="AE467:AH467">[1]!'2489.TW-CName,InvestorConferenceDate,DateofMeetingofShareHolders,TradingDate'</f>
        <v>瑞軒</v>
      </c>
      <c r="AF467" t="str">
        <v>2022/12/15</v>
      </c>
      <c r="AG467" t="str">
        <v>2022/06/14</v>
      </c>
      <c r="AH467" t="str">
        <v>2022/12/22</v>
      </c>
    </row>
    <row r="468" spans="1:34" x14ac:dyDescent="0.3">
      <c r="A468" t="str">
        <f t="array" ref="A468:J468">[1]!'2491.TW-ID,Name,MarketValue,Capital,NetIncomeGrowthRate,OperIncomeGrowthRate,FinancialStatementsTime,TFXRatio,MonthlyNetSalesYoY,RevenueMonth'</f>
        <v>2491</v>
      </c>
      <c r="B468" t="str">
        <v>吉祥全</v>
      </c>
      <c r="C468" t="str">
        <v>9.7</v>
      </c>
      <c r="D468" t="str">
        <v>8.20</v>
      </c>
      <c r="E468" t="str">
        <v>-3564.78</v>
      </c>
      <c r="F468" t="str">
        <v>-1002.61</v>
      </c>
      <c r="G468" t="str">
        <v>2022/09</v>
      </c>
      <c r="H468" t="str">
        <v>225.55</v>
      </c>
      <c r="I468" t="str">
        <v>-33.22</v>
      </c>
      <c r="J468" t="str">
        <v>2022/11</v>
      </c>
      <c r="K468" t="str">
        <f t="array" ref="K468:T468">[1]!'2491.TW-OperatingProfitRatio,Price,PriceChangeRatio,InOutRatioNumber,Value,YearReturn,MonthReturn,WeekReturn,FinanceBalanceDif,ChipsField2'</f>
        <v>-233.68</v>
      </c>
      <c r="L468">
        <v>11.85</v>
      </c>
      <c r="M468">
        <v>0.42</v>
      </c>
      <c r="N468" t="str">
        <v>7.32%</v>
      </c>
      <c r="O468" t="str">
        <v>340萬</v>
      </c>
      <c r="P468" t="str">
        <v>-42.44</v>
      </c>
      <c r="Q468" t="str">
        <v>-7.06</v>
      </c>
      <c r="R468" t="str">
        <v>-5.58</v>
      </c>
      <c r="S468">
        <v>-3</v>
      </c>
      <c r="T468">
        <v>0</v>
      </c>
      <c r="U468">
        <f t="array" ref="U468:AD468">[1]!'2491.TW-ChipsField3,ChipsField1,ChipsField25,CashAndStockDividend,CashDividendYieldRate,ProfitFourSeason,ProfitSingle,CName,ExchangeIndustry,CompanyPos'</f>
        <v>0</v>
      </c>
      <c r="V468">
        <v>1</v>
      </c>
      <c r="W468" t="str">
        <v>2022/07/19</v>
      </c>
      <c r="X468" t="str">
        <v>0.10</v>
      </c>
      <c r="Y468">
        <v>0.84</v>
      </c>
      <c r="Z468" t="str">
        <v>-4.20</v>
      </c>
      <c r="AA468" t="str">
        <v>-1.35</v>
      </c>
      <c r="AB468" t="str">
        <v>吉祥全</v>
      </c>
      <c r="AC468" t="str">
        <v>上市光電</v>
      </c>
      <c r="AD468" t="str">
        <v>轉型以LED照明為主業</v>
      </c>
      <c r="AE468" t="str">
        <f t="array" ref="AE468:AH468">[1]!'2491.TW-CName,InvestorConferenceDate,DateofMeetingofShareHolders,TradingDate'</f>
        <v>吉祥全</v>
      </c>
      <c r="AF468" t="str">
        <v>2022/11/04</v>
      </c>
      <c r="AG468" t="str">
        <v>2022/06/17</v>
      </c>
      <c r="AH468" t="str">
        <v>2022/12/22</v>
      </c>
    </row>
    <row r="469" spans="1:34" x14ac:dyDescent="0.3">
      <c r="A469" t="str">
        <f t="array" ref="A469:J469">[1]!'3008.TW-ID,Name,MarketValue,Capital,NetIncomeGrowthRate,OperIncomeGrowthRate,FinancialStatementsTime,TFXRatio,MonthlyNetSalesYoY,RevenueMonth'</f>
        <v>3008</v>
      </c>
      <c r="B469" t="str">
        <v>大立光</v>
      </c>
      <c r="C469" t="str">
        <v>2856.2</v>
      </c>
      <c r="D469" t="str">
        <v>13.35</v>
      </c>
      <c r="E469" t="str">
        <v>37.42</v>
      </c>
      <c r="F469" t="str">
        <v>-20.80</v>
      </c>
      <c r="G469" t="str">
        <v>2022/09</v>
      </c>
      <c r="H469" t="str">
        <v>0.35</v>
      </c>
      <c r="I469" t="str">
        <v>20.22</v>
      </c>
      <c r="J469" t="str">
        <v>2022/11</v>
      </c>
      <c r="K469" t="str">
        <f t="array" ref="K469:T469">[1]!'3008.TW-OperatingProfitRatio,Price,PriceChangeRatio,InOutRatioNumber,Value,YearReturn,MonthReturn,WeekReturn,FinanceBalanceDif,ChipsField2'</f>
        <v>40.86</v>
      </c>
      <c r="L469">
        <v>2140</v>
      </c>
      <c r="M469">
        <v>-2.06</v>
      </c>
      <c r="N469" t="str">
        <v>43.15%</v>
      </c>
      <c r="O469" t="str">
        <v>13.9億</v>
      </c>
      <c r="P469" t="str">
        <v>-6.51</v>
      </c>
      <c r="Q469" t="str">
        <v>-5.73</v>
      </c>
      <c r="R469" t="str">
        <v>-5.31</v>
      </c>
      <c r="S469">
        <v>-24</v>
      </c>
      <c r="T469">
        <v>31</v>
      </c>
      <c r="U469">
        <f t="array" ref="U469:AD469">[1]!'3008.TW-ChipsField3,ChipsField1,ChipsField25,CashAndStockDividend,CashDividendYieldRate,ProfitFourSeason,ProfitSingle,CName,ExchangeIndustry,CompanyPos'</f>
        <v>-7</v>
      </c>
      <c r="V469">
        <v>-75</v>
      </c>
      <c r="W469" t="str">
        <v>2022/08/18</v>
      </c>
      <c r="X469" t="str">
        <v>39.50</v>
      </c>
      <c r="Y469">
        <v>3.28</v>
      </c>
      <c r="Z469" t="str">
        <v>177.65</v>
      </c>
      <c r="AA469" t="str">
        <v>61.01</v>
      </c>
      <c r="AB469" t="str">
        <v>大立光</v>
      </c>
      <c r="AC469" t="str">
        <v>上市光電</v>
      </c>
      <c r="AD469" t="str">
        <v>全球智慧型手機鏡頭龍頭廠</v>
      </c>
      <c r="AE469" t="str">
        <f t="array" ref="AE469:AH469">[1]!'3008.TW-CName,InvestorConferenceDate,DateofMeetingofShareHolders,TradingDate'</f>
        <v>大立光</v>
      </c>
      <c r="AF469" t="str">
        <v>2022/10/13</v>
      </c>
      <c r="AG469" t="str">
        <v>2022/06/08</v>
      </c>
      <c r="AH469" t="str">
        <v>2022/12/22</v>
      </c>
    </row>
    <row r="470" spans="1:34" x14ac:dyDescent="0.3">
      <c r="A470" t="str">
        <f t="array" ref="A470:J470">[1]!'3019.TW-ID,Name,MarketValue,Capital,NetIncomeGrowthRate,OperIncomeGrowthRate,FinancialStatementsTime,TFXRatio,MonthlyNetSalesYoY,RevenueMonth'</f>
        <v>3019</v>
      </c>
      <c r="B470" t="str">
        <v>亞光</v>
      </c>
      <c r="C470" t="str">
        <v>175.4</v>
      </c>
      <c r="D470" t="str">
        <v>28.11</v>
      </c>
      <c r="E470" t="str">
        <v>-16.08</v>
      </c>
      <c r="F470" t="str">
        <v>-34.73</v>
      </c>
      <c r="G470" t="str">
        <v>2022/09</v>
      </c>
      <c r="H470" t="str">
        <v>9.80</v>
      </c>
      <c r="I470" t="str">
        <v>-20.33</v>
      </c>
      <c r="J470" t="str">
        <v>2022/11</v>
      </c>
      <c r="K470" t="str">
        <f t="array" ref="K470:T470">[1]!'3019.TW-OperatingProfitRatio,Price,PriceChangeRatio,InOutRatioNumber,Value,YearReturn,MonthReturn,WeekReturn,FinanceBalanceDif,ChipsField2'</f>
        <v>6.73</v>
      </c>
      <c r="L470">
        <v>62.4</v>
      </c>
      <c r="M470">
        <v>0.65</v>
      </c>
      <c r="N470" t="str">
        <v>56.68%</v>
      </c>
      <c r="O470" t="str">
        <v>1983萬</v>
      </c>
      <c r="P470" t="str">
        <v>-28.69</v>
      </c>
      <c r="Q470" t="str">
        <v>-2.80</v>
      </c>
      <c r="R470" t="str">
        <v>-2.19</v>
      </c>
      <c r="S470">
        <v>8</v>
      </c>
      <c r="T470">
        <v>0</v>
      </c>
      <c r="U470">
        <f t="array" ref="U470:AD470">[1]!'3019.TW-ChipsField3,ChipsField1,ChipsField25,CashAndStockDividend,CashDividendYieldRate,ProfitFourSeason,ProfitSingle,CName,ExchangeIndustry,CompanyPos'</f>
        <v>48</v>
      </c>
      <c r="V470">
        <v>-33</v>
      </c>
      <c r="W470" t="str">
        <v>2022/07/07</v>
      </c>
      <c r="X470" t="str">
        <v>3.70</v>
      </c>
      <c r="Y470">
        <v>5.93</v>
      </c>
      <c r="Z470" t="str">
        <v>4.48</v>
      </c>
      <c r="AA470" t="str">
        <v>1.62</v>
      </c>
      <c r="AB470" t="str">
        <v>亞光</v>
      </c>
      <c r="AC470" t="str">
        <v>上市光電</v>
      </c>
      <c r="AD470" t="str">
        <v>台灣光學鏡頭大廠，專注於玻璃鏡片與非球面模造玻璃</v>
      </c>
      <c r="AE470" t="str">
        <f t="array" ref="AE470:AH470">[1]!'3019.TW-CName,InvestorConferenceDate,DateofMeetingofShareHolders,TradingDate'</f>
        <v>亞光</v>
      </c>
      <c r="AF470" t="str">
        <v>2022/02/15</v>
      </c>
      <c r="AG470" t="str">
        <v>2022/06/14</v>
      </c>
      <c r="AH470" t="str">
        <v>2022/12/22</v>
      </c>
    </row>
    <row r="471" spans="1:34" x14ac:dyDescent="0.3">
      <c r="A471" t="str">
        <f t="array" ref="A471:J471">[1]!'3024.TW-ID,Name,MarketValue,Capital,NetIncomeGrowthRate,OperIncomeGrowthRate,FinancialStatementsTime,TFXRatio,MonthlyNetSalesYoY,RevenueMonth'</f>
        <v>3024</v>
      </c>
      <c r="B471" t="str">
        <v>憶聲</v>
      </c>
      <c r="C471" t="str">
        <v>36.9</v>
      </c>
      <c r="D471" t="str">
        <v>27.72</v>
      </c>
      <c r="E471" t="str">
        <v>-63.02</v>
      </c>
      <c r="F471" t="str">
        <v>909.70</v>
      </c>
      <c r="G471" t="str">
        <v>2022/09</v>
      </c>
      <c r="H471" t="str">
        <v>-30.63</v>
      </c>
      <c r="I471" t="str">
        <v>-0.09</v>
      </c>
      <c r="J471" t="str">
        <v>2022/11</v>
      </c>
      <c r="K471" t="str">
        <f t="array" ref="K471:T471">[1]!'3024.TW-OperatingProfitRatio,Price,PriceChangeRatio,InOutRatioNumber,Value,YearReturn,MonthReturn,WeekReturn,FinanceBalanceDif,ChipsField2'</f>
        <v>2.84</v>
      </c>
      <c r="L471">
        <v>13.3</v>
      </c>
      <c r="M471">
        <v>0</v>
      </c>
      <c r="N471" t="str">
        <v>19.59%</v>
      </c>
      <c r="O471" t="str">
        <v>368萬</v>
      </c>
      <c r="P471" t="str">
        <v>-0.41</v>
      </c>
      <c r="Q471" t="str">
        <v>-0.37</v>
      </c>
      <c r="R471" t="str">
        <v>-1.48</v>
      </c>
      <c r="S471">
        <v>1</v>
      </c>
      <c r="T471">
        <v>0</v>
      </c>
      <c r="U471">
        <f t="array" ref="U471:AD471">[1]!'3024.TW-ChipsField3,ChipsField1,ChipsField25,CashAndStockDividend,CashDividendYieldRate,ProfitFourSeason,ProfitSingle,CName,ExchangeIndustry,CompanyPos'</f>
        <v>0</v>
      </c>
      <c r="V471">
        <v>70</v>
      </c>
      <c r="W471" t="str">
        <v>2022/07/14</v>
      </c>
      <c r="X471" t="str">
        <v>0.30</v>
      </c>
      <c r="Y471">
        <v>2.2599999999999998</v>
      </c>
      <c r="Z471" t="str">
        <v>0.28</v>
      </c>
      <c r="AA471" t="str">
        <v>0.10</v>
      </c>
      <c r="AB471" t="str">
        <v>憶聲</v>
      </c>
      <c r="AC471" t="str">
        <v>上市光電</v>
      </c>
      <c r="AD471" t="str">
        <v>經營歌林品牌家電</v>
      </c>
      <c r="AE471" t="str">
        <f t="array" ref="AE471:AH471">[1]!'3024.TW-CName,InvestorConferenceDate,DateofMeetingofShareHolders,TradingDate'</f>
        <v>憶聲</v>
      </c>
      <c r="AF471" t="str">
        <v>2022/12/08</v>
      </c>
      <c r="AG471" t="str">
        <v>2022/06/24</v>
      </c>
      <c r="AH471" t="str">
        <v>2022/12/22</v>
      </c>
    </row>
    <row r="472" spans="1:34" x14ac:dyDescent="0.3">
      <c r="A472" t="str">
        <f t="array" ref="A472:J472">[1]!'3031.TW-ID,Name,MarketValue,Capital,NetIncomeGrowthRate,OperIncomeGrowthRate,FinancialStatementsTime,TFXRatio,MonthlyNetSalesYoY,RevenueMonth'</f>
        <v>3031</v>
      </c>
      <c r="B472" t="str">
        <v>佰鴻</v>
      </c>
      <c r="C472" t="str">
        <v>26.5</v>
      </c>
      <c r="D472" t="str">
        <v>17.32</v>
      </c>
      <c r="E472" t="str">
        <v>-34.69</v>
      </c>
      <c r="F472" t="str">
        <v>-26.80</v>
      </c>
      <c r="G472" t="str">
        <v>2022/09</v>
      </c>
      <c r="H472" t="str">
        <v>9.35</v>
      </c>
      <c r="I472" t="str">
        <v>-10.20</v>
      </c>
      <c r="J472" t="str">
        <v>2022/11</v>
      </c>
      <c r="K472" t="str">
        <f t="array" ref="K472:T472">[1]!'3031.TW-OperatingProfitRatio,Price,PriceChangeRatio,InOutRatioNumber,Value,YearReturn,MonthReturn,WeekReturn,FinanceBalanceDif,ChipsField2'</f>
        <v>8.11</v>
      </c>
      <c r="L472">
        <v>15.3</v>
      </c>
      <c r="M472">
        <v>0.99</v>
      </c>
      <c r="N472" t="str">
        <v>35.29%</v>
      </c>
      <c r="O472" t="str">
        <v>132萬</v>
      </c>
      <c r="P472" t="str">
        <v>-34.46</v>
      </c>
      <c r="Q472" t="str">
        <v>+2.00</v>
      </c>
      <c r="R472" t="str">
        <v>-4.97</v>
      </c>
      <c r="S472">
        <v>-41</v>
      </c>
      <c r="T472">
        <v>0</v>
      </c>
      <c r="U472">
        <f t="array" ref="U472:AD472">[1]!'3031.TW-ChipsField3,ChipsField1,ChipsField25,CashAndStockDividend,CashDividendYieldRate,ProfitFourSeason,ProfitSingle,CName,ExchangeIndustry,CompanyPos'</f>
        <v>-9</v>
      </c>
      <c r="V472">
        <v>-2</v>
      </c>
      <c r="W472" t="str">
        <v>2022/06/24</v>
      </c>
      <c r="X472" t="str">
        <v>1.00</v>
      </c>
      <c r="Y472">
        <v>6.54</v>
      </c>
      <c r="Z472" t="str">
        <v>1.06</v>
      </c>
      <c r="AA472" t="str">
        <v>0.20</v>
      </c>
      <c r="AB472" t="str">
        <v>佰鴻</v>
      </c>
      <c r="AC472" t="str">
        <v>上市光電</v>
      </c>
      <c r="AD472" t="str">
        <v>台灣LED封裝暨紅外線傳輸模組廠商</v>
      </c>
      <c r="AE472" t="str">
        <f t="array" ref="AE472:AH472">[1]!'3031.TW-CName,InvestorConferenceDate,DateofMeetingofShareHolders,TradingDate'</f>
        <v>佰鴻</v>
      </c>
      <c r="AF472" t="str">
        <v>2022/10/28</v>
      </c>
      <c r="AG472" t="str">
        <v>2022/06/06</v>
      </c>
      <c r="AH472" t="str">
        <v>2022/12/22</v>
      </c>
    </row>
    <row r="473" spans="1:34" x14ac:dyDescent="0.3">
      <c r="A473" t="str">
        <f t="array" ref="A473:J473">[1]!'3038.TW-ID,Name,MarketValue,Capital,NetIncomeGrowthRate,OperIncomeGrowthRate,FinancialStatementsTime,TFXRatio,MonthlyNetSalesYoY,RevenueMonth'</f>
        <v>3038</v>
      </c>
      <c r="B473" t="str">
        <v>全台</v>
      </c>
      <c r="C473" t="str">
        <v>32.4</v>
      </c>
      <c r="D473" t="str">
        <v>15.74</v>
      </c>
      <c r="E473" t="str">
        <v>90.64</v>
      </c>
      <c r="F473" t="str">
        <v>33.62</v>
      </c>
      <c r="G473" t="str">
        <v>2022/09</v>
      </c>
      <c r="H473" t="str">
        <v>-0.56</v>
      </c>
      <c r="I473" t="str">
        <v>8.60</v>
      </c>
      <c r="J473" t="str">
        <v>2022/11</v>
      </c>
      <c r="K473" t="str">
        <f t="array" ref="K473:T473">[1]!'3038.TW-OperatingProfitRatio,Price,PriceChangeRatio,InOutRatioNumber,Value,YearReturn,MonthReturn,WeekReturn,FinanceBalanceDif,ChipsField2'</f>
        <v>7.53</v>
      </c>
      <c r="L473">
        <v>20.6</v>
      </c>
      <c r="M473">
        <v>0</v>
      </c>
      <c r="N473" t="str">
        <v>35.24%</v>
      </c>
      <c r="O473" t="str">
        <v>1232萬</v>
      </c>
      <c r="P473" t="str">
        <v>+15.13</v>
      </c>
      <c r="Q473" t="str">
        <v>-0.96</v>
      </c>
      <c r="R473" t="str">
        <v>-3.96</v>
      </c>
      <c r="S473">
        <v>55</v>
      </c>
      <c r="T473">
        <v>0</v>
      </c>
      <c r="U473">
        <f t="array" ref="U473:AD473">[1]!'3038.TW-ChipsField3,ChipsField1,ChipsField25,CashAndStockDividend,CashDividendYieldRate,ProfitFourSeason,ProfitSingle,CName,ExchangeIndustry,CompanyPos'</f>
        <v>-10</v>
      </c>
      <c r="V473">
        <v>-106</v>
      </c>
      <c r="W473" t="str">
        <v>2022/07/13</v>
      </c>
      <c r="X473" t="str">
        <v>1.20</v>
      </c>
      <c r="Y473">
        <v>5.83</v>
      </c>
      <c r="Z473" t="str">
        <v>2.70</v>
      </c>
      <c r="AA473" t="str">
        <v>1.02</v>
      </c>
      <c r="AB473" t="str">
        <v>全台</v>
      </c>
      <c r="AC473" t="str">
        <v>上市光電</v>
      </c>
      <c r="AD473" t="str">
        <v>台灣中小尺寸面板模組廠</v>
      </c>
      <c r="AE473" t="str">
        <f t="array" ref="AE473:AH473">[1]!'3038.TW-CName,InvestorConferenceDate,DateofMeetingofShareHolders,TradingDate'</f>
        <v>全台</v>
      </c>
      <c r="AF473" t="str">
        <v>2022/12/16</v>
      </c>
      <c r="AG473" t="str">
        <v>2022/06/17</v>
      </c>
      <c r="AH473" t="str">
        <v>2022/12/22</v>
      </c>
    </row>
    <row r="474" spans="1:34" x14ac:dyDescent="0.3">
      <c r="A474" t="str">
        <f t="array" ref="A474:J474">[1]!'3049.TW-ID,Name,MarketValue,Capital,NetIncomeGrowthRate,OperIncomeGrowthRate,FinancialStatementsTime,TFXRatio,MonthlyNetSalesYoY,RevenueMonth'</f>
        <v>3049</v>
      </c>
      <c r="B474" t="str">
        <v>和鑫</v>
      </c>
      <c r="C474" t="str">
        <v>74.5</v>
      </c>
      <c r="D474" t="str">
        <v>80.69</v>
      </c>
      <c r="E474" t="str">
        <v>-87.96</v>
      </c>
      <c r="F474" t="str">
        <v>-101.36</v>
      </c>
      <c r="G474" t="str">
        <v>2022/09</v>
      </c>
      <c r="H474" t="str">
        <v>25.73</v>
      </c>
      <c r="I474" t="str">
        <v>-37.17</v>
      </c>
      <c r="J474" t="str">
        <v>2022/11</v>
      </c>
      <c r="K474" t="str">
        <f t="array" ref="K474:T474">[1]!'3049.TW-OperatingProfitRatio,Price,PriceChangeRatio,InOutRatioNumber,Value,YearReturn,MonthReturn,WeekReturn,FinanceBalanceDif,ChipsField2'</f>
        <v>-0.56</v>
      </c>
      <c r="L474">
        <v>9.23</v>
      </c>
      <c r="M474">
        <v>1.1000000000000001</v>
      </c>
      <c r="N474" t="str">
        <v>56.76%</v>
      </c>
      <c r="O474" t="str">
        <v>979萬</v>
      </c>
      <c r="P474" t="str">
        <v>-36.97</v>
      </c>
      <c r="Q474" t="str">
        <v>-0.75</v>
      </c>
      <c r="R474" t="str">
        <v>-2.43</v>
      </c>
      <c r="S474">
        <v>12</v>
      </c>
      <c r="T474">
        <v>0</v>
      </c>
      <c r="U474">
        <f t="array" ref="U474:AD474">[1]!'3049.TW-ChipsField3,ChipsField1,ChipsField25,CashAndStockDividend,CashDividendYieldRate,ProfitFourSeason,ProfitSingle,CName,ExchangeIndustry,CompanyPos'</f>
        <v>-22</v>
      </c>
      <c r="V474">
        <v>-392</v>
      </c>
      <c r="W474" t="str">
        <v>2022/07/07</v>
      </c>
      <c r="X474" t="str">
        <v>0.35</v>
      </c>
      <c r="Y474">
        <v>3.79</v>
      </c>
      <c r="Z474" t="str">
        <v>0.37</v>
      </c>
      <c r="AA474" t="str">
        <v>-0.10</v>
      </c>
      <c r="AB474" t="str">
        <v>和鑫</v>
      </c>
      <c r="AC474" t="str">
        <v>上市光電</v>
      </c>
      <c r="AD474" t="str">
        <v>彩晶轉投資，為觸控感測器製造商</v>
      </c>
      <c r="AE474" t="str">
        <f t="array" ref="AE474:AH474">[1]!'3049.TW-CName,InvestorConferenceDate,DateofMeetingofShareHolders,TradingDate'</f>
        <v>和鑫</v>
      </c>
      <c r="AF474" t="str">
        <v>2021/11/16</v>
      </c>
      <c r="AG474" t="str">
        <v>2022/05/24</v>
      </c>
      <c r="AH474" t="str">
        <v>2022/12/22</v>
      </c>
    </row>
    <row r="475" spans="1:34" x14ac:dyDescent="0.3">
      <c r="A475" t="str">
        <f t="array" ref="A475:J475">[1]!'3050.TW-ID,Name,MarketValue,Capital,NetIncomeGrowthRate,OperIncomeGrowthRate,FinancialStatementsTime,TFXRatio,MonthlyNetSalesYoY,RevenueMonth'</f>
        <v>3050</v>
      </c>
      <c r="B475" t="str">
        <v>鈺德</v>
      </c>
      <c r="C475" t="str">
        <v>25.1</v>
      </c>
      <c r="D475" t="str">
        <v>14.60</v>
      </c>
      <c r="E475" t="str">
        <v>-53.26</v>
      </c>
      <c r="F475" t="str">
        <v>-21.90</v>
      </c>
      <c r="G475" t="str">
        <v>2022/09</v>
      </c>
      <c r="H475" t="str">
        <v>-4.81</v>
      </c>
      <c r="I475" t="str">
        <v>13.32</v>
      </c>
      <c r="J475" t="str">
        <v>2022/11</v>
      </c>
      <c r="K475" t="str">
        <f t="array" ref="K475:T475">[1]!'3050.TW-OperatingProfitRatio,Price,PriceChangeRatio,InOutRatioNumber,Value,YearReturn,MonthReturn,WeekReturn,FinanceBalanceDif,ChipsField2'</f>
        <v>9.75</v>
      </c>
      <c r="L475">
        <v>17.2</v>
      </c>
      <c r="M475">
        <v>0.28999999999999998</v>
      </c>
      <c r="N475" t="str">
        <v>36.75%</v>
      </c>
      <c r="O475" t="str">
        <v>2440萬</v>
      </c>
      <c r="P475" t="str">
        <v>-1.22</v>
      </c>
      <c r="Q475" t="str">
        <v>+6.83</v>
      </c>
      <c r="R475" t="str">
        <v>-0.29</v>
      </c>
      <c r="S475">
        <v>5</v>
      </c>
      <c r="T475">
        <v>0</v>
      </c>
      <c r="U475">
        <f t="array" ref="U475:AD475">[1]!'3050.TW-ChipsField3,ChipsField1,ChipsField25,CashAndStockDividend,CashDividendYieldRate,ProfitFourSeason,ProfitSingle,CName,ExchangeIndustry,CompanyPos'</f>
        <v>-7</v>
      </c>
      <c r="V475">
        <v>97</v>
      </c>
      <c r="W475" t="str">
        <v>2022/07/11</v>
      </c>
      <c r="X475" t="str">
        <v>0.60</v>
      </c>
      <c r="Y475">
        <v>3.49</v>
      </c>
      <c r="Z475" t="str">
        <v>0.46</v>
      </c>
      <c r="AA475" t="str">
        <v>0.32</v>
      </c>
      <c r="AB475" t="str">
        <v>鈺德</v>
      </c>
      <c r="AC475" t="str">
        <v>上市光電</v>
      </c>
      <c r="AD475" t="str">
        <v>錸德集團旗下台灣第一大預錄碟片大廠</v>
      </c>
      <c r="AE475" t="str">
        <f t="array" ref="AE475:AH475">[1]!'3050.TW-CName,InvestorConferenceDate,DateofMeetingofShareHolders,TradingDate'</f>
        <v>鈺德</v>
      </c>
      <c r="AF475" t="str">
        <v>2022/12/06</v>
      </c>
      <c r="AG475" t="str">
        <v>2022/06/15</v>
      </c>
      <c r="AH475" t="str">
        <v>2022/12/22</v>
      </c>
    </row>
    <row r="476" spans="1:34" x14ac:dyDescent="0.3">
      <c r="A476" t="str">
        <f t="array" ref="A476:J476">[1]!'3051.TW-ID,Name,MarketValue,Capital,NetIncomeGrowthRate,OperIncomeGrowthRate,FinancialStatementsTime,TFXRatio,MonthlyNetSalesYoY,RevenueMonth'</f>
        <v>3051</v>
      </c>
      <c r="B476" t="str">
        <v>力特</v>
      </c>
      <c r="C476" t="str">
        <v>30.3</v>
      </c>
      <c r="D476" t="str">
        <v>17.00</v>
      </c>
      <c r="E476" t="str">
        <v>-43.62</v>
      </c>
      <c r="F476" t="str">
        <v>9.91</v>
      </c>
      <c r="G476" t="str">
        <v>2022/09</v>
      </c>
      <c r="H476" t="str">
        <v>-13.29</v>
      </c>
      <c r="I476" t="str">
        <v>-18.77</v>
      </c>
      <c r="J476" t="str">
        <v>2022/11</v>
      </c>
      <c r="K476" t="str">
        <f t="array" ref="K476:T476">[1]!'3051.TW-OperatingProfitRatio,Price,PriceChangeRatio,InOutRatioNumber,Value,YearReturn,MonthReturn,WeekReturn,FinanceBalanceDif,ChipsField2'</f>
        <v>13.05</v>
      </c>
      <c r="L476">
        <v>17.8</v>
      </c>
      <c r="M476">
        <v>2.2999999999999998</v>
      </c>
      <c r="N476" t="str">
        <v>42.20%</v>
      </c>
      <c r="O476" t="str">
        <v>1251萬</v>
      </c>
      <c r="P476" t="str">
        <v>-48.57</v>
      </c>
      <c r="Q476" t="str">
        <v>-9.87</v>
      </c>
      <c r="R476" t="str">
        <v>-6.32</v>
      </c>
      <c r="S476">
        <v>19</v>
      </c>
      <c r="T476">
        <v>0</v>
      </c>
      <c r="U476">
        <f t="array" ref="U476:AD476">[1]!'3051.TW-ChipsField3,ChipsField1,ChipsField25,CashAndStockDividend,CashDividendYieldRate,ProfitFourSeason,ProfitSingle,CName,ExchangeIndustry,CompanyPos'</f>
        <v>-1</v>
      </c>
      <c r="V476">
        <v>-2</v>
      </c>
      <c r="W476" t="str">
        <v>--</v>
      </c>
      <c r="X476" t="str">
        <v>0.00</v>
      </c>
      <c r="Y476">
        <v>0</v>
      </c>
      <c r="Z476" t="str">
        <v>2.74</v>
      </c>
      <c r="AA476" t="str">
        <v>0.90</v>
      </c>
      <c r="AB476" t="str">
        <v>力特</v>
      </c>
      <c r="AC476" t="str">
        <v>上市光電</v>
      </c>
      <c r="AD476" t="str">
        <v>全球前十大偏光板供應商之一</v>
      </c>
      <c r="AE476" t="str">
        <f t="array" ref="AE476:AH476">[1]!'3051.TW-CName,InvestorConferenceDate,DateofMeetingofShareHolders,TradingDate'</f>
        <v>力特</v>
      </c>
      <c r="AF476" t="str">
        <v>2022/12/22</v>
      </c>
      <c r="AG476" t="str">
        <v>2022/06/23</v>
      </c>
      <c r="AH476" t="str">
        <v>2022/12/22</v>
      </c>
    </row>
    <row r="477" spans="1:34" x14ac:dyDescent="0.3">
      <c r="A477" t="str">
        <f t="array" ref="A477:J477">[1]!'3059.TW-ID,Name,MarketValue,Capital,NetIncomeGrowthRate,OperIncomeGrowthRate,FinancialStatementsTime,TFXRatio,MonthlyNetSalesYoY,RevenueMonth'</f>
        <v>3059</v>
      </c>
      <c r="B477" t="str">
        <v>華晶科</v>
      </c>
      <c r="C477" t="str">
        <v>93.6</v>
      </c>
      <c r="D477" t="str">
        <v>27.88</v>
      </c>
      <c r="E477" t="str">
        <v>34.99</v>
      </c>
      <c r="F477" t="str">
        <v>31.31</v>
      </c>
      <c r="G477" t="str">
        <v>2022/09</v>
      </c>
      <c r="H477" t="str">
        <v>-9.59</v>
      </c>
      <c r="I477" t="str">
        <v>60.09</v>
      </c>
      <c r="J477" t="str">
        <v>2022/11</v>
      </c>
      <c r="K477" t="str">
        <f t="array" ref="K477:T477">[1]!'3059.TW-OperatingProfitRatio,Price,PriceChangeRatio,InOutRatioNumber,Value,YearReturn,MonthReturn,WeekReturn,FinanceBalanceDif,ChipsField2'</f>
        <v>2.74</v>
      </c>
      <c r="L477">
        <v>33.549999999999997</v>
      </c>
      <c r="M477">
        <v>1.05</v>
      </c>
      <c r="N477" t="str">
        <v>45.51%</v>
      </c>
      <c r="O477" t="str">
        <v>3264萬</v>
      </c>
      <c r="P477" t="str">
        <v>-27.17</v>
      </c>
      <c r="Q477" t="str">
        <v>-8.21</v>
      </c>
      <c r="R477" t="str">
        <v>-7.45</v>
      </c>
      <c r="S477">
        <v>-33</v>
      </c>
      <c r="T477">
        <v>0</v>
      </c>
      <c r="U477">
        <f t="array" ref="U477:AD477">[1]!'3059.TW-ChipsField3,ChipsField1,ChipsField25,CashAndStockDividend,CashDividendYieldRate,ProfitFourSeason,ProfitSingle,CName,ExchangeIndustry,CompanyPos'</f>
        <v>-121</v>
      </c>
      <c r="V477">
        <v>44</v>
      </c>
      <c r="W477" t="str">
        <v>2022/09/21</v>
      </c>
      <c r="X477" t="str">
        <v>0.69</v>
      </c>
      <c r="Y477">
        <v>2.06</v>
      </c>
      <c r="Z477" t="str">
        <v>1.41</v>
      </c>
      <c r="AA477" t="str">
        <v>0.46</v>
      </c>
      <c r="AB477" t="str">
        <v>華晶科</v>
      </c>
      <c r="AC477" t="str">
        <v>上市光電</v>
      </c>
      <c r="AD477" t="str">
        <v>轉型以車用鏡頭、影像晶片與醫療產品為主軸</v>
      </c>
      <c r="AE477" t="str">
        <f t="array" ref="AE477:AH477">[1]!'3059.TW-CName,InvestorConferenceDate,DateofMeetingofShareHolders,TradingDate'</f>
        <v>華晶科</v>
      </c>
      <c r="AF477" t="str">
        <v>--</v>
      </c>
      <c r="AG477" t="str">
        <v>2022/06/17</v>
      </c>
      <c r="AH477" t="str">
        <v>2022/12/22</v>
      </c>
    </row>
    <row r="478" spans="1:34" x14ac:dyDescent="0.3">
      <c r="A478" t="str">
        <f t="array" ref="A478:J478">[1]!'3149.TW-ID,Name,MarketValue,Capital,NetIncomeGrowthRate,OperIncomeGrowthRate,FinancialStatementsTime,TFXRatio,MonthlyNetSalesYoY,RevenueMonth'</f>
        <v>3149</v>
      </c>
      <c r="B478" t="str">
        <v>正達</v>
      </c>
      <c r="C478" t="str">
        <v>43.0</v>
      </c>
      <c r="D478" t="str">
        <v>22.40</v>
      </c>
      <c r="E478" t="str">
        <v>-860.51</v>
      </c>
      <c r="F478" t="str">
        <v>-184.69</v>
      </c>
      <c r="G478" t="str">
        <v>2022/09</v>
      </c>
      <c r="H478" t="str">
        <v>4.42</v>
      </c>
      <c r="I478" t="str">
        <v>-1.87</v>
      </c>
      <c r="J478" t="str">
        <v>2022/11</v>
      </c>
      <c r="K478" t="str">
        <f t="array" ref="K478:T478">[1]!'3149.TW-OperatingProfitRatio,Price,PriceChangeRatio,InOutRatioNumber,Value,YearReturn,MonthReturn,WeekReturn,FinanceBalanceDif,ChipsField2'</f>
        <v>-17.35</v>
      </c>
      <c r="L478">
        <v>19.25</v>
      </c>
      <c r="M478">
        <v>1.05</v>
      </c>
      <c r="N478" t="str">
        <v>48.05%</v>
      </c>
      <c r="O478" t="str">
        <v>844萬</v>
      </c>
      <c r="P478" t="str">
        <v>-38.20</v>
      </c>
      <c r="Q478" t="str">
        <v>-6.55</v>
      </c>
      <c r="R478" t="str">
        <v>-4.94</v>
      </c>
      <c r="S478">
        <v>0</v>
      </c>
      <c r="T478">
        <v>0</v>
      </c>
      <c r="U478">
        <f t="array" ref="U478:AD478">[1]!'3149.TW-ChipsField3,ChipsField1,ChipsField25,CashAndStockDividend,CashDividendYieldRate,ProfitFourSeason,ProfitSingle,CName,ExchangeIndustry,CompanyPos'</f>
        <v>0</v>
      </c>
      <c r="V478">
        <v>-124</v>
      </c>
      <c r="W478" t="str">
        <v>--</v>
      </c>
      <c r="X478" t="str">
        <v>0.00</v>
      </c>
      <c r="Y478">
        <v>0</v>
      </c>
      <c r="Z478" t="str">
        <v>-1.41</v>
      </c>
      <c r="AA478" t="str">
        <v>-0.26</v>
      </c>
      <c r="AB478" t="str">
        <v>正達</v>
      </c>
      <c r="AC478" t="str">
        <v>上市光電</v>
      </c>
      <c r="AD478" t="str">
        <v>鴻海集團旗下之玻璃加工龍頭廠商</v>
      </c>
      <c r="AE478" t="str">
        <f t="array" ref="AE478:AH478">[1]!'3149.TW-CName,InvestorConferenceDate,DateofMeetingofShareHolders,TradingDate'</f>
        <v>正達</v>
      </c>
      <c r="AF478" t="str">
        <v>2021/03/29</v>
      </c>
      <c r="AG478" t="str">
        <v>2022/06/24</v>
      </c>
      <c r="AH478" t="str">
        <v>2022/12/22</v>
      </c>
    </row>
    <row r="479" spans="1:34" x14ac:dyDescent="0.3">
      <c r="A479" t="str">
        <f t="array" ref="A479:J479">[1]!'3356.TW-ID,Name,MarketValue,Capital,NetIncomeGrowthRate,OperIncomeGrowthRate,FinancialStatementsTime,TFXRatio,MonthlyNetSalesYoY,RevenueMonth'</f>
        <v>3356</v>
      </c>
      <c r="B479" t="str">
        <v>奇偶</v>
      </c>
      <c r="C479" t="str">
        <v>37.7</v>
      </c>
      <c r="D479" t="str">
        <v>8.98</v>
      </c>
      <c r="E479" t="str">
        <v>-31.49</v>
      </c>
      <c r="F479" t="str">
        <v>-1.26</v>
      </c>
      <c r="G479" t="str">
        <v>2022/09</v>
      </c>
      <c r="H479" t="str">
        <v>-5.94</v>
      </c>
      <c r="I479" t="str">
        <v>6.76</v>
      </c>
      <c r="J479" t="str">
        <v>2022/11</v>
      </c>
      <c r="K479" t="str">
        <f t="array" ref="K479:T479">[1]!'3356.TW-OperatingProfitRatio,Price,PriceChangeRatio,InOutRatioNumber,Value,YearReturn,MonthReturn,WeekReturn,FinanceBalanceDif,ChipsField2'</f>
        <v>11.53</v>
      </c>
      <c r="L479">
        <v>42</v>
      </c>
      <c r="M479">
        <v>1.57</v>
      </c>
      <c r="N479" t="str">
        <v>37.46%</v>
      </c>
      <c r="O479" t="str">
        <v>8206萬</v>
      </c>
      <c r="P479" t="str">
        <v>+38.94</v>
      </c>
      <c r="Q479" t="str">
        <v>-5.19</v>
      </c>
      <c r="R479" t="str">
        <v>-4.55</v>
      </c>
      <c r="S479">
        <v>-125</v>
      </c>
      <c r="T479">
        <v>0</v>
      </c>
      <c r="U479">
        <f t="array" ref="U479:AD479">[1]!'3356.TW-ChipsField3,ChipsField1,ChipsField25,CashAndStockDividend,CashDividendYieldRate,ProfitFourSeason,ProfitSingle,CName,ExchangeIndustry,CompanyPos'</f>
        <v>0</v>
      </c>
      <c r="V479">
        <v>420</v>
      </c>
      <c r="W479" t="str">
        <v>2022/10/04</v>
      </c>
      <c r="X479" t="str">
        <v>1.20</v>
      </c>
      <c r="Y479">
        <v>2.86</v>
      </c>
      <c r="Z479" t="str">
        <v>1.52</v>
      </c>
      <c r="AA479" t="str">
        <v>0.48</v>
      </c>
      <c r="AB479" t="str">
        <v>奇偶</v>
      </c>
      <c r="AC479" t="str">
        <v>上市光電</v>
      </c>
      <c r="AD479" t="str">
        <v>台灣專業安控廠，擁有自有品牌GeoVision</v>
      </c>
      <c r="AE479" t="str">
        <f t="array" ref="AE479:AH479">[1]!'3356.TW-CName,InvestorConferenceDate,DateofMeetingofShareHolders,TradingDate'</f>
        <v>奇偶</v>
      </c>
      <c r="AF479" t="str">
        <v>2021/11/10</v>
      </c>
      <c r="AG479" t="str">
        <v>2022/05/26</v>
      </c>
      <c r="AH479" t="str">
        <v>2022/12/22</v>
      </c>
    </row>
    <row r="480" spans="1:34" x14ac:dyDescent="0.3">
      <c r="A480" t="str">
        <f t="array" ref="A480:J480">[1]!'3406.TW-ID,Name,MarketValue,Capital,NetIncomeGrowthRate,OperIncomeGrowthRate,FinancialStatementsTime,TFXRatio,MonthlyNetSalesYoY,RevenueMonth'</f>
        <v>3406</v>
      </c>
      <c r="B480" t="str">
        <v>玉晶光</v>
      </c>
      <c r="C480" t="str">
        <v>413.1</v>
      </c>
      <c r="D480" t="str">
        <v>11.27</v>
      </c>
      <c r="E480" t="str">
        <v>77.01</v>
      </c>
      <c r="F480" t="str">
        <v>42.27</v>
      </c>
      <c r="G480" t="str">
        <v>2022/09</v>
      </c>
      <c r="H480" t="str">
        <v>-14.48</v>
      </c>
      <c r="I480" t="str">
        <v>2.81</v>
      </c>
      <c r="J480" t="str">
        <v>2022/11</v>
      </c>
      <c r="K480" t="str">
        <f t="array" ref="K480:T480">[1]!'3406.TW-OperatingProfitRatio,Price,PriceChangeRatio,InOutRatioNumber,Value,YearReturn,MonthReturn,WeekReturn,FinanceBalanceDif,ChipsField2'</f>
        <v>19.05</v>
      </c>
      <c r="L480">
        <v>366.5</v>
      </c>
      <c r="M480">
        <v>0.14000000000000001</v>
      </c>
      <c r="N480" t="str">
        <v>56.47%</v>
      </c>
      <c r="O480" t="str">
        <v>3.75億</v>
      </c>
      <c r="P480" t="str">
        <v>-32.76</v>
      </c>
      <c r="Q480" t="str">
        <v>-5.54</v>
      </c>
      <c r="R480" t="str">
        <v>-4.43</v>
      </c>
      <c r="S480">
        <v>5</v>
      </c>
      <c r="T480">
        <v>-9</v>
      </c>
      <c r="U480">
        <f t="array" ref="U480:AD480">[1]!'3406.TW-ChipsField3,ChipsField1,ChipsField25,CashAndStockDividend,CashDividendYieldRate,ProfitFourSeason,ProfitSingle,CName,ExchangeIndustry,CompanyPos'</f>
        <v>192</v>
      </c>
      <c r="V480">
        <v>-575</v>
      </c>
      <c r="W480" t="str">
        <v>2022/07/27</v>
      </c>
      <c r="X480" t="str">
        <v>7.99</v>
      </c>
      <c r="Y480">
        <v>2.1800000000000002</v>
      </c>
      <c r="Z480" t="str">
        <v>29.82</v>
      </c>
      <c r="AA480" t="str">
        <v>15.34</v>
      </c>
      <c r="AB480" t="str">
        <v>玉晶光</v>
      </c>
      <c r="AC480" t="str">
        <v>上市光電</v>
      </c>
      <c r="AD480" t="str">
        <v>台灣光學鏡頭大廠，專注於手機鏡頭與AR/VR透鏡</v>
      </c>
      <c r="AE480" t="str">
        <f t="array" ref="AE480:AH480">[1]!'3406.TW-CName,InvestorConferenceDate,DateofMeetingofShareHolders,TradingDate'</f>
        <v>玉晶光</v>
      </c>
      <c r="AF480" t="str">
        <v>2022/11/22</v>
      </c>
      <c r="AG480" t="str">
        <v>2022/06/17</v>
      </c>
      <c r="AH480" t="str">
        <v>2022/12/22</v>
      </c>
    </row>
    <row r="481" spans="1:34" x14ac:dyDescent="0.3">
      <c r="A481" t="str">
        <f t="array" ref="A481:J481">[1]!'3437.TW-ID,Name,MarketValue,Capital,NetIncomeGrowthRate,OperIncomeGrowthRate,FinancialStatementsTime,TFXRatio,MonthlyNetSalesYoY,RevenueMonth'</f>
        <v>3437</v>
      </c>
      <c r="B481" t="str">
        <v>榮創</v>
      </c>
      <c r="C481" t="str">
        <v>25.4</v>
      </c>
      <c r="D481" t="str">
        <v>14.45</v>
      </c>
      <c r="E481" t="str">
        <v>-249.45</v>
      </c>
      <c r="F481" t="str">
        <v>-605.64</v>
      </c>
      <c r="G481" t="str">
        <v>2022/09</v>
      </c>
      <c r="H481" t="str">
        <v>39.12</v>
      </c>
      <c r="I481" t="str">
        <v>-50.04</v>
      </c>
      <c r="J481" t="str">
        <v>2022/11</v>
      </c>
      <c r="K481" t="str">
        <f t="array" ref="K481:T481">[1]!'3437.TW-OperatingProfitRatio,Price,PriceChangeRatio,InOutRatioNumber,Value,YearReturn,MonthReturn,WeekReturn,FinanceBalanceDif,ChipsField2'</f>
        <v>-7.09</v>
      </c>
      <c r="L481">
        <v>17.55</v>
      </c>
      <c r="M481">
        <v>2.0299999999999998</v>
      </c>
      <c r="N481" t="str">
        <v>45.00%</v>
      </c>
      <c r="O481" t="str">
        <v>139萬</v>
      </c>
      <c r="P481" t="str">
        <v>-28.55</v>
      </c>
      <c r="Q481" t="str">
        <v>+3.85</v>
      </c>
      <c r="R481" t="str">
        <v>-1.40</v>
      </c>
      <c r="S481">
        <v>-3</v>
      </c>
      <c r="T481">
        <v>0</v>
      </c>
      <c r="U481">
        <f t="array" ref="U481:AD481">[1]!'3437.TW-ChipsField3,ChipsField1,ChipsField25,CashAndStockDividend,CashDividendYieldRate,ProfitFourSeason,ProfitSingle,CName,ExchangeIndustry,CompanyPos'</f>
        <v>0</v>
      </c>
      <c r="V481">
        <v>-4</v>
      </c>
      <c r="W481" t="str">
        <v>2022/09/14</v>
      </c>
      <c r="X481" t="str">
        <v>0.45</v>
      </c>
      <c r="Y481">
        <v>2.56</v>
      </c>
      <c r="Z481" t="str">
        <v>-0.23</v>
      </c>
      <c r="AA481" t="str">
        <v>-0.66</v>
      </c>
      <c r="AB481" t="str">
        <v>榮創</v>
      </c>
      <c r="AC481" t="str">
        <v>上市光電</v>
      </c>
      <c r="AD481" t="str">
        <v>鴻海旗下LED封裝廠</v>
      </c>
      <c r="AE481" t="str">
        <f t="array" ref="AE481:AH481">[1]!'3437.TW-CName,InvestorConferenceDate,DateofMeetingofShareHolders,TradingDate'</f>
        <v>榮創</v>
      </c>
      <c r="AF481" t="str">
        <v>2022/11/23</v>
      </c>
      <c r="AG481" t="str">
        <v>2022/06/29</v>
      </c>
      <c r="AH481" t="str">
        <v>2022/12/22</v>
      </c>
    </row>
    <row r="482" spans="1:34" x14ac:dyDescent="0.3">
      <c r="A482" t="str">
        <f t="array" ref="A482:J482">[1]!'3454.TW-ID,Name,MarketValue,Capital,NetIncomeGrowthRate,OperIncomeGrowthRate,FinancialStatementsTime,TFXRatio,MonthlyNetSalesYoY,RevenueMonth'</f>
        <v>3454</v>
      </c>
      <c r="B482" t="str">
        <v>晶睿</v>
      </c>
      <c r="C482" t="str">
        <v>177.5</v>
      </c>
      <c r="D482" t="str">
        <v>8.66</v>
      </c>
      <c r="E482" t="str">
        <v>274.58</v>
      </c>
      <c r="F482" t="str">
        <v>794.26</v>
      </c>
      <c r="G482" t="str">
        <v>2022/09</v>
      </c>
      <c r="H482" t="str">
        <v>2.14</v>
      </c>
      <c r="I482" t="str">
        <v>158.41</v>
      </c>
      <c r="J482" t="str">
        <v>2022/11</v>
      </c>
      <c r="K482" t="str">
        <f t="array" ref="K482:T482">[1]!'3454.TW-OperatingProfitRatio,Price,PriceChangeRatio,InOutRatioNumber,Value,YearReturn,MonthReturn,WeekReturn,FinanceBalanceDif,ChipsField2'</f>
        <v>7.62</v>
      </c>
      <c r="L482">
        <v>205</v>
      </c>
      <c r="M482">
        <v>1.99</v>
      </c>
      <c r="N482" t="str">
        <v>47.15%</v>
      </c>
      <c r="O482" t="str">
        <v>18.9億</v>
      </c>
      <c r="P482" t="str">
        <v>+188.53</v>
      </c>
      <c r="Q482" t="str">
        <v>+16.81</v>
      </c>
      <c r="R482" t="str">
        <v>-6.18</v>
      </c>
      <c r="S482">
        <v>-379</v>
      </c>
      <c r="T482">
        <v>-265</v>
      </c>
      <c r="U482">
        <f t="array" ref="U482:AD482">[1]!'3454.TW-ChipsField3,ChipsField1,ChipsField25,CashAndStockDividend,CashDividendYieldRate,ProfitFourSeason,ProfitSingle,CName,ExchangeIndustry,CompanyPos'</f>
        <v>18</v>
      </c>
      <c r="V482">
        <v>1271</v>
      </c>
      <c r="W482" t="str">
        <v>2022/07/28</v>
      </c>
      <c r="X482" t="str">
        <v>1.40</v>
      </c>
      <c r="Y482">
        <v>0.68</v>
      </c>
      <c r="Z482" t="str">
        <v>6.13</v>
      </c>
      <c r="AA482" t="str">
        <v>2.56</v>
      </c>
      <c r="AB482" t="str">
        <v>晶睿</v>
      </c>
      <c r="AC482" t="str">
        <v>上市光電</v>
      </c>
      <c r="AD482" t="str">
        <v>全球IP Camera製造大廠</v>
      </c>
      <c r="AE482" t="str">
        <f t="array" ref="AE482:AH482">[1]!'3454.TW-CName,InvestorConferenceDate,DateofMeetingofShareHolders,TradingDate'</f>
        <v>晶睿</v>
      </c>
      <c r="AF482" t="str">
        <v>2022/11/01</v>
      </c>
      <c r="AG482" t="str">
        <v>2022/06/17</v>
      </c>
      <c r="AH482" t="str">
        <v>2022/12/22</v>
      </c>
    </row>
    <row r="483" spans="1:34" x14ac:dyDescent="0.3">
      <c r="A483" t="str">
        <f t="array" ref="A483:J483">[1]!'3481.TW-ID,Name,MarketValue,Capital,NetIncomeGrowthRate,OperIncomeGrowthRate,FinancialStatementsTime,TFXRatio,MonthlyNetSalesYoY,RevenueMonth'</f>
        <v>3481</v>
      </c>
      <c r="B483" t="str">
        <v>群創</v>
      </c>
      <c r="C483" t="str">
        <v>1060.8</v>
      </c>
      <c r="D483" t="str">
        <v>955.65</v>
      </c>
      <c r="E483" t="str">
        <v>-130.10</v>
      </c>
      <c r="F483" t="str">
        <v>-132.73</v>
      </c>
      <c r="G483" t="str">
        <v>2022/09</v>
      </c>
      <c r="H483" t="str">
        <v>3.61</v>
      </c>
      <c r="I483" t="str">
        <v>-39.15</v>
      </c>
      <c r="J483" t="str">
        <v>2022/11</v>
      </c>
      <c r="K483" t="str">
        <f t="array" ref="K483:T483">[1]!'3481.TW-OperatingProfitRatio,Price,PriceChangeRatio,InOutRatioNumber,Value,YearReturn,MonthReturn,WeekReturn,FinanceBalanceDif,ChipsField2'</f>
        <v>-10.74</v>
      </c>
      <c r="L483">
        <v>11.1</v>
      </c>
      <c r="M483">
        <v>3.74</v>
      </c>
      <c r="N483" t="str">
        <v>69.17%</v>
      </c>
      <c r="O483" t="str">
        <v>5.90億</v>
      </c>
      <c r="P483" t="str">
        <v>-37.02</v>
      </c>
      <c r="Q483" t="str">
        <v>-9.76</v>
      </c>
      <c r="R483" t="str">
        <v>-6.33</v>
      </c>
      <c r="S483">
        <v>1175</v>
      </c>
      <c r="T483">
        <v>0</v>
      </c>
      <c r="U483">
        <f t="array" ref="U483:AD483">[1]!'3481.TW-ChipsField3,ChipsField1,ChipsField25,CashAndStockDividend,CashDividendYieldRate,ProfitFourSeason,ProfitSingle,CName,ExchangeIndustry,CompanyPos'</f>
        <v>735</v>
      </c>
      <c r="V483">
        <v>-18753</v>
      </c>
      <c r="W483" t="str">
        <v>2022/07/11</v>
      </c>
      <c r="X483" t="str">
        <v>1.05</v>
      </c>
      <c r="Y483">
        <v>9.4600000000000009</v>
      </c>
      <c r="Z483" t="str">
        <v>-0.93</v>
      </c>
      <c r="AA483" t="str">
        <v>-1.27</v>
      </c>
      <c r="AB483" t="str">
        <v>群創</v>
      </c>
      <c r="AC483" t="str">
        <v>上市光電</v>
      </c>
      <c r="AD483" t="str">
        <v>全球知名面板大廠</v>
      </c>
      <c r="AE483" t="str">
        <f t="array" ref="AE483:AH483">[1]!'3481.TW-CName,InvestorConferenceDate,DateofMeetingofShareHolders,TradingDate'</f>
        <v>群創</v>
      </c>
      <c r="AF483" t="str">
        <v>2022/08/18</v>
      </c>
      <c r="AG483" t="str">
        <v>2022/06/24</v>
      </c>
      <c r="AH483" t="str">
        <v>2022/12/22</v>
      </c>
    </row>
    <row r="484" spans="1:34" x14ac:dyDescent="0.3">
      <c r="A484" t="str">
        <f t="array" ref="A484:J484">[1]!'3504.TW-ID,Name,MarketValue,Capital,NetIncomeGrowthRate,OperIncomeGrowthRate,FinancialStatementsTime,TFXRatio,MonthlyNetSalesYoY,RevenueMonth'</f>
        <v>3504</v>
      </c>
      <c r="B484" t="str">
        <v>揚明光</v>
      </c>
      <c r="C484" t="str">
        <v>87.7</v>
      </c>
      <c r="D484" t="str">
        <v>11.41</v>
      </c>
      <c r="E484" t="str">
        <v>865.89</v>
      </c>
      <c r="F484" t="str">
        <v>265.29</v>
      </c>
      <c r="G484" t="str">
        <v>2022/09</v>
      </c>
      <c r="H484" t="str">
        <v>-13.83</v>
      </c>
      <c r="I484" t="str">
        <v>-40.47</v>
      </c>
      <c r="J484" t="str">
        <v>2022/11</v>
      </c>
      <c r="K484" t="str">
        <f t="array" ref="K484:T484">[1]!'3504.TW-OperatingProfitRatio,Price,PriceChangeRatio,InOutRatioNumber,Value,YearReturn,MonthReturn,WeekReturn,FinanceBalanceDif,ChipsField2'</f>
        <v>2.34</v>
      </c>
      <c r="L484">
        <v>76.900000000000006</v>
      </c>
      <c r="M484">
        <v>0.65</v>
      </c>
      <c r="N484" t="str">
        <v>33.07%</v>
      </c>
      <c r="O484" t="str">
        <v>4979萬</v>
      </c>
      <c r="P484" t="str">
        <v>-34.83</v>
      </c>
      <c r="Q484" t="str">
        <v>-15.21</v>
      </c>
      <c r="R484" t="str">
        <v>-7.13</v>
      </c>
      <c r="S484">
        <v>-73</v>
      </c>
      <c r="T484">
        <v>0</v>
      </c>
      <c r="U484">
        <f t="array" ref="U484:AD484">[1]!'3504.TW-ChipsField3,ChipsField1,ChipsField25,CashAndStockDividend,CashDividendYieldRate,ProfitFourSeason,ProfitSingle,CName,ExchangeIndustry,CompanyPos'</f>
        <v>4</v>
      </c>
      <c r="V484">
        <v>52</v>
      </c>
      <c r="W484" t="str">
        <v>--</v>
      </c>
      <c r="X484" t="str">
        <v>0.00</v>
      </c>
      <c r="Y484">
        <v>0</v>
      </c>
      <c r="Z484" t="str">
        <v>1.29</v>
      </c>
      <c r="AA484" t="str">
        <v>0.57</v>
      </c>
      <c r="AB484" t="str">
        <v>揚明光</v>
      </c>
      <c r="AC484" t="str">
        <v>上市光電</v>
      </c>
      <c r="AD484" t="str">
        <v>中光電旗下微投光機及光學元件生產廠商</v>
      </c>
      <c r="AE484" t="str">
        <f t="array" ref="AE484:AH484">[1]!'3504.TW-CName,InvestorConferenceDate,DateofMeetingofShareHolders,TradingDate'</f>
        <v>揚明光</v>
      </c>
      <c r="AF484" t="str">
        <v>2022/07/25</v>
      </c>
      <c r="AG484" t="str">
        <v>2022/06/17</v>
      </c>
      <c r="AH484" t="str">
        <v>2022/12/22</v>
      </c>
    </row>
    <row r="485" spans="1:34" x14ac:dyDescent="0.3">
      <c r="A485" t="str">
        <f t="array" ref="A485:J485">[1]!'3535.TW-ID,Name,MarketValue,Capital,NetIncomeGrowthRate,OperIncomeGrowthRate,FinancialStatementsTime,TFXRatio,MonthlyNetSalesYoY,RevenueMonth'</f>
        <v>3535</v>
      </c>
      <c r="B485" t="str">
        <v>晶彩科</v>
      </c>
      <c r="C485" t="str">
        <v>17.1</v>
      </c>
      <c r="D485" t="str">
        <v>7.91</v>
      </c>
      <c r="E485" t="str">
        <v>450.18</v>
      </c>
      <c r="F485" t="str">
        <v>164.01</v>
      </c>
      <c r="G485" t="str">
        <v>2022/09</v>
      </c>
      <c r="H485" t="str">
        <v>-83.67</v>
      </c>
      <c r="I485" t="str">
        <v>-86.37</v>
      </c>
      <c r="J485" t="str">
        <v>2022/11</v>
      </c>
      <c r="K485" t="str">
        <f t="array" ref="K485:T485">[1]!'3535.TW-OperatingProfitRatio,Price,PriceChangeRatio,InOutRatioNumber,Value,YearReturn,MonthReturn,WeekReturn,FinanceBalanceDif,ChipsField2'</f>
        <v>15.55</v>
      </c>
      <c r="L485">
        <v>21.65</v>
      </c>
      <c r="M485">
        <v>1.41</v>
      </c>
      <c r="N485" t="str">
        <v>37.50%</v>
      </c>
      <c r="O485" t="str">
        <v>932萬</v>
      </c>
      <c r="P485" t="str">
        <v>+24.29</v>
      </c>
      <c r="Q485" t="str">
        <v>-14.26</v>
      </c>
      <c r="R485" t="str">
        <v>-6.48</v>
      </c>
      <c r="S485">
        <v>-100</v>
      </c>
      <c r="T485">
        <v>0</v>
      </c>
      <c r="U485">
        <f t="array" ref="U485:AD485">[1]!'3535.TW-ChipsField3,ChipsField1,ChipsField25,CashAndStockDividend,CashDividendYieldRate,ProfitFourSeason,ProfitSingle,CName,ExchangeIndustry,CompanyPos'</f>
        <v>0</v>
      </c>
      <c r="V485">
        <v>130</v>
      </c>
      <c r="W485" t="str">
        <v>2022/08/23</v>
      </c>
      <c r="X485" t="str">
        <v>0.50</v>
      </c>
      <c r="Y485">
        <v>2.31</v>
      </c>
      <c r="Z485" t="str">
        <v>4.07</v>
      </c>
      <c r="AA485" t="str">
        <v>1.36</v>
      </c>
      <c r="AB485" t="str">
        <v>晶彩科</v>
      </c>
      <c r="AC485" t="str">
        <v>上市光電</v>
      </c>
      <c r="AD485" t="str">
        <v>國內面板前段自動光學檢測設備大廠</v>
      </c>
      <c r="AE485" t="str">
        <f t="array" ref="AE485:AH485">[1]!'3535.TW-CName,InvestorConferenceDate,DateofMeetingofShareHolders,TradingDate'</f>
        <v>晶彩科</v>
      </c>
      <c r="AF485" t="str">
        <v>2022/11/11</v>
      </c>
      <c r="AG485" t="str">
        <v>2022/06/24</v>
      </c>
      <c r="AH485" t="str">
        <v>2022/12/22</v>
      </c>
    </row>
    <row r="486" spans="1:34" x14ac:dyDescent="0.3">
      <c r="A486" t="str">
        <f t="array" ref="A486:J486">[1]!'3543.TW-ID,Name,MarketValue,Capital,NetIncomeGrowthRate,OperIncomeGrowthRate,FinancialStatementsTime,TFXRatio,MonthlyNetSalesYoY,RevenueMonth'</f>
        <v>3543</v>
      </c>
      <c r="B486" t="str">
        <v>州巧</v>
      </c>
      <c r="C486" t="str">
        <v>17.8</v>
      </c>
      <c r="D486" t="str">
        <v>8.93</v>
      </c>
      <c r="E486" t="str">
        <v>-120.30</v>
      </c>
      <c r="F486" t="str">
        <v>-1672.75</v>
      </c>
      <c r="G486" t="str">
        <v>2022/09</v>
      </c>
      <c r="H486" t="str">
        <v>-7.04</v>
      </c>
      <c r="I486" t="str">
        <v>-26.43</v>
      </c>
      <c r="J486" t="str">
        <v>2022/11</v>
      </c>
      <c r="K486" t="str">
        <f t="array" ref="K486:T486">[1]!'3543.TW-OperatingProfitRatio,Price,PriceChangeRatio,InOutRatioNumber,Value,YearReturn,MonthReturn,WeekReturn,FinanceBalanceDif,ChipsField2'</f>
        <v>-3.08</v>
      </c>
      <c r="L486">
        <v>19.899999999999999</v>
      </c>
      <c r="M486">
        <v>0.51</v>
      </c>
      <c r="N486" t="str">
        <v>50.00%</v>
      </c>
      <c r="O486" t="str">
        <v>9.91萬</v>
      </c>
      <c r="P486" t="str">
        <v>-19.37</v>
      </c>
      <c r="Q486" t="str">
        <v>+0.76</v>
      </c>
      <c r="R486" t="str">
        <v>+0.51</v>
      </c>
      <c r="S486">
        <v>7</v>
      </c>
      <c r="T486">
        <v>0</v>
      </c>
      <c r="U486">
        <f t="array" ref="U486:AD486">[1]!'3543.TW-ChipsField3,ChipsField1,ChipsField25,CashAndStockDividend,CashDividendYieldRate,ProfitFourSeason,ProfitSingle,CName,ExchangeIndustry,CompanyPos'</f>
        <v>0</v>
      </c>
      <c r="V486">
        <v>-6</v>
      </c>
      <c r="W486" t="str">
        <v>2022/06/14</v>
      </c>
      <c r="X486" t="str">
        <v>1.20</v>
      </c>
      <c r="Y486">
        <v>6.03</v>
      </c>
      <c r="Z486" t="str">
        <v>-0.53</v>
      </c>
      <c r="AA486" t="str">
        <v>0.35</v>
      </c>
      <c r="AB486" t="str">
        <v>州巧</v>
      </c>
      <c r="AC486" t="str">
        <v>上市光電</v>
      </c>
      <c r="AD486" t="str">
        <v>專注LCD TV面板沖壓件製造商</v>
      </c>
      <c r="AE486" t="str">
        <f t="array" ref="AE486:AH486">[1]!'3543.TW-CName,InvestorConferenceDate,DateofMeetingofShareHolders,TradingDate'</f>
        <v>州巧</v>
      </c>
      <c r="AF486" t="str">
        <v>2022/12/12</v>
      </c>
      <c r="AG486" t="str">
        <v>2022/05/27</v>
      </c>
      <c r="AH486" t="str">
        <v>2022/12/22</v>
      </c>
    </row>
    <row r="487" spans="1:34" x14ac:dyDescent="0.3">
      <c r="A487" t="str">
        <f t="array" ref="A487:J487">[1]!'3563.TW-ID,Name,MarketValue,Capital,NetIncomeGrowthRate,OperIncomeGrowthRate,FinancialStatementsTime,TFXRatio,MonthlyNetSalesYoY,RevenueMonth'</f>
        <v>3563</v>
      </c>
      <c r="B487" t="str">
        <v>牧德</v>
      </c>
      <c r="C487" t="str">
        <v>59.0</v>
      </c>
      <c r="D487" t="str">
        <v>4.47</v>
      </c>
      <c r="E487" t="str">
        <v>-25.69</v>
      </c>
      <c r="F487" t="str">
        <v>-45.26</v>
      </c>
      <c r="G487" t="str">
        <v>2022/09</v>
      </c>
      <c r="H487" t="str">
        <v>3.38</v>
      </c>
      <c r="I487" t="str">
        <v>-31.69</v>
      </c>
      <c r="J487" t="str">
        <v>2022/11</v>
      </c>
      <c r="K487" t="str">
        <f t="array" ref="K487:T487">[1]!'3563.TW-OperatingProfitRatio,Price,PriceChangeRatio,InOutRatioNumber,Value,YearReturn,MonthReturn,WeekReturn,FinanceBalanceDif,ChipsField2'</f>
        <v>29.19</v>
      </c>
      <c r="L487">
        <v>132</v>
      </c>
      <c r="M487">
        <v>0.38</v>
      </c>
      <c r="N487" t="str">
        <v>30.77%</v>
      </c>
      <c r="O487" t="str">
        <v>357萬</v>
      </c>
      <c r="P487" t="str">
        <v>-39.55</v>
      </c>
      <c r="Q487" t="str">
        <v>+0.38</v>
      </c>
      <c r="R487" t="str">
        <v>-4.69</v>
      </c>
      <c r="S487">
        <v>2</v>
      </c>
      <c r="T487">
        <v>0</v>
      </c>
      <c r="U487">
        <f t="array" ref="U487:AD487">[1]!'3563.TW-ChipsField3,ChipsField1,ChipsField25,CashAndStockDividend,CashDividendYieldRate,ProfitFourSeason,ProfitSingle,CName,ExchangeIndustry,CompanyPos'</f>
        <v>-2</v>
      </c>
      <c r="V487">
        <v>4</v>
      </c>
      <c r="W487" t="str">
        <v>2022/11/22</v>
      </c>
      <c r="X487" t="str">
        <v>2.00</v>
      </c>
      <c r="Y487">
        <v>9.09</v>
      </c>
      <c r="Z487" t="str">
        <v>14.66</v>
      </c>
      <c r="AA487" t="str">
        <v>3.09</v>
      </c>
      <c r="AB487" t="str">
        <v>牧德</v>
      </c>
      <c r="AC487" t="str">
        <v>上市光電</v>
      </c>
      <c r="AD487" t="str">
        <v>台灣最大的PCB光學檢測設備供應商</v>
      </c>
      <c r="AE487" t="str">
        <f t="array" ref="AE487:AH487">[1]!'3563.TW-CName,InvestorConferenceDate,DateofMeetingofShareHolders,TradingDate'</f>
        <v>牧德</v>
      </c>
      <c r="AF487" t="str">
        <v>2022/08/25</v>
      </c>
      <c r="AG487" t="str">
        <v>2022/05/26</v>
      </c>
      <c r="AH487" t="str">
        <v>2022/12/22</v>
      </c>
    </row>
    <row r="488" spans="1:34" x14ac:dyDescent="0.3">
      <c r="A488" t="str">
        <f t="array" ref="A488:J488">[1]!'3576.TW-ID,Name,MarketValue,Capital,NetIncomeGrowthRate,OperIncomeGrowthRate,FinancialStatementsTime,TFXRatio,MonthlyNetSalesYoY,RevenueMonth'</f>
        <v>3576</v>
      </c>
      <c r="B488" t="str">
        <v>聯合再生</v>
      </c>
      <c r="C488" t="str">
        <v>334.5</v>
      </c>
      <c r="D488" t="str">
        <v>162.78</v>
      </c>
      <c r="E488" t="str">
        <v>205.83</v>
      </c>
      <c r="F488" t="str">
        <v>196.21</v>
      </c>
      <c r="G488" t="str">
        <v>2022/09</v>
      </c>
      <c r="H488" t="str">
        <v>-8.10</v>
      </c>
      <c r="I488" t="str">
        <v>50.97</v>
      </c>
      <c r="J488" t="str">
        <v>2022/11</v>
      </c>
      <c r="K488" t="str">
        <f t="array" ref="K488:T488">[1]!'3576.TW-OperatingProfitRatio,Price,PriceChangeRatio,InOutRatioNumber,Value,YearReturn,MonthReturn,WeekReturn,FinanceBalanceDif,ChipsField2'</f>
        <v>4.68</v>
      </c>
      <c r="L488">
        <v>20.55</v>
      </c>
      <c r="M488">
        <v>1.23</v>
      </c>
      <c r="N488" t="str">
        <v>46.89%</v>
      </c>
      <c r="O488" t="str">
        <v>9933萬</v>
      </c>
      <c r="P488" t="str">
        <v>-4.86</v>
      </c>
      <c r="Q488" t="str">
        <v>-4.20</v>
      </c>
      <c r="R488" t="str">
        <v>-2.61</v>
      </c>
      <c r="S488">
        <v>77</v>
      </c>
      <c r="T488">
        <v>0</v>
      </c>
      <c r="U488">
        <f t="array" ref="U488:AD488">[1]!'3576.TW-ChipsField3,ChipsField1,ChipsField25,CashAndStockDividend,CashDividendYieldRate,ProfitFourSeason,ProfitSingle,CName,ExchangeIndustry,CompanyPos'</f>
        <v>0</v>
      </c>
      <c r="V488">
        <v>-1831</v>
      </c>
      <c r="W488" t="str">
        <v>--</v>
      </c>
      <c r="X488" t="str">
        <v>0.00</v>
      </c>
      <c r="Y488">
        <v>0</v>
      </c>
      <c r="Z488" t="str">
        <v>0.33</v>
      </c>
      <c r="AA488" t="str">
        <v>0.12</v>
      </c>
      <c r="AB488" t="str">
        <v>聯合再生</v>
      </c>
      <c r="AC488" t="str">
        <v>上市光電</v>
      </c>
      <c r="AD488" t="str">
        <v>台灣太陽能電池模組龍頭</v>
      </c>
      <c r="AE488" t="str">
        <f t="array" ref="AE488:AH488">[1]!'3576.TW-CName,InvestorConferenceDate,DateofMeetingofShareHolders,TradingDate'</f>
        <v>聯合再生</v>
      </c>
      <c r="AF488" t="str">
        <v>2022/06/07</v>
      </c>
      <c r="AG488" t="str">
        <v>2022/06/24</v>
      </c>
      <c r="AH488" t="str">
        <v>2022/12/22</v>
      </c>
    </row>
    <row r="489" spans="1:34" x14ac:dyDescent="0.3">
      <c r="A489" t="str">
        <f t="array" ref="A489:J489">[1]!'3591.TW-ID,Name,MarketValue,Capital,NetIncomeGrowthRate,OperIncomeGrowthRate,FinancialStatementsTime,TFXRatio,MonthlyNetSalesYoY,RevenueMonth'</f>
        <v>3591</v>
      </c>
      <c r="B489" t="str">
        <v>艾笛森</v>
      </c>
      <c r="C489" t="str">
        <v>21.4</v>
      </c>
      <c r="D489" t="str">
        <v>13.53</v>
      </c>
      <c r="E489" t="str">
        <v>-37.28</v>
      </c>
      <c r="F489" t="str">
        <v>-69.28</v>
      </c>
      <c r="G489" t="str">
        <v>2022/09</v>
      </c>
      <c r="H489" t="str">
        <v>8.94</v>
      </c>
      <c r="I489" t="str">
        <v>-8.78</v>
      </c>
      <c r="J489" t="str">
        <v>2022/11</v>
      </c>
      <c r="K489" t="str">
        <f t="array" ref="K489:T489">[1]!'3591.TW-OperatingProfitRatio,Price,PriceChangeRatio,InOutRatioNumber,Value,YearReturn,MonthReturn,WeekReturn,FinanceBalanceDif,ChipsField2'</f>
        <v>2.58</v>
      </c>
      <c r="L489">
        <v>15.8</v>
      </c>
      <c r="M489">
        <v>0.64</v>
      </c>
      <c r="N489" t="str">
        <v>34.09%</v>
      </c>
      <c r="O489" t="str">
        <v>140萬</v>
      </c>
      <c r="P489" t="str">
        <v>-27.57</v>
      </c>
      <c r="Q489" t="str">
        <v>+7.48</v>
      </c>
      <c r="R489" t="str">
        <v>-8.14</v>
      </c>
      <c r="S489">
        <v>4</v>
      </c>
      <c r="T489">
        <v>0</v>
      </c>
      <c r="U489">
        <f t="array" ref="U489:AD489">[1]!'3591.TW-ChipsField3,ChipsField1,ChipsField25,CashAndStockDividend,CashDividendYieldRate,ProfitFourSeason,ProfitSingle,CName,ExchangeIndustry,CompanyPos'</f>
        <v>-6</v>
      </c>
      <c r="V489">
        <v>-27</v>
      </c>
      <c r="W489" t="str">
        <v>2022/08/24</v>
      </c>
      <c r="X489" t="str">
        <v>0.79</v>
      </c>
      <c r="Y489">
        <v>5</v>
      </c>
      <c r="Z489" t="str">
        <v>0.62</v>
      </c>
      <c r="AA489" t="str">
        <v>0.15</v>
      </c>
      <c r="AB489" t="str">
        <v>艾笛森</v>
      </c>
      <c r="AC489" t="str">
        <v>上市光電</v>
      </c>
      <c r="AD489" t="str">
        <v>台灣最大高功率LED產品設計製造廠商</v>
      </c>
      <c r="AE489" t="str">
        <f t="array" ref="AE489:AH489">[1]!'3591.TW-CName,InvestorConferenceDate,DateofMeetingofShareHolders,TradingDate'</f>
        <v>艾笛森</v>
      </c>
      <c r="AF489" t="str">
        <v>2022/11/11</v>
      </c>
      <c r="AG489" t="str">
        <v>2022/06/22</v>
      </c>
      <c r="AH489" t="str">
        <v>2022/12/22</v>
      </c>
    </row>
    <row r="490" spans="1:34" x14ac:dyDescent="0.3">
      <c r="A490" t="str">
        <f t="array" ref="A490:J490">[1]!'3622.TW-ID,Name,MarketValue,Capital,NetIncomeGrowthRate,OperIncomeGrowthRate,FinancialStatementsTime,TFXRatio,MonthlyNetSalesYoY,RevenueMonth'</f>
        <v>3622</v>
      </c>
      <c r="B490" t="str">
        <v>洋華</v>
      </c>
      <c r="C490" t="str">
        <v>41.5</v>
      </c>
      <c r="D490" t="str">
        <v>15.13</v>
      </c>
      <c r="E490" t="str">
        <v>87.20</v>
      </c>
      <c r="F490" t="str">
        <v>316.99</v>
      </c>
      <c r="G490" t="str">
        <v>2022/09</v>
      </c>
      <c r="H490" t="str">
        <v>-2.23</v>
      </c>
      <c r="I490" t="str">
        <v>50.39</v>
      </c>
      <c r="J490" t="str">
        <v>2022/11</v>
      </c>
      <c r="K490" t="str">
        <f t="array" ref="K490:T490">[1]!'3622.TW-OperatingProfitRatio,Price,PriceChangeRatio,InOutRatioNumber,Value,YearReturn,MonthReturn,WeekReturn,FinanceBalanceDif,ChipsField2'</f>
        <v>13.01</v>
      </c>
      <c r="L490">
        <v>27.45</v>
      </c>
      <c r="M490">
        <v>0.37</v>
      </c>
      <c r="N490" t="str">
        <v>25.71%</v>
      </c>
      <c r="O490" t="str">
        <v>96.5萬</v>
      </c>
      <c r="P490" t="str">
        <v>+1.45</v>
      </c>
      <c r="Q490" t="str">
        <v>+0.37</v>
      </c>
      <c r="R490" t="str">
        <v>-4.36</v>
      </c>
      <c r="S490">
        <v>-6</v>
      </c>
      <c r="T490">
        <v>0</v>
      </c>
      <c r="U490">
        <f t="array" ref="U490:AD490">[1]!'3622.TW-ChipsField3,ChipsField1,ChipsField25,CashAndStockDividend,CashDividendYieldRate,ProfitFourSeason,ProfitSingle,CName,ExchangeIndustry,CompanyPos'</f>
        <v>-8</v>
      </c>
      <c r="V490">
        <v>-7</v>
      </c>
      <c r="W490" t="str">
        <v>2022/09/06</v>
      </c>
      <c r="X490" t="str">
        <v>1.20</v>
      </c>
      <c r="Y490">
        <v>4.37</v>
      </c>
      <c r="Z490" t="str">
        <v>3.07</v>
      </c>
      <c r="AA490" t="str">
        <v>1.54</v>
      </c>
      <c r="AB490" t="str">
        <v>洋華</v>
      </c>
      <c r="AC490" t="str">
        <v>上市光電</v>
      </c>
      <c r="AD490" t="str">
        <v>台灣中小尺寸觸控面板廠</v>
      </c>
      <c r="AE490" t="str">
        <f t="array" ref="AE490:AH490">[1]!'3622.TW-CName,InvestorConferenceDate,DateofMeetingofShareHolders,TradingDate'</f>
        <v>洋華</v>
      </c>
      <c r="AF490" t="str">
        <v>2022/04/15</v>
      </c>
      <c r="AG490" t="str">
        <v>2022/06/29</v>
      </c>
      <c r="AH490" t="str">
        <v>2022/12/22</v>
      </c>
    </row>
    <row r="491" spans="1:34" x14ac:dyDescent="0.3">
      <c r="A491" t="str">
        <f t="array" ref="A491:J491">[1]!'3673.TW-ID,Name,MarketValue,Capital,NetIncomeGrowthRate,OperIncomeGrowthRate,FinancialStatementsTime,TFXRatio,MonthlyNetSalesYoY,RevenueMonth'</f>
        <v>3673</v>
      </c>
      <c r="B491" t="str">
        <v>TPK-KY</v>
      </c>
      <c r="C491" t="str">
        <v>121.2</v>
      </c>
      <c r="D491" t="str">
        <v>40.67</v>
      </c>
      <c r="E491" t="str">
        <v>-42.52</v>
      </c>
      <c r="F491" t="str">
        <v>88.26</v>
      </c>
      <c r="G491" t="str">
        <v>2022/09</v>
      </c>
      <c r="H491" t="str">
        <v>0.01</v>
      </c>
      <c r="I491" t="str">
        <v>-12.59</v>
      </c>
      <c r="J491" t="str">
        <v>2022/11</v>
      </c>
      <c r="K491" t="str">
        <f t="array" ref="K491:T491">[1]!'3673.TW-OperatingProfitRatio,Price,PriceChangeRatio,InOutRatioNumber,Value,YearReturn,MonthReturn,WeekReturn,FinanceBalanceDif,ChipsField2'</f>
        <v>1.00</v>
      </c>
      <c r="L491">
        <v>29.8</v>
      </c>
      <c r="M491">
        <v>1.19</v>
      </c>
      <c r="N491" t="str">
        <v>43.90%</v>
      </c>
      <c r="O491" t="str">
        <v>1227萬</v>
      </c>
      <c r="P491" t="str">
        <v>-27.13</v>
      </c>
      <c r="Q491" t="str">
        <v>-2.93</v>
      </c>
      <c r="R491" t="str">
        <v>-3.25</v>
      </c>
      <c r="S491">
        <v>36</v>
      </c>
      <c r="T491">
        <v>0</v>
      </c>
      <c r="U491">
        <f t="array" ref="U491:AD491">[1]!'3673.TW-ChipsField3,ChipsField1,ChipsField25,CashAndStockDividend,CashDividendYieldRate,ProfitFourSeason,ProfitSingle,CName,ExchangeIndustry,CompanyPos'</f>
        <v>-71</v>
      </c>
      <c r="V491">
        <v>-87</v>
      </c>
      <c r="W491" t="str">
        <v>2022/07/21</v>
      </c>
      <c r="X491" t="str">
        <v>1.50</v>
      </c>
      <c r="Y491">
        <v>5.03</v>
      </c>
      <c r="Z491" t="str">
        <v>1.58</v>
      </c>
      <c r="AA491" t="str">
        <v>0.55</v>
      </c>
      <c r="AB491" t="str">
        <v>TPK-KY</v>
      </c>
      <c r="AC491" t="str">
        <v>上市光電</v>
      </c>
      <c r="AD491" t="str">
        <v>全球最大玻璃投射電容觸控模組廠</v>
      </c>
      <c r="AE491" t="str">
        <f t="array" ref="AE491:AH491">[1]!'3673.TW-CName,InvestorConferenceDate,DateofMeetingofShareHolders,TradingDate'</f>
        <v>TPK-KY</v>
      </c>
      <c r="AF491" t="str">
        <v>2022/08/11</v>
      </c>
      <c r="AG491" t="str">
        <v>2022/06/23</v>
      </c>
      <c r="AH491" t="str">
        <v>2022/12/22</v>
      </c>
    </row>
    <row r="492" spans="1:34" x14ac:dyDescent="0.3">
      <c r="A492" t="str">
        <f t="array" ref="A492:J492">[1]!'3714.TW-ID,Name,MarketValue,Capital,NetIncomeGrowthRate,OperIncomeGrowthRate,FinancialStatementsTime,TFXRatio,MonthlyNetSalesYoY,RevenueMonth'</f>
        <v>3714</v>
      </c>
      <c r="B492" t="str">
        <v>富采</v>
      </c>
      <c r="C492" t="str">
        <v>322.2</v>
      </c>
      <c r="D492" t="str">
        <v>75.48</v>
      </c>
      <c r="E492" t="str">
        <v>-74.65</v>
      </c>
      <c r="F492" t="str">
        <v>-71.88</v>
      </c>
      <c r="G492" t="str">
        <v>2022/09</v>
      </c>
      <c r="H492" t="str">
        <v>2.82</v>
      </c>
      <c r="I492" t="str">
        <v>-32.70</v>
      </c>
      <c r="J492" t="str">
        <v>2022/11</v>
      </c>
      <c r="K492" t="str">
        <f t="array" ref="K492:T492">[1]!'3714.TW-OperatingProfitRatio,Price,PriceChangeRatio,InOutRatioNumber,Value,YearReturn,MonthReturn,WeekReturn,FinanceBalanceDif,ChipsField2'</f>
        <v>1.66</v>
      </c>
      <c r="L492">
        <v>47.05</v>
      </c>
      <c r="M492">
        <v>0.11</v>
      </c>
      <c r="N492" t="str">
        <v>38.12%</v>
      </c>
      <c r="O492" t="str">
        <v>8987萬</v>
      </c>
      <c r="P492" t="str">
        <v>-35.82</v>
      </c>
      <c r="Q492" t="str">
        <v>+3.29</v>
      </c>
      <c r="R492" t="str">
        <v>-4.37</v>
      </c>
      <c r="S492">
        <v>33</v>
      </c>
      <c r="T492">
        <v>0</v>
      </c>
      <c r="U492">
        <f t="array" ref="U492:AD492">[1]!'3714.TW-ChipsField3,ChipsField1,ChipsField25,CashAndStockDividend,CashDividendYieldRate,ProfitFourSeason,ProfitSingle,CName,ExchangeIndustry,CompanyPos'</f>
        <v>-24</v>
      </c>
      <c r="V492">
        <v>71</v>
      </c>
      <c r="W492" t="str">
        <v>2022/06/16</v>
      </c>
      <c r="X492" t="str">
        <v>2.00</v>
      </c>
      <c r="Y492">
        <v>4.25</v>
      </c>
      <c r="Z492" t="str">
        <v>1.77</v>
      </c>
      <c r="AA492" t="str">
        <v>-0.48</v>
      </c>
      <c r="AB492" t="str">
        <v>富采</v>
      </c>
      <c r="AC492" t="str">
        <v>上市光電</v>
      </c>
      <c r="AD492" t="str">
        <v>晶電、隆達股份轉換而設立的投資控股公司</v>
      </c>
      <c r="AE492" t="str">
        <f t="array" ref="AE492:AH492">[1]!'3714.TW-CName,InvestorConferenceDate,DateofMeetingofShareHolders,TradingDate'</f>
        <v>富采</v>
      </c>
      <c r="AF492" t="str">
        <v>2022/11/04</v>
      </c>
      <c r="AG492" t="str">
        <v>2022/05/31</v>
      </c>
      <c r="AH492" t="str">
        <v>2022/12/22</v>
      </c>
    </row>
    <row r="493" spans="1:34" x14ac:dyDescent="0.3">
      <c r="A493" t="str">
        <f t="array" ref="A493:J493">[1]!'4934.TW-ID,Name,MarketValue,Capital,NetIncomeGrowthRate,OperIncomeGrowthRate,FinancialStatementsTime,TFXRatio,MonthlyNetSalesYoY,RevenueMonth'</f>
        <v>4934</v>
      </c>
      <c r="B493" t="str">
        <v>太極</v>
      </c>
      <c r="C493" t="str">
        <v>61.9</v>
      </c>
      <c r="D493" t="str">
        <v>22.50</v>
      </c>
      <c r="E493" t="str">
        <v>71.43</v>
      </c>
      <c r="F493" t="str">
        <v>71.42</v>
      </c>
      <c r="G493" t="str">
        <v>2022/09</v>
      </c>
      <c r="H493" t="str">
        <v>10.23</v>
      </c>
      <c r="I493" t="str">
        <v>107.28</v>
      </c>
      <c r="J493" t="str">
        <v>2022/11</v>
      </c>
      <c r="K493" t="str">
        <f t="array" ref="K493:T493">[1]!'4934.TW-OperatingProfitRatio,Price,PriceChangeRatio,InOutRatioNumber,Value,YearReturn,MonthReturn,WeekReturn,FinanceBalanceDif,ChipsField2'</f>
        <v>-8.37</v>
      </c>
      <c r="L493">
        <v>27.5</v>
      </c>
      <c r="M493">
        <v>3.77</v>
      </c>
      <c r="N493" t="str">
        <v>56.91%</v>
      </c>
      <c r="O493" t="str">
        <v>1694萬</v>
      </c>
      <c r="P493" t="str">
        <v>-18.64</v>
      </c>
      <c r="Q493" t="str">
        <v>+1.85</v>
      </c>
      <c r="R493" t="str">
        <v>-5.66</v>
      </c>
      <c r="S493">
        <v>0</v>
      </c>
      <c r="T493">
        <v>0</v>
      </c>
      <c r="U493">
        <f t="array" ref="U493:AD493">[1]!'4934.TW-ChipsField3,ChipsField1,ChipsField25,CashAndStockDividend,CashDividendYieldRate,ProfitFourSeason,ProfitSingle,CName,ExchangeIndustry,CompanyPos'</f>
        <v>0</v>
      </c>
      <c r="V493">
        <v>-42</v>
      </c>
      <c r="W493" t="str">
        <v>--</v>
      </c>
      <c r="X493" t="str">
        <v>0.00</v>
      </c>
      <c r="Y493">
        <v>0</v>
      </c>
      <c r="Z493" t="str">
        <v>-2.32</v>
      </c>
      <c r="AA493" t="str">
        <v>0.11</v>
      </c>
      <c r="AB493" t="str">
        <v>太極</v>
      </c>
      <c r="AC493" t="str">
        <v>上市光電</v>
      </c>
      <c r="AD493" t="str">
        <v>廣運轉投資之太陽能電池廠</v>
      </c>
      <c r="AE493" t="str">
        <f t="array" ref="AE493:AH493">[1]!'4934.TW-CName,InvestorConferenceDate,DateofMeetingofShareHolders,TradingDate'</f>
        <v>太極</v>
      </c>
      <c r="AF493" t="str">
        <v>2021/11/17</v>
      </c>
      <c r="AG493" t="str">
        <v>2022/06/23</v>
      </c>
      <c r="AH493" t="str">
        <v>2022/12/22</v>
      </c>
    </row>
    <row r="494" spans="1:34" x14ac:dyDescent="0.3">
      <c r="A494" t="str">
        <f t="array" ref="A494:J494">[1]!'4935.TW-ID,Name,MarketValue,Capital,NetIncomeGrowthRate,OperIncomeGrowthRate,FinancialStatementsTime,TFXRatio,MonthlyNetSalesYoY,RevenueMonth'</f>
        <v>4935</v>
      </c>
      <c r="B494" t="str">
        <v>茂林-KY</v>
      </c>
      <c r="C494" t="str">
        <v>73.3</v>
      </c>
      <c r="D494" t="str">
        <v>12.89</v>
      </c>
      <c r="E494" t="str">
        <v>-17.74</v>
      </c>
      <c r="F494" t="str">
        <v>-25.64</v>
      </c>
      <c r="G494" t="str">
        <v>2022/09</v>
      </c>
      <c r="H494" t="str">
        <v>-21.41</v>
      </c>
      <c r="I494" t="str">
        <v>-24.36</v>
      </c>
      <c r="J494" t="str">
        <v>2022/11</v>
      </c>
      <c r="K494" t="str">
        <f t="array" ref="K494:T494">[1]!'4935.TW-OperatingProfitRatio,Price,PriceChangeRatio,InOutRatioNumber,Value,YearReturn,MonthReturn,WeekReturn,FinanceBalanceDif,ChipsField2'</f>
        <v>9.76</v>
      </c>
      <c r="L494">
        <v>56.9</v>
      </c>
      <c r="M494">
        <v>0.35</v>
      </c>
      <c r="N494" t="str">
        <v>51.92%</v>
      </c>
      <c r="O494" t="str">
        <v>358萬</v>
      </c>
      <c r="P494" t="str">
        <v>-21.66</v>
      </c>
      <c r="Q494" t="str">
        <v>-10.95</v>
      </c>
      <c r="R494" t="str">
        <v>-3.56</v>
      </c>
      <c r="S494">
        <v>0</v>
      </c>
      <c r="T494">
        <v>0</v>
      </c>
      <c r="U494">
        <f t="array" ref="U494:AD494">[1]!'4935.TW-ChipsField3,ChipsField1,ChipsField25,CashAndStockDividend,CashDividendYieldRate,ProfitFourSeason,ProfitSingle,CName,ExchangeIndustry,CompanyPos'</f>
        <v>-5</v>
      </c>
      <c r="V494">
        <v>-4</v>
      </c>
      <c r="W494" t="str">
        <v>2022/07/26</v>
      </c>
      <c r="X494" t="str">
        <v>5.00</v>
      </c>
      <c r="Y494">
        <v>8.7899999999999991</v>
      </c>
      <c r="Z494" t="str">
        <v>8.52</v>
      </c>
      <c r="AA494" t="str">
        <v>3.84</v>
      </c>
      <c r="AB494" t="str">
        <v>茂林-KY</v>
      </c>
      <c r="AC494" t="str">
        <v>上市光電</v>
      </c>
      <c r="AD494" t="str">
        <v>台灣導光板大廠</v>
      </c>
      <c r="AE494" t="str">
        <f t="array" ref="AE494:AH494">[1]!'4935.TW-CName,InvestorConferenceDate,DateofMeetingofShareHolders,TradingDate'</f>
        <v>茂林-KY</v>
      </c>
      <c r="AF494" t="str">
        <v>2022/09/08</v>
      </c>
      <c r="AG494" t="str">
        <v>2022/05/26</v>
      </c>
      <c r="AH494" t="str">
        <v>2022/12/22</v>
      </c>
    </row>
    <row r="495" spans="1:34" x14ac:dyDescent="0.3">
      <c r="A495" t="str">
        <f t="array" ref="A495:J495">[1]!'4942.TW-ID,Name,MarketValue,Capital,NetIncomeGrowthRate,OperIncomeGrowthRate,FinancialStatementsTime,TFXRatio,MonthlyNetSalesYoY,RevenueMonth'</f>
        <v>4942</v>
      </c>
      <c r="B495" t="str">
        <v>嘉彰</v>
      </c>
      <c r="C495" t="str">
        <v>50.8</v>
      </c>
      <c r="D495" t="str">
        <v>14.24</v>
      </c>
      <c r="E495" t="str">
        <v>-14.20</v>
      </c>
      <c r="F495" t="str">
        <v>-23.20</v>
      </c>
      <c r="G495" t="str">
        <v>2022/09</v>
      </c>
      <c r="H495" t="str">
        <v>9.60</v>
      </c>
      <c r="I495" t="str">
        <v>-27.35</v>
      </c>
      <c r="J495" t="str">
        <v>2022/11</v>
      </c>
      <c r="K495" t="str">
        <f t="array" ref="K495:T495">[1]!'4942.TW-OperatingProfitRatio,Price,PriceChangeRatio,InOutRatioNumber,Value,YearReturn,MonthReturn,WeekReturn,FinanceBalanceDif,ChipsField2'</f>
        <v>10.93</v>
      </c>
      <c r="L495">
        <v>35.700000000000003</v>
      </c>
      <c r="M495">
        <v>0.28000000000000003</v>
      </c>
      <c r="N495" t="str">
        <v>39.02%</v>
      </c>
      <c r="O495" t="str">
        <v>147萬</v>
      </c>
      <c r="P495" t="str">
        <v>-17.97</v>
      </c>
      <c r="Q495" t="str">
        <v>-0.28</v>
      </c>
      <c r="R495" t="str">
        <v>-1.24</v>
      </c>
      <c r="S495">
        <v>-7</v>
      </c>
      <c r="T495">
        <v>0</v>
      </c>
      <c r="U495">
        <f t="array" ref="U495:AD495">[1]!'4942.TW-ChipsField3,ChipsField1,ChipsField25,CashAndStockDividend,CashDividendYieldRate,ProfitFourSeason,ProfitSingle,CName,ExchangeIndustry,CompanyPos'</f>
        <v>-5</v>
      </c>
      <c r="V495">
        <v>-16</v>
      </c>
      <c r="W495" t="str">
        <v>2022/08/25</v>
      </c>
      <c r="X495" t="str">
        <v>3.00</v>
      </c>
      <c r="Y495">
        <v>8.4</v>
      </c>
      <c r="Z495" t="str">
        <v>5.68</v>
      </c>
      <c r="AA495" t="str">
        <v>1.54</v>
      </c>
      <c r="AB495" t="str">
        <v>嘉彰</v>
      </c>
      <c r="AC495" t="str">
        <v>上市光電</v>
      </c>
      <c r="AD495" t="str">
        <v>台灣TFT框架、背板等零組件沖壓廠</v>
      </c>
      <c r="AE495" t="str">
        <f t="array" ref="AE495:AH495">[1]!'4942.TW-CName,InvestorConferenceDate,DateofMeetingofShareHolders,TradingDate'</f>
        <v>嘉彰</v>
      </c>
      <c r="AF495" t="str">
        <v>2022/09/14</v>
      </c>
      <c r="AG495" t="str">
        <v>2022/06/22</v>
      </c>
      <c r="AH495" t="str">
        <v>2022/12/22</v>
      </c>
    </row>
    <row r="496" spans="1:34" x14ac:dyDescent="0.3">
      <c r="A496" t="str">
        <f t="array" ref="A496:J496">[1]!'4956.TW-ID,Name,MarketValue,Capital,NetIncomeGrowthRate,OperIncomeGrowthRate,FinancialStatementsTime,TFXRatio,MonthlyNetSalesYoY,RevenueMonth'</f>
        <v>4956</v>
      </c>
      <c r="B496" t="str">
        <v>光鋐</v>
      </c>
      <c r="C496" t="str">
        <v>14.5</v>
      </c>
      <c r="D496" t="str">
        <v>10.04</v>
      </c>
      <c r="E496" t="str">
        <v>-103.96</v>
      </c>
      <c r="F496" t="str">
        <v>-125.44</v>
      </c>
      <c r="G496" t="str">
        <v>2022/09</v>
      </c>
      <c r="H496" t="str">
        <v>-10.17</v>
      </c>
      <c r="I496" t="str">
        <v>-31.97</v>
      </c>
      <c r="J496" t="str">
        <v>2022/11</v>
      </c>
      <c r="K496" t="str">
        <f t="array" ref="K496:T496">[1]!'4956.TW-OperatingProfitRatio,Price,PriceChangeRatio,InOutRatioNumber,Value,YearReturn,MonthReturn,WeekReturn,FinanceBalanceDif,ChipsField2'</f>
        <v>-3.46</v>
      </c>
      <c r="L496">
        <v>14.45</v>
      </c>
      <c r="M496">
        <v>1.76</v>
      </c>
      <c r="N496" t="str">
        <v>66.83%</v>
      </c>
      <c r="O496" t="str">
        <v>300萬</v>
      </c>
      <c r="P496" t="str">
        <v>-43.10</v>
      </c>
      <c r="Q496" t="str">
        <v>+0.35</v>
      </c>
      <c r="R496" t="str">
        <v>-3.02</v>
      </c>
      <c r="S496">
        <v>9</v>
      </c>
      <c r="T496">
        <v>0</v>
      </c>
      <c r="U496">
        <f t="array" ref="U496:AD496">[1]!'4956.TW-ChipsField3,ChipsField1,ChipsField25,CashAndStockDividend,CashDividendYieldRate,ProfitFourSeason,ProfitSingle,CName,ExchangeIndustry,CompanyPos'</f>
        <v>0</v>
      </c>
      <c r="V496">
        <v>3</v>
      </c>
      <c r="W496" t="str">
        <v>2022/08/24</v>
      </c>
      <c r="X496" t="str">
        <v>0.40</v>
      </c>
      <c r="Y496">
        <v>2.77</v>
      </c>
      <c r="Z496" t="str">
        <v>0.25</v>
      </c>
      <c r="AA496" t="str">
        <v>-0.16</v>
      </c>
      <c r="AB496" t="str">
        <v>光鋐</v>
      </c>
      <c r="AC496" t="str">
        <v>上市光電</v>
      </c>
      <c r="AD496" t="str">
        <v>鴻海集團轉投資的LED磊晶廠</v>
      </c>
      <c r="AE496" t="str">
        <f t="array" ref="AE496:AH496">[1]!'4956.TW-CName,InvestorConferenceDate,DateofMeetingofShareHolders,TradingDate'</f>
        <v>光鋐</v>
      </c>
      <c r="AF496" t="str">
        <v>2022/11/17</v>
      </c>
      <c r="AG496" t="str">
        <v>2022/06/16</v>
      </c>
      <c r="AH496" t="str">
        <v>2022/12/22</v>
      </c>
    </row>
    <row r="497" spans="1:34" x14ac:dyDescent="0.3">
      <c r="A497" t="str">
        <f t="array" ref="A497:J497">[1]!'4960.TW-ID,Name,MarketValue,Capital,NetIncomeGrowthRate,OperIncomeGrowthRate,FinancialStatementsTime,TFXRatio,MonthlyNetSalesYoY,RevenueMonth'</f>
        <v>4960</v>
      </c>
      <c r="B497" t="str">
        <v>誠美材</v>
      </c>
      <c r="C497" t="str">
        <v>65.9</v>
      </c>
      <c r="D497" t="str">
        <v>67.51</v>
      </c>
      <c r="E497" t="str">
        <v>-20.01</v>
      </c>
      <c r="F497" t="str">
        <v>-35.81</v>
      </c>
      <c r="G497" t="str">
        <v>2022/09</v>
      </c>
      <c r="H497" t="str">
        <v>20.73</v>
      </c>
      <c r="I497" t="str">
        <v>-31.23</v>
      </c>
      <c r="J497" t="str">
        <v>2022/11</v>
      </c>
      <c r="K497" t="str">
        <f t="array" ref="K497:T497">[1]!'4960.TW-OperatingProfitRatio,Price,PriceChangeRatio,InOutRatioNumber,Value,YearReturn,MonthReturn,WeekReturn,FinanceBalanceDif,ChipsField2'</f>
        <v>1.32</v>
      </c>
      <c r="L497">
        <v>9.76</v>
      </c>
      <c r="M497">
        <v>1.1399999999999999</v>
      </c>
      <c r="N497" t="str">
        <v>61.54%</v>
      </c>
      <c r="O497" t="str">
        <v>540萬</v>
      </c>
      <c r="P497" t="str">
        <v>-20.22</v>
      </c>
      <c r="Q497" t="str">
        <v>-1.41</v>
      </c>
      <c r="R497" t="str">
        <v>-2.40</v>
      </c>
      <c r="S497">
        <v>22</v>
      </c>
      <c r="T497">
        <v>0</v>
      </c>
      <c r="U497">
        <f t="array" ref="U497:AD497">[1]!'4960.TW-ChipsField3,ChipsField1,ChipsField25,CashAndStockDividend,CashDividendYieldRate,ProfitFourSeason,ProfitSingle,CName,ExchangeIndustry,CompanyPos'</f>
        <v>-6</v>
      </c>
      <c r="V497">
        <v>54</v>
      </c>
      <c r="W497" t="str">
        <v>2022/07/15</v>
      </c>
      <c r="X497" t="str">
        <v>0.50</v>
      </c>
      <c r="Y497">
        <v>5.12</v>
      </c>
      <c r="Z497" t="str">
        <v>0.93</v>
      </c>
      <c r="AA497" t="str">
        <v>0.36</v>
      </c>
      <c r="AB497" t="str">
        <v>誠美材</v>
      </c>
      <c r="AC497" t="str">
        <v>上市光電</v>
      </c>
      <c r="AD497" t="str">
        <v>台灣第二大偏光板供應商</v>
      </c>
      <c r="AE497" t="str">
        <f t="array" ref="AE497:AH497">[1]!'4960.TW-CName,InvestorConferenceDate,DateofMeetingofShareHolders,TradingDate'</f>
        <v>誠美材</v>
      </c>
      <c r="AF497" t="str">
        <v>2022/12/19</v>
      </c>
      <c r="AG497" t="str">
        <v>2022/12/30</v>
      </c>
      <c r="AH497" t="str">
        <v>2022/12/22</v>
      </c>
    </row>
    <row r="498" spans="1:34" x14ac:dyDescent="0.3">
      <c r="A498" t="str">
        <f t="array" ref="A498:J498">[1]!'4976.TW-ID,Name,MarketValue,Capital,NetIncomeGrowthRate,OperIncomeGrowthRate,FinancialStatementsTime,TFXRatio,MonthlyNetSalesYoY,RevenueMonth'</f>
        <v>4976</v>
      </c>
      <c r="B498" t="str">
        <v>佳凌</v>
      </c>
      <c r="C498" t="str">
        <v>52.9</v>
      </c>
      <c r="D498" t="str">
        <v>13.87</v>
      </c>
      <c r="E498" t="str">
        <v>-139.21</v>
      </c>
      <c r="F498" t="str">
        <v>-499.34</v>
      </c>
      <c r="G498" t="str">
        <v>2022/09</v>
      </c>
      <c r="H498" t="str">
        <v>1.77</v>
      </c>
      <c r="I498" t="str">
        <v>-25.51</v>
      </c>
      <c r="J498" t="str">
        <v>2022/11</v>
      </c>
      <c r="K498" t="str">
        <f t="array" ref="K498:T498">[1]!'4976.TW-OperatingProfitRatio,Price,PriceChangeRatio,InOutRatioNumber,Value,YearReturn,MonthReturn,WeekReturn,FinanceBalanceDif,ChipsField2'</f>
        <v>-12.30</v>
      </c>
      <c r="L498">
        <v>38.15</v>
      </c>
      <c r="M498">
        <v>2.2799999999999998</v>
      </c>
      <c r="N498" t="str">
        <v>68.33%</v>
      </c>
      <c r="O498" t="str">
        <v>467萬</v>
      </c>
      <c r="P498" t="str">
        <v>-45.96</v>
      </c>
      <c r="Q498" t="str">
        <v>-1.42</v>
      </c>
      <c r="R498" t="str">
        <v>-2.80</v>
      </c>
      <c r="S498">
        <v>-16</v>
      </c>
      <c r="T498">
        <v>0</v>
      </c>
      <c r="U498">
        <f t="array" ref="U498:AD498">[1]!'4976.TW-ChipsField3,ChipsField1,ChipsField25,CashAndStockDividend,CashDividendYieldRate,ProfitFourSeason,ProfitSingle,CName,ExchangeIndustry,CompanyPos'</f>
        <v>-6</v>
      </c>
      <c r="V498">
        <v>25</v>
      </c>
      <c r="W498" t="str">
        <v>--</v>
      </c>
      <c r="X498" t="str">
        <v>0.00</v>
      </c>
      <c r="Y498">
        <v>0</v>
      </c>
      <c r="Z498" t="str">
        <v>-0.22</v>
      </c>
      <c r="AA498" t="str">
        <v>0.21</v>
      </c>
      <c r="AB498" t="str">
        <v>佳凌</v>
      </c>
      <c r="AC498" t="str">
        <v>上市光電</v>
      </c>
      <c r="AD498" t="str">
        <v>台灣光學鏡片及鏡頭機構組裝供應商</v>
      </c>
      <c r="AE498" t="str">
        <f t="array" ref="AE498:AH498">[1]!'4976.TW-CName,InvestorConferenceDate,DateofMeetingofShareHolders,TradingDate'</f>
        <v>佳凌</v>
      </c>
      <c r="AF498" t="str">
        <v>2022/10/25</v>
      </c>
      <c r="AG498" t="str">
        <v>2022/06/21</v>
      </c>
      <c r="AH498" t="str">
        <v>2022/12/22</v>
      </c>
    </row>
    <row r="499" spans="1:34" x14ac:dyDescent="0.3">
      <c r="A499" t="str">
        <f t="array" ref="A499:J499">[1]!'5234.TW-ID,Name,MarketValue,Capital,NetIncomeGrowthRate,OperIncomeGrowthRate,FinancialStatementsTime,TFXRatio,MonthlyNetSalesYoY,RevenueMonth'</f>
        <v>5234</v>
      </c>
      <c r="B499" t="str">
        <v>達興材料</v>
      </c>
      <c r="C499" t="str">
        <v>68.9</v>
      </c>
      <c r="D499" t="str">
        <v>10.27</v>
      </c>
      <c r="E499" t="str">
        <v>-33.94</v>
      </c>
      <c r="F499" t="str">
        <v>-42.47</v>
      </c>
      <c r="G499" t="str">
        <v>2022/09</v>
      </c>
      <c r="H499" t="str">
        <v>7.60</v>
      </c>
      <c r="I499" t="str">
        <v>-22.09</v>
      </c>
      <c r="J499" t="str">
        <v>2022/11</v>
      </c>
      <c r="K499" t="str">
        <f t="array" ref="K499:T499">[1]!'5234.TW-OperatingProfitRatio,Price,PriceChangeRatio,InOutRatioNumber,Value,YearReturn,MonthReturn,WeekReturn,FinanceBalanceDif,ChipsField2'</f>
        <v>11.23</v>
      </c>
      <c r="L499">
        <v>67.099999999999994</v>
      </c>
      <c r="M499">
        <v>-0.15</v>
      </c>
      <c r="N499" t="str">
        <v>19.72%</v>
      </c>
      <c r="O499" t="str">
        <v>478萬</v>
      </c>
      <c r="P499" t="str">
        <v>-42.44</v>
      </c>
      <c r="Q499" t="str">
        <v>-2.04</v>
      </c>
      <c r="R499" t="str">
        <v>-8.58</v>
      </c>
      <c r="S499">
        <v>-15</v>
      </c>
      <c r="T499">
        <v>0</v>
      </c>
      <c r="U499">
        <f t="array" ref="U499:AD499">[1]!'5234.TW-ChipsField3,ChipsField1,ChipsField25,CashAndStockDividend,CashDividendYieldRate,ProfitFourSeason,ProfitSingle,CName,ExchangeIndustry,CompanyPos'</f>
        <v>-3</v>
      </c>
      <c r="V499">
        <v>-23</v>
      </c>
      <c r="W499" t="str">
        <v>2022/07/04</v>
      </c>
      <c r="X499" t="str">
        <v>5.30</v>
      </c>
      <c r="Y499">
        <v>7.9</v>
      </c>
      <c r="Z499" t="str">
        <v>4.93</v>
      </c>
      <c r="AA499" t="str">
        <v>0.34</v>
      </c>
      <c r="AB499" t="str">
        <v>達興材料</v>
      </c>
      <c r="AC499" t="str">
        <v>上市光電</v>
      </c>
      <c r="AD499" t="str">
        <v>友達為大股東之光電特用化學材料供應商</v>
      </c>
      <c r="AE499" t="str">
        <f t="array" ref="AE499:AH499">[1]!'5234.TW-CName,InvestorConferenceDate,DateofMeetingofShareHolders,TradingDate'</f>
        <v>達興材料</v>
      </c>
      <c r="AF499" t="str">
        <v>2022/12/13</v>
      </c>
      <c r="AG499" t="str">
        <v>2022/06/15</v>
      </c>
      <c r="AH499" t="str">
        <v>2022/12/22</v>
      </c>
    </row>
    <row r="500" spans="1:34" x14ac:dyDescent="0.3">
      <c r="A500" t="str">
        <f t="array" ref="A500:J500">[1]!'5243.TW-ID,Name,MarketValue,Capital,NetIncomeGrowthRate,OperIncomeGrowthRate,FinancialStatementsTime,TFXRatio,MonthlyNetSalesYoY,RevenueMonth'</f>
        <v>5243</v>
      </c>
      <c r="B500" t="str">
        <v>乙盛-KY</v>
      </c>
      <c r="C500" t="str">
        <v>99.4</v>
      </c>
      <c r="D500" t="str">
        <v>16.85</v>
      </c>
      <c r="E500" t="str">
        <v>60.78</v>
      </c>
      <c r="F500" t="str">
        <v>9.80</v>
      </c>
      <c r="G500" t="str">
        <v>2022/09</v>
      </c>
      <c r="H500" t="str">
        <v>-10.28</v>
      </c>
      <c r="I500" t="str">
        <v>14.20</v>
      </c>
      <c r="J500" t="str">
        <v>2022/11</v>
      </c>
      <c r="K500" t="str">
        <f t="array" ref="K500:T500">[1]!'5243.TW-OperatingProfitRatio,Price,PriceChangeRatio,InOutRatioNumber,Value,YearReturn,MonthReturn,WeekReturn,FinanceBalanceDif,ChipsField2'</f>
        <v>4.89</v>
      </c>
      <c r="L500">
        <v>59</v>
      </c>
      <c r="M500">
        <v>1.2</v>
      </c>
      <c r="N500" t="str">
        <v>49.71%</v>
      </c>
      <c r="O500" t="str">
        <v>5322萬</v>
      </c>
      <c r="P500" t="str">
        <v>-6.49</v>
      </c>
      <c r="Q500" t="str">
        <v>+2.08</v>
      </c>
      <c r="R500" t="str">
        <v>-3.75</v>
      </c>
      <c r="S500">
        <v>83</v>
      </c>
      <c r="T500">
        <v>0</v>
      </c>
      <c r="U500">
        <f t="array" ref="U500:AD500">[1]!'5243.TW-ChipsField3,ChipsField1,ChipsField25,CashAndStockDividend,CashDividendYieldRate,ProfitFourSeason,ProfitSingle,CName,ExchangeIndustry,CompanyPos'</f>
        <v>-137</v>
      </c>
      <c r="V500">
        <v>-539</v>
      </c>
      <c r="W500" t="str">
        <v>2022/08/26</v>
      </c>
      <c r="X500" t="str">
        <v>1.40</v>
      </c>
      <c r="Y500">
        <v>2.37</v>
      </c>
      <c r="Z500" t="str">
        <v>4.06</v>
      </c>
      <c r="AA500" t="str">
        <v>1.65</v>
      </c>
      <c r="AB500" t="str">
        <v>乙盛-KY</v>
      </c>
      <c r="AC500" t="str">
        <v>上市光電</v>
      </c>
      <c r="AD500" t="str">
        <v>鴻海轉投資的消費性電子機構件廠</v>
      </c>
      <c r="AE500" t="str">
        <f t="array" ref="AE500:AH500">[1]!'5243.TW-CName,InvestorConferenceDate,DateofMeetingofShareHolders,TradingDate'</f>
        <v>乙盛-KY</v>
      </c>
      <c r="AF500" t="str">
        <v>2022/11/15</v>
      </c>
      <c r="AG500" t="str">
        <v>2022/06/24</v>
      </c>
      <c r="AH500" t="str">
        <v>2022/12/22</v>
      </c>
    </row>
    <row r="501" spans="1:34" x14ac:dyDescent="0.3">
      <c r="A501" t="str">
        <f t="array" ref="A501:J501">[1]!'5244.TW-ID,Name,MarketValue,Capital,NetIncomeGrowthRate,OperIncomeGrowthRate,FinancialStatementsTime,TFXRatio,MonthlyNetSalesYoY,RevenueMonth'</f>
        <v>5244</v>
      </c>
      <c r="B501" t="str">
        <v>弘凱</v>
      </c>
      <c r="C501" t="str">
        <v>18.6</v>
      </c>
      <c r="D501" t="str">
        <v>6.79</v>
      </c>
      <c r="E501" t="str">
        <v>-44.34</v>
      </c>
      <c r="F501" t="str">
        <v>-49.57</v>
      </c>
      <c r="G501" t="str">
        <v>2022/09</v>
      </c>
      <c r="H501" t="str">
        <v>27.45</v>
      </c>
      <c r="I501" t="str">
        <v>-17.52</v>
      </c>
      <c r="J501" t="str">
        <v>2022/11</v>
      </c>
      <c r="K501" t="str">
        <f t="array" ref="K501:T501">[1]!'5244.TW-OperatingProfitRatio,Price,PriceChangeRatio,InOutRatioNumber,Value,YearReturn,MonthReturn,WeekReturn,FinanceBalanceDif,ChipsField2'</f>
        <v>18.84</v>
      </c>
      <c r="L501">
        <v>27.4</v>
      </c>
      <c r="M501">
        <v>1.67</v>
      </c>
      <c r="N501" t="str">
        <v>31.76%</v>
      </c>
      <c r="O501" t="str">
        <v>231萬</v>
      </c>
      <c r="P501" t="str">
        <v>--</v>
      </c>
      <c r="Q501" t="str">
        <v>+16.35</v>
      </c>
      <c r="R501" t="str">
        <v>-0.36</v>
      </c>
      <c r="S501">
        <v>-16</v>
      </c>
      <c r="T501">
        <v>0</v>
      </c>
      <c r="U501">
        <f t="array" ref="U501:AD501">[1]!'5244.TW-ChipsField3,ChipsField1,ChipsField25,CashAndStockDividend,CashDividendYieldRate,ProfitFourSeason,ProfitSingle,CName,ExchangeIndustry,CompanyPos'</f>
        <v>0</v>
      </c>
      <c r="V501">
        <v>7</v>
      </c>
      <c r="W501" t="str">
        <v>2022/06/24</v>
      </c>
      <c r="X501" t="str">
        <v>3.00</v>
      </c>
      <c r="Y501">
        <v>10.95</v>
      </c>
      <c r="Z501" t="str">
        <v>3.15</v>
      </c>
      <c r="AA501" t="str">
        <v>0.40</v>
      </c>
      <c r="AB501" t="str">
        <v>弘凱</v>
      </c>
      <c r="AC501" t="str">
        <v>上市光電</v>
      </c>
      <c r="AD501" t="str">
        <v>LED產品主要應用於高端消費及車燈市場</v>
      </c>
      <c r="AE501" t="str">
        <f t="array" ref="AE501:AH501">[1]!'5244.TW-CName,InvestorConferenceDate,DateofMeetingofShareHolders,TradingDate'</f>
        <v>弘凱</v>
      </c>
      <c r="AF501" t="str">
        <v>2022/11/25</v>
      </c>
      <c r="AG501" t="str">
        <v>2022/05/27</v>
      </c>
      <c r="AH501" t="str">
        <v>2022/12/22</v>
      </c>
    </row>
    <row r="502" spans="1:34" x14ac:dyDescent="0.3">
      <c r="A502" t="str">
        <f t="array" ref="A502:J502">[1]!'5484.TW-ID,Name,MarketValue,Capital,NetIncomeGrowthRate,OperIncomeGrowthRate,FinancialStatementsTime,TFXRatio,MonthlyNetSalesYoY,RevenueMonth'</f>
        <v>5484</v>
      </c>
      <c r="B502" t="str">
        <v>慧友</v>
      </c>
      <c r="C502" t="str">
        <v>9.1</v>
      </c>
      <c r="D502" t="str">
        <v>6.68</v>
      </c>
      <c r="E502" t="str">
        <v>-143.12</v>
      </c>
      <c r="F502" t="str">
        <v>-191.75</v>
      </c>
      <c r="G502" t="str">
        <v>2022/09</v>
      </c>
      <c r="H502" t="str">
        <v>11.10</v>
      </c>
      <c r="I502" t="str">
        <v>54.95</v>
      </c>
      <c r="J502" t="str">
        <v>2022/11</v>
      </c>
      <c r="K502" t="str">
        <f t="array" ref="K502:T502">[1]!'5484.TW-OperatingProfitRatio,Price,PriceChangeRatio,InOutRatioNumber,Value,YearReturn,MonthReturn,WeekReturn,FinanceBalanceDif,ChipsField2'</f>
        <v>-21.85</v>
      </c>
      <c r="L502">
        <v>13.55</v>
      </c>
      <c r="M502">
        <v>1.5</v>
      </c>
      <c r="N502" t="str">
        <v>100.00%</v>
      </c>
      <c r="O502" t="str">
        <v>5.41萬</v>
      </c>
      <c r="P502" t="str">
        <v>-16.10</v>
      </c>
      <c r="Q502" t="str">
        <v>+6.27</v>
      </c>
      <c r="R502" t="str">
        <v>-0.73</v>
      </c>
      <c r="S502">
        <v>0</v>
      </c>
      <c r="T502">
        <v>0</v>
      </c>
      <c r="U502">
        <f t="array" ref="U502:AD502">[1]!'5484.TW-ChipsField3,ChipsField1,ChipsField25,CashAndStockDividend,CashDividendYieldRate,ProfitFourSeason,ProfitSingle,CName,ExchangeIndustry,CompanyPos'</f>
        <v>0</v>
      </c>
      <c r="V502">
        <v>0</v>
      </c>
      <c r="W502" t="str">
        <v>--</v>
      </c>
      <c r="X502" t="str">
        <v>0.00</v>
      </c>
      <c r="Y502">
        <v>0</v>
      </c>
      <c r="Z502" t="str">
        <v>-1.33</v>
      </c>
      <c r="AA502" t="str">
        <v>-0.01</v>
      </c>
      <c r="AB502" t="str">
        <v>慧友</v>
      </c>
      <c r="AC502" t="str">
        <v>上市光電</v>
      </c>
      <c r="AD502" t="str">
        <v>台灣DVR領導廠商</v>
      </c>
      <c r="AE502" t="str">
        <f t="array" ref="AE502:AH502">[1]!'5484.TW-CName,InvestorConferenceDate,DateofMeetingofShareHolders,TradingDate'</f>
        <v>慧友</v>
      </c>
      <c r="AF502" t="str">
        <v>2022/11/30</v>
      </c>
      <c r="AG502" t="str">
        <v>2022/06/15</v>
      </c>
      <c r="AH502" t="str">
        <v>2022/12/22</v>
      </c>
    </row>
    <row r="503" spans="1:34" x14ac:dyDescent="0.3">
      <c r="A503" t="str">
        <f t="array" ref="A503:J503">[1]!'6116.TW-ID,Name,MarketValue,Capital,NetIncomeGrowthRate,OperIncomeGrowthRate,FinancialStatementsTime,TFXRatio,MonthlyNetSalesYoY,RevenueMonth'</f>
        <v>6116</v>
      </c>
      <c r="B503" t="str">
        <v>彩晶</v>
      </c>
      <c r="C503" t="str">
        <v>323.4</v>
      </c>
      <c r="D503" t="str">
        <v>294.03</v>
      </c>
      <c r="E503" t="str">
        <v>-110.93</v>
      </c>
      <c r="F503" t="str">
        <v>-102.52</v>
      </c>
      <c r="G503" t="str">
        <v>2022/09</v>
      </c>
      <c r="H503" t="str">
        <v>1.55</v>
      </c>
      <c r="I503" t="str">
        <v>-30.54</v>
      </c>
      <c r="J503" t="str">
        <v>2022/11</v>
      </c>
      <c r="K503" t="str">
        <f t="array" ref="K503:T503">[1]!'6116.TW-OperatingProfitRatio,Price,PriceChangeRatio,InOutRatioNumber,Value,YearReturn,MonthReturn,WeekReturn,FinanceBalanceDif,ChipsField2'</f>
        <v>-1.41</v>
      </c>
      <c r="L503">
        <v>11</v>
      </c>
      <c r="M503">
        <v>2.33</v>
      </c>
      <c r="N503" t="str">
        <v>62.70%</v>
      </c>
      <c r="O503" t="str">
        <v>5698萬</v>
      </c>
      <c r="P503" t="str">
        <v>-30.56</v>
      </c>
      <c r="Q503" t="str">
        <v>-3.93</v>
      </c>
      <c r="R503" t="str">
        <v>-1.35</v>
      </c>
      <c r="S503">
        <v>125</v>
      </c>
      <c r="T503">
        <v>0</v>
      </c>
      <c r="U503">
        <f t="array" ref="U503:AD503">[1]!'6116.TW-ChipsField3,ChipsField1,ChipsField25,CashAndStockDividend,CashDividendYieldRate,ProfitFourSeason,ProfitSingle,CName,ExchangeIndustry,CompanyPos'</f>
        <v>-7</v>
      </c>
      <c r="V503">
        <v>-1226</v>
      </c>
      <c r="W503" t="str">
        <v>2022/06/16</v>
      </c>
      <c r="X503" t="str">
        <v>1.00</v>
      </c>
      <c r="Y503">
        <v>9.09</v>
      </c>
      <c r="Z503" t="str">
        <v>0.12</v>
      </c>
      <c r="AA503" t="str">
        <v>-0.13</v>
      </c>
      <c r="AB503" t="str">
        <v>彩晶</v>
      </c>
      <c r="AC503" t="str">
        <v>上市光電</v>
      </c>
      <c r="AD503" t="str">
        <v>台灣中小尺寸面板供應商，及觸控面板廠商</v>
      </c>
      <c r="AE503" t="str">
        <f t="array" ref="AE503:AH503">[1]!'6116.TW-CName,InvestorConferenceDate,DateofMeetingofShareHolders,TradingDate'</f>
        <v>彩晶</v>
      </c>
      <c r="AF503" t="str">
        <v>2022/08/18</v>
      </c>
      <c r="AG503" t="str">
        <v>2022/05/26</v>
      </c>
      <c r="AH503" t="str">
        <v>2022/12/22</v>
      </c>
    </row>
    <row r="504" spans="1:34" x14ac:dyDescent="0.3">
      <c r="A504" t="str">
        <f t="array" ref="A504:J504">[1]!'6120.TW-ID,Name,MarketValue,Capital,NetIncomeGrowthRate,OperIncomeGrowthRate,FinancialStatementsTime,TFXRatio,MonthlyNetSalesYoY,RevenueMonth'</f>
        <v>6120</v>
      </c>
      <c r="B504" t="str">
        <v>達運</v>
      </c>
      <c r="C504" t="str">
        <v>58.8</v>
      </c>
      <c r="D504" t="str">
        <v>66.56</v>
      </c>
      <c r="E504" t="str">
        <v>62.62</v>
      </c>
      <c r="F504" t="str">
        <v>12.37</v>
      </c>
      <c r="G504" t="str">
        <v>2022/09</v>
      </c>
      <c r="H504" t="str">
        <v>33.50</v>
      </c>
      <c r="I504" t="str">
        <v>-41.82</v>
      </c>
      <c r="J504" t="str">
        <v>2022/11</v>
      </c>
      <c r="K504" t="str">
        <f t="array" ref="K504:T504">[1]!'6120.TW-OperatingProfitRatio,Price,PriceChangeRatio,InOutRatioNumber,Value,YearReturn,MonthReturn,WeekReturn,FinanceBalanceDif,ChipsField2'</f>
        <v>-7.76</v>
      </c>
      <c r="L504">
        <v>8.84</v>
      </c>
      <c r="M504">
        <v>0.11</v>
      </c>
      <c r="N504" t="str">
        <v>58.29%</v>
      </c>
      <c r="O504" t="str">
        <v>331萬</v>
      </c>
      <c r="P504" t="str">
        <v>-36.63</v>
      </c>
      <c r="Q504" t="str">
        <v>-3.49</v>
      </c>
      <c r="R504" t="str">
        <v>-2.64</v>
      </c>
      <c r="S504">
        <v>232</v>
      </c>
      <c r="T504">
        <v>0</v>
      </c>
      <c r="U504">
        <f t="array" ref="U504:AD504">[1]!'6120.TW-ChipsField3,ChipsField1,ChipsField25,CashAndStockDividend,CashDividendYieldRate,ProfitFourSeason,ProfitSingle,CName,ExchangeIndustry,CompanyPos'</f>
        <v>0</v>
      </c>
      <c r="V504">
        <v>-265</v>
      </c>
      <c r="W504" t="str">
        <v>--</v>
      </c>
      <c r="X504" t="str">
        <v>0.00</v>
      </c>
      <c r="Y504">
        <v>0</v>
      </c>
      <c r="Z504" t="str">
        <v>-0.28</v>
      </c>
      <c r="AA504" t="str">
        <v>-0.23</v>
      </c>
      <c r="AB504" t="str">
        <v>達運</v>
      </c>
      <c r="AC504" t="str">
        <v>上市光電</v>
      </c>
      <c r="AD504" t="str">
        <v>友達旗下背光模組零組件供應商</v>
      </c>
      <c r="AE504" t="str">
        <f t="array" ref="AE504:AH504">[1]!'6120.TW-CName,InvestorConferenceDate,DateofMeetingofShareHolders,TradingDate'</f>
        <v>達運</v>
      </c>
      <c r="AF504" t="str">
        <v>2022/10/04</v>
      </c>
      <c r="AG504" t="str">
        <v>2022/06/15</v>
      </c>
      <c r="AH504" t="str">
        <v>2022/12/22</v>
      </c>
    </row>
    <row r="505" spans="1:34" x14ac:dyDescent="0.3">
      <c r="A505" t="str">
        <f t="array" ref="A505:J505">[1]!'6164.TW-ID,Name,MarketValue,Capital,NetIncomeGrowthRate,OperIncomeGrowthRate,FinancialStatementsTime,TFXRatio,MonthlyNetSalesYoY,RevenueMonth'</f>
        <v>6164</v>
      </c>
      <c r="B505" t="str">
        <v>華興</v>
      </c>
      <c r="C505" t="str">
        <v>10.1</v>
      </c>
      <c r="D505" t="str">
        <v>10.00</v>
      </c>
      <c r="E505" t="str">
        <v>111.44</v>
      </c>
      <c r="F505" t="str">
        <v>-689.28</v>
      </c>
      <c r="G505" t="str">
        <v>2022/09</v>
      </c>
      <c r="H505" t="str">
        <v>1.44</v>
      </c>
      <c r="I505" t="str">
        <v>-37.72</v>
      </c>
      <c r="J505" t="str">
        <v>2022/11</v>
      </c>
      <c r="K505" t="str">
        <f t="array" ref="K505:T505">[1]!'6164.TW-OperatingProfitRatio,Price,PriceChangeRatio,InOutRatioNumber,Value,YearReturn,MonthReturn,WeekReturn,FinanceBalanceDif,ChipsField2'</f>
        <v>-4.14</v>
      </c>
      <c r="L505">
        <v>10.1</v>
      </c>
      <c r="M505">
        <v>1.3</v>
      </c>
      <c r="N505" t="str">
        <v>63.95%</v>
      </c>
      <c r="O505" t="str">
        <v>92.8萬</v>
      </c>
      <c r="P505" t="str">
        <v>-37.07</v>
      </c>
      <c r="Q505" t="str">
        <v>+1.92</v>
      </c>
      <c r="R505" t="str">
        <v>-4.27</v>
      </c>
      <c r="S505">
        <v>-27</v>
      </c>
      <c r="T505">
        <v>0</v>
      </c>
      <c r="U505">
        <f t="array" ref="U505:AD505">[1]!'6164.TW-ChipsField3,ChipsField1,ChipsField25,CashAndStockDividend,CashDividendYieldRate,ProfitFourSeason,ProfitSingle,CName,ExchangeIndustry,CompanyPos'</f>
        <v>0</v>
      </c>
      <c r="V505">
        <v>9</v>
      </c>
      <c r="W505" t="str">
        <v>--</v>
      </c>
      <c r="X505" t="str">
        <v>0.00</v>
      </c>
      <c r="Y505">
        <v>0</v>
      </c>
      <c r="Z505" t="str">
        <v>0.25</v>
      </c>
      <c r="AA505" t="str">
        <v>0.10</v>
      </c>
      <c r="AB505" t="str">
        <v>華興</v>
      </c>
      <c r="AC505" t="str">
        <v>上市光電</v>
      </c>
      <c r="AD505" t="str">
        <v>台灣LED照明元件及模組廠</v>
      </c>
      <c r="AE505" t="str">
        <f t="array" ref="AE505:AH505">[1]!'6164.TW-CName,InvestorConferenceDate,DateofMeetingofShareHolders,TradingDate'</f>
        <v>華興</v>
      </c>
      <c r="AF505" t="str">
        <v>2022/12/16</v>
      </c>
      <c r="AG505" t="str">
        <v>2022/06/08</v>
      </c>
      <c r="AH505" t="str">
        <v>2022/12/22</v>
      </c>
    </row>
    <row r="506" spans="1:34" x14ac:dyDescent="0.3">
      <c r="A506" t="str">
        <f t="array" ref="A506:J506">[1]!'6168.TW-ID,Name,MarketValue,Capital,NetIncomeGrowthRate,OperIncomeGrowthRate,FinancialStatementsTime,TFXRatio,MonthlyNetSalesYoY,RevenueMonth'</f>
        <v>6168</v>
      </c>
      <c r="B506" t="str">
        <v>宏齊</v>
      </c>
      <c r="C506" t="str">
        <v>36.5</v>
      </c>
      <c r="D506" t="str">
        <v>20.61</v>
      </c>
      <c r="E506" t="str">
        <v>9.91</v>
      </c>
      <c r="F506" t="str">
        <v>-42.05</v>
      </c>
      <c r="G506" t="str">
        <v>2022/09</v>
      </c>
      <c r="H506" t="str">
        <v>-9.33</v>
      </c>
      <c r="I506" t="str">
        <v>-30.74</v>
      </c>
      <c r="J506" t="str">
        <v>2022/11</v>
      </c>
      <c r="K506" t="str">
        <f t="array" ref="K506:T506">[1]!'6168.TW-OperatingProfitRatio,Price,PriceChangeRatio,InOutRatioNumber,Value,YearReturn,MonthReturn,WeekReturn,FinanceBalanceDif,ChipsField2'</f>
        <v>10.31</v>
      </c>
      <c r="L506">
        <v>17.7</v>
      </c>
      <c r="M506">
        <v>0.56999999999999995</v>
      </c>
      <c r="N506" t="str">
        <v>54.32%</v>
      </c>
      <c r="O506" t="str">
        <v>287萬</v>
      </c>
      <c r="P506" t="str">
        <v>-29.58</v>
      </c>
      <c r="Q506" t="str">
        <v>-0.56</v>
      </c>
      <c r="R506" t="str">
        <v>-4.07</v>
      </c>
      <c r="S506">
        <v>-400</v>
      </c>
      <c r="T506">
        <v>0</v>
      </c>
      <c r="U506">
        <f t="array" ref="U506:AD506">[1]!'6168.TW-ChipsField3,ChipsField1,ChipsField25,CashAndStockDividend,CashDividendYieldRate,ProfitFourSeason,ProfitSingle,CName,ExchangeIndustry,CompanyPos'</f>
        <v>-10</v>
      </c>
      <c r="V506">
        <v>-1</v>
      </c>
      <c r="W506" t="str">
        <v>2022/08/26</v>
      </c>
      <c r="X506" t="str">
        <v>1.50</v>
      </c>
      <c r="Y506">
        <v>8.4700000000000006</v>
      </c>
      <c r="Z506" t="str">
        <v>1.86</v>
      </c>
      <c r="AA506" t="str">
        <v>0.48</v>
      </c>
      <c r="AB506" t="str">
        <v>宏齊</v>
      </c>
      <c r="AC506" t="str">
        <v>上市光電</v>
      </c>
      <c r="AD506" t="str">
        <v>專為Avago及Osram代工之LED封裝廠</v>
      </c>
      <c r="AE506" t="str">
        <f t="array" ref="AE506:AH506">[1]!'6168.TW-CName,InvestorConferenceDate,DateofMeetingofShareHolders,TradingDate'</f>
        <v>宏齊</v>
      </c>
      <c r="AF506" t="str">
        <v>2022/12/07</v>
      </c>
      <c r="AG506" t="str">
        <v>2022/06/29</v>
      </c>
      <c r="AH506" t="str">
        <v>2022/12/22</v>
      </c>
    </row>
    <row r="507" spans="1:34" x14ac:dyDescent="0.3">
      <c r="A507" t="str">
        <f t="array" ref="A507:J507">[1]!'6176.TW-ID,Name,MarketValue,Capital,NetIncomeGrowthRate,OperIncomeGrowthRate,FinancialStatementsTime,TFXRatio,MonthlyNetSalesYoY,RevenueMonth'</f>
        <v>6176</v>
      </c>
      <c r="B507" t="str">
        <v>瑞儀</v>
      </c>
      <c r="C507" t="str">
        <v>490.6</v>
      </c>
      <c r="D507" t="str">
        <v>46.50</v>
      </c>
      <c r="E507" t="str">
        <v>31.97</v>
      </c>
      <c r="F507" t="str">
        <v>6.87</v>
      </c>
      <c r="G507" t="str">
        <v>2022/09</v>
      </c>
      <c r="H507" t="str">
        <v>-15.21</v>
      </c>
      <c r="I507" t="str">
        <v>3.35</v>
      </c>
      <c r="J507" t="str">
        <v>2022/11</v>
      </c>
      <c r="K507" t="str">
        <f t="array" ref="K507:T507">[1]!'6176.TW-OperatingProfitRatio,Price,PriceChangeRatio,InOutRatioNumber,Value,YearReturn,MonthReturn,WeekReturn,FinanceBalanceDif,ChipsField2'</f>
        <v>13.43</v>
      </c>
      <c r="L507">
        <v>105.5</v>
      </c>
      <c r="M507">
        <v>-0.94</v>
      </c>
      <c r="N507" t="str">
        <v>35.18%</v>
      </c>
      <c r="O507" t="str">
        <v>3.89億</v>
      </c>
      <c r="P507" t="str">
        <v>+16.08</v>
      </c>
      <c r="Q507" t="str">
        <v>+3.43</v>
      </c>
      <c r="R507" t="str">
        <v>+1.93</v>
      </c>
      <c r="S507">
        <v>6</v>
      </c>
      <c r="T507">
        <v>-329</v>
      </c>
      <c r="U507">
        <f t="array" ref="U507:AD507">[1]!'6176.TW-ChipsField3,ChipsField1,ChipsField25,CashAndStockDividend,CashDividendYieldRate,ProfitFourSeason,ProfitSingle,CName,ExchangeIndustry,CompanyPos'</f>
        <v>-16</v>
      </c>
      <c r="V507">
        <v>296</v>
      </c>
      <c r="W507" t="str">
        <v>2022/06/24</v>
      </c>
      <c r="X507" t="str">
        <v>8.00</v>
      </c>
      <c r="Y507">
        <v>7.58</v>
      </c>
      <c r="Z507" t="str">
        <v>14.07</v>
      </c>
      <c r="AA507" t="str">
        <v>3.96</v>
      </c>
      <c r="AB507" t="str">
        <v>瑞儀</v>
      </c>
      <c r="AC507" t="str">
        <v>上市光電</v>
      </c>
      <c r="AD507" t="str">
        <v>全球最大背光模組(BLU)廠</v>
      </c>
      <c r="AE507" t="str">
        <f t="array" ref="AE507:AH507">[1]!'6176.TW-CName,InvestorConferenceDate,DateofMeetingofShareHolders,TradingDate'</f>
        <v>瑞儀</v>
      </c>
      <c r="AF507" t="str">
        <v>2022/04/28</v>
      </c>
      <c r="AG507" t="str">
        <v>2022/05/26</v>
      </c>
      <c r="AH507" t="str">
        <v>2022/12/22</v>
      </c>
    </row>
    <row r="508" spans="1:34" x14ac:dyDescent="0.3">
      <c r="A508" t="str">
        <f t="array" ref="A508:J508">[1]!'6209.TW-ID,Name,MarketValue,Capital,NetIncomeGrowthRate,OperIncomeGrowthRate,FinancialStatementsTime,TFXRatio,MonthlyNetSalesYoY,RevenueMonth'</f>
        <v>6209</v>
      </c>
      <c r="B508" t="str">
        <v>今國光</v>
      </c>
      <c r="C508" t="str">
        <v>44.5</v>
      </c>
      <c r="D508" t="str">
        <v>17.42</v>
      </c>
      <c r="E508" t="str">
        <v>128.03</v>
      </c>
      <c r="F508" t="str">
        <v>49.89</v>
      </c>
      <c r="G508" t="str">
        <v>2022/09</v>
      </c>
      <c r="H508" t="str">
        <v>-17.49</v>
      </c>
      <c r="I508" t="str">
        <v>-35.40</v>
      </c>
      <c r="J508" t="str">
        <v>2022/11</v>
      </c>
      <c r="K508" t="str">
        <f t="array" ref="K508:T508">[1]!'6209.TW-OperatingProfitRatio,Price,PriceChangeRatio,InOutRatioNumber,Value,YearReturn,MonthReturn,WeekReturn,FinanceBalanceDif,ChipsField2'</f>
        <v>-4.03</v>
      </c>
      <c r="L508">
        <v>25.55</v>
      </c>
      <c r="M508">
        <v>0.59</v>
      </c>
      <c r="N508" t="str">
        <v>55.24%</v>
      </c>
      <c r="O508" t="str">
        <v>736萬</v>
      </c>
      <c r="P508" t="str">
        <v>-27.51</v>
      </c>
      <c r="Q508" t="str">
        <v>-4.84</v>
      </c>
      <c r="R508" t="str">
        <v>-3.40</v>
      </c>
      <c r="S508">
        <v>19</v>
      </c>
      <c r="T508">
        <v>0</v>
      </c>
      <c r="U508">
        <f t="array" ref="U508:AD508">[1]!'6209.TW-ChipsField3,ChipsField1,ChipsField25,CashAndStockDividend,CashDividendYieldRate,ProfitFourSeason,ProfitSingle,CName,ExchangeIndustry,CompanyPos'</f>
        <v>-7</v>
      </c>
      <c r="V508">
        <v>12</v>
      </c>
      <c r="W508" t="str">
        <v>2022/08/03</v>
      </c>
      <c r="X508" t="str">
        <v>0.50</v>
      </c>
      <c r="Y508">
        <v>1.96</v>
      </c>
      <c r="Z508" t="str">
        <v>0.38</v>
      </c>
      <c r="AA508" t="str">
        <v>0.20</v>
      </c>
      <c r="AB508" t="str">
        <v>今國光</v>
      </c>
      <c r="AC508" t="str">
        <v>上市光電</v>
      </c>
      <c r="AD508" t="str">
        <v>台灣光學鏡片、鏡頭製造商</v>
      </c>
      <c r="AE508" t="str">
        <f t="array" ref="AE508:AH508">[1]!'6209.TW-CName,InvestorConferenceDate,DateofMeetingofShareHolders,TradingDate'</f>
        <v>今國光</v>
      </c>
      <c r="AF508" t="str">
        <v>2022/11/17</v>
      </c>
      <c r="AG508" t="str">
        <v>2022/06/17</v>
      </c>
      <c r="AH508" t="str">
        <v>2022/12/22</v>
      </c>
    </row>
    <row r="509" spans="1:34" x14ac:dyDescent="0.3">
      <c r="A509" t="str">
        <f t="array" ref="A509:J509">[1]!'6225.TW-ID,Name,MarketValue,Capital,NetIncomeGrowthRate,OperIncomeGrowthRate,FinancialStatementsTime,TFXRatio,MonthlyNetSalesYoY,RevenueMonth'</f>
        <v>6225</v>
      </c>
      <c r="B509" t="str">
        <v>天瀚</v>
      </c>
      <c r="C509" t="str">
        <v>2.0</v>
      </c>
      <c r="D509" t="str">
        <v>2.00</v>
      </c>
      <c r="E509" t="str">
        <v>18.14</v>
      </c>
      <c r="F509" t="str">
        <v>44.49</v>
      </c>
      <c r="G509" t="str">
        <v>2022/09</v>
      </c>
      <c r="H509" t="str">
        <v>63.06</v>
      </c>
      <c r="I509" t="str">
        <v>-27.85</v>
      </c>
      <c r="J509" t="str">
        <v>2022/11</v>
      </c>
      <c r="K509" t="str">
        <f t="array" ref="K509:T509">[1]!'6225.TW-OperatingProfitRatio,Price,PriceChangeRatio,InOutRatioNumber,Value,YearReturn,MonthReturn,WeekReturn,FinanceBalanceDif,ChipsField2'</f>
        <v>-11.72</v>
      </c>
      <c r="L509">
        <v>10.050000000000001</v>
      </c>
      <c r="M509">
        <v>-1.47</v>
      </c>
      <c r="N509" t="str">
        <v>--</v>
      </c>
      <c r="O509" t="str">
        <v>3.02萬</v>
      </c>
      <c r="P509" t="str">
        <v>-34.39</v>
      </c>
      <c r="Q509" t="str">
        <v>-2.28</v>
      </c>
      <c r="R509" t="str">
        <v>-4.29</v>
      </c>
      <c r="S509">
        <v>0</v>
      </c>
      <c r="T509">
        <v>0</v>
      </c>
      <c r="U509">
        <f t="array" ref="U509:AD509">[1]!'6225.TW-ChipsField3,ChipsField1,ChipsField25,CashAndStockDividend,CashDividendYieldRate,ProfitFourSeason,ProfitSingle,CName,ExchangeIndustry,CompanyPos'</f>
        <v>0</v>
      </c>
      <c r="V509">
        <v>0</v>
      </c>
      <c r="W509" t="str">
        <v>--</v>
      </c>
      <c r="X509" t="str">
        <v>0.00</v>
      </c>
      <c r="Y509">
        <v>0</v>
      </c>
      <c r="Z509" t="str">
        <v>-0.07</v>
      </c>
      <c r="AA509" t="str">
        <v>-0.03</v>
      </c>
      <c r="AB509" t="str">
        <v>天瀚</v>
      </c>
      <c r="AC509" t="str">
        <v>上市光電</v>
      </c>
      <c r="AD509" t="str">
        <v>機車用行車紀錄器及投影機廠商</v>
      </c>
      <c r="AE509" t="str">
        <f t="array" ref="AE509:AH509">[1]!'6225.TW-CName,InvestorConferenceDate,DateofMeetingofShareHolders,TradingDate'</f>
        <v>天瀚</v>
      </c>
      <c r="AF509" t="str">
        <v>2022/12/21</v>
      </c>
      <c r="AG509" t="str">
        <v>2022/06/16</v>
      </c>
      <c r="AH509" t="str">
        <v>2022/12/22</v>
      </c>
    </row>
    <row r="510" spans="1:34" x14ac:dyDescent="0.3">
      <c r="A510" t="str">
        <f t="array" ref="A510:J510">[1]!'6226.TW-ID,Name,MarketValue,Capital,NetIncomeGrowthRate,OperIncomeGrowthRate,FinancialStatementsTime,TFXRatio,MonthlyNetSalesYoY,RevenueMonth'</f>
        <v>6226</v>
      </c>
      <c r="B510" t="str">
        <v>光鼎</v>
      </c>
      <c r="C510" t="str">
        <v>12.5</v>
      </c>
      <c r="D510" t="str">
        <v>11.66</v>
      </c>
      <c r="E510" t="str">
        <v>48.86</v>
      </c>
      <c r="F510" t="str">
        <v>-172.88</v>
      </c>
      <c r="G510" t="str">
        <v>2022/09</v>
      </c>
      <c r="H510" t="str">
        <v>7.13</v>
      </c>
      <c r="I510" t="str">
        <v>-22.81</v>
      </c>
      <c r="J510" t="str">
        <v>2022/11</v>
      </c>
      <c r="K510" t="str">
        <f t="array" ref="K510:T510">[1]!'6226.TW-OperatingProfitRatio,Price,PriceChangeRatio,InOutRatioNumber,Value,YearReturn,MonthReturn,WeekReturn,FinanceBalanceDif,ChipsField2'</f>
        <v>-2.16</v>
      </c>
      <c r="L510">
        <v>10.7</v>
      </c>
      <c r="M510">
        <v>1.42</v>
      </c>
      <c r="N510" t="str">
        <v>66.14%</v>
      </c>
      <c r="O510" t="str">
        <v>269萬</v>
      </c>
      <c r="P510" t="str">
        <v>-32.94</v>
      </c>
      <c r="Q510" t="str">
        <v>+3.38</v>
      </c>
      <c r="R510" t="str">
        <v>-3.60</v>
      </c>
      <c r="S510">
        <v>-50</v>
      </c>
      <c r="T510">
        <v>0</v>
      </c>
      <c r="U510">
        <f t="array" ref="U510:AD510">[1]!'6226.TW-ChipsField3,ChipsField1,ChipsField25,CashAndStockDividend,CashDividendYieldRate,ProfitFourSeason,ProfitSingle,CName,ExchangeIndustry,CompanyPos'</f>
        <v>-11</v>
      </c>
      <c r="V510">
        <v>41</v>
      </c>
      <c r="W510" t="str">
        <v>2022/08/22</v>
      </c>
      <c r="X510" t="str">
        <v>0.12</v>
      </c>
      <c r="Y510">
        <v>1.1200000000000001</v>
      </c>
      <c r="Z510" t="str">
        <v>0.01</v>
      </c>
      <c r="AA510" t="str">
        <v>0.07</v>
      </c>
      <c r="AB510" t="str">
        <v>光鼎</v>
      </c>
      <c r="AC510" t="str">
        <v>上市光電</v>
      </c>
      <c r="AD510" t="str">
        <v>專注於LED照明市場之封裝業者</v>
      </c>
      <c r="AE510" t="str">
        <f t="array" ref="AE510:AH510">[1]!'6226.TW-CName,InvestorConferenceDate,DateofMeetingofShareHolders,TradingDate'</f>
        <v>光鼎</v>
      </c>
      <c r="AF510" t="str">
        <v>2022/11/24</v>
      </c>
      <c r="AG510" t="str">
        <v>2022/06/08</v>
      </c>
      <c r="AH510" t="str">
        <v>2022/12/22</v>
      </c>
    </row>
    <row r="511" spans="1:34" x14ac:dyDescent="0.3">
      <c r="A511" t="str">
        <f t="array" ref="A511:J511">[1]!'6278.TW-ID,Name,MarketValue,Capital,NetIncomeGrowthRate,OperIncomeGrowthRate,FinancialStatementsTime,TFXRatio,MonthlyNetSalesYoY,RevenueMonth'</f>
        <v>6278</v>
      </c>
      <c r="B511" t="str">
        <v>台表科</v>
      </c>
      <c r="C511" t="str">
        <v>272.5</v>
      </c>
      <c r="D511" t="str">
        <v>29.24</v>
      </c>
      <c r="E511" t="str">
        <v>31.38</v>
      </c>
      <c r="F511" t="str">
        <v>42.37</v>
      </c>
      <c r="G511" t="str">
        <v>2022/09</v>
      </c>
      <c r="H511" t="str">
        <v>0.13</v>
      </c>
      <c r="I511" t="str">
        <v>-9.30</v>
      </c>
      <c r="J511" t="str">
        <v>2022/11</v>
      </c>
      <c r="K511" t="str">
        <f t="array" ref="K511:T511">[1]!'6278.TW-OperatingProfitRatio,Price,PriceChangeRatio,InOutRatioNumber,Value,YearReturn,MonthReturn,WeekReturn,FinanceBalanceDif,ChipsField2'</f>
        <v>8.31</v>
      </c>
      <c r="L511">
        <v>93.2</v>
      </c>
      <c r="M511">
        <v>1.19</v>
      </c>
      <c r="N511" t="str">
        <v>43.85%</v>
      </c>
      <c r="O511" t="str">
        <v>4298萬</v>
      </c>
      <c r="P511" t="str">
        <v>-14.76</v>
      </c>
      <c r="Q511" t="str">
        <v>-0.32</v>
      </c>
      <c r="R511" t="str">
        <v>-4.61</v>
      </c>
      <c r="S511">
        <v>-15</v>
      </c>
      <c r="T511">
        <v>21</v>
      </c>
      <c r="U511">
        <f t="array" ref="U511:AD511">[1]!'6278.TW-ChipsField3,ChipsField1,ChipsField25,CashAndStockDividend,CashDividendYieldRate,ProfitFourSeason,ProfitSingle,CName,ExchangeIndustry,CompanyPos'</f>
        <v>-22</v>
      </c>
      <c r="V511">
        <v>36</v>
      </c>
      <c r="W511" t="str">
        <v>2022/07/14</v>
      </c>
      <c r="X511" t="str">
        <v>6.00</v>
      </c>
      <c r="Y511">
        <v>6.44</v>
      </c>
      <c r="Z511" t="str">
        <v>15.18</v>
      </c>
      <c r="AA511" t="str">
        <v>3.62</v>
      </c>
      <c r="AB511" t="str">
        <v>台表科</v>
      </c>
      <c r="AC511" t="str">
        <v>上市光電</v>
      </c>
      <c r="AD511" t="str">
        <v>全球最大光電產品之SMT代工廠</v>
      </c>
      <c r="AE511" t="str">
        <f t="array" ref="AE511:AH511">[1]!'6278.TW-CName,InvestorConferenceDate,DateofMeetingofShareHolders,TradingDate'</f>
        <v>台表科</v>
      </c>
      <c r="AF511" t="str">
        <v>2022/12/20</v>
      </c>
      <c r="AG511" t="str">
        <v>2022/06/17</v>
      </c>
      <c r="AH511" t="str">
        <v>2022/12/22</v>
      </c>
    </row>
    <row r="512" spans="1:34" x14ac:dyDescent="0.3">
      <c r="A512" t="str">
        <f t="array" ref="A512:J512">[1]!'6405.TW-ID,Name,MarketValue,Capital,NetIncomeGrowthRate,OperIncomeGrowthRate,FinancialStatementsTime,TFXRatio,MonthlyNetSalesYoY,RevenueMonth'</f>
        <v>6405</v>
      </c>
      <c r="B512" t="str">
        <v>悅城</v>
      </c>
      <c r="C512" t="str">
        <v>14.0</v>
      </c>
      <c r="D512" t="str">
        <v>6.58</v>
      </c>
      <c r="E512" t="str">
        <v>-40.93</v>
      </c>
      <c r="F512" t="str">
        <v>-484.02</v>
      </c>
      <c r="G512" t="str">
        <v>2022/09</v>
      </c>
      <c r="H512" t="str">
        <v>15.57</v>
      </c>
      <c r="I512" t="str">
        <v>-41.86</v>
      </c>
      <c r="J512" t="str">
        <v>2022/11</v>
      </c>
      <c r="K512" t="str">
        <f t="array" ref="K512:T512">[1]!'6405.TW-OperatingProfitRatio,Price,PriceChangeRatio,InOutRatioNumber,Value,YearReturn,MonthReturn,WeekReturn,FinanceBalanceDif,ChipsField2'</f>
        <v>-14.76</v>
      </c>
      <c r="L512">
        <v>21.3</v>
      </c>
      <c r="M512">
        <v>0</v>
      </c>
      <c r="N512" t="str">
        <v>90.91%</v>
      </c>
      <c r="O512" t="str">
        <v>25.6萬</v>
      </c>
      <c r="P512" t="str">
        <v>-17.96</v>
      </c>
      <c r="Q512" t="str">
        <v>+5.45</v>
      </c>
      <c r="R512" t="str">
        <v>+0.47</v>
      </c>
      <c r="S512">
        <v>3</v>
      </c>
      <c r="T512">
        <v>0</v>
      </c>
      <c r="U512">
        <f t="array" ref="U512:AD512">[1]!'6405.TW-ChipsField3,ChipsField1,ChipsField25,CashAndStockDividend,CashDividendYieldRate,ProfitFourSeason,ProfitSingle,CName,ExchangeIndustry,CompanyPos'</f>
        <v>0</v>
      </c>
      <c r="V512">
        <v>-1</v>
      </c>
      <c r="W512" t="str">
        <v>2022/07/15</v>
      </c>
      <c r="X512" t="str">
        <v>2.00</v>
      </c>
      <c r="Y512">
        <v>9.39</v>
      </c>
      <c r="Z512" t="str">
        <v>1.03</v>
      </c>
      <c r="AA512" t="str">
        <v>0.46</v>
      </c>
      <c r="AB512" t="str">
        <v>悅城</v>
      </c>
      <c r="AC512" t="str">
        <v>上市光電</v>
      </c>
      <c r="AD512" t="str">
        <v>台灣光電玻璃薄化加工大廠</v>
      </c>
      <c r="AE512" t="str">
        <f t="array" ref="AE512:AH512">[1]!'6405.TW-CName,InvestorConferenceDate,DateofMeetingofShareHolders,TradingDate'</f>
        <v>悅城</v>
      </c>
      <c r="AF512" t="str">
        <v>2022/12/22</v>
      </c>
      <c r="AG512" t="str">
        <v>2022/06/16</v>
      </c>
      <c r="AH512" t="str">
        <v>2022/12/22</v>
      </c>
    </row>
    <row r="513" spans="1:34" x14ac:dyDescent="0.3">
      <c r="A513" t="str">
        <f t="array" ref="A513:J513">[1]!'6443.TW-ID,Name,MarketValue,Capital,NetIncomeGrowthRate,OperIncomeGrowthRate,FinancialStatementsTime,TFXRatio,MonthlyNetSalesYoY,RevenueMonth'</f>
        <v>6443</v>
      </c>
      <c r="B513" t="str">
        <v>元晶</v>
      </c>
      <c r="C513" t="str">
        <v>160.5</v>
      </c>
      <c r="D513" t="str">
        <v>47.63</v>
      </c>
      <c r="E513" t="str">
        <v>133.31</v>
      </c>
      <c r="F513" t="str">
        <v>155.51</v>
      </c>
      <c r="G513" t="str">
        <v>2022/09</v>
      </c>
      <c r="H513" t="str">
        <v>43.13</v>
      </c>
      <c r="I513" t="str">
        <v>13.80</v>
      </c>
      <c r="J513" t="str">
        <v>2022/11</v>
      </c>
      <c r="K513" t="str">
        <f t="array" ref="K513:T513">[1]!'6443.TW-OperatingProfitRatio,Price,PriceChangeRatio,InOutRatioNumber,Value,YearReturn,MonthReturn,WeekReturn,FinanceBalanceDif,ChipsField2'</f>
        <v>1.88</v>
      </c>
      <c r="L513">
        <v>33.700000000000003</v>
      </c>
      <c r="M513">
        <v>3.06</v>
      </c>
      <c r="N513" t="str">
        <v>51.22%</v>
      </c>
      <c r="O513" t="str">
        <v>2.30億</v>
      </c>
      <c r="P513" t="str">
        <v>-19.57</v>
      </c>
      <c r="Q513" t="str">
        <v>+1.05</v>
      </c>
      <c r="R513" t="str">
        <v>-4.80</v>
      </c>
      <c r="S513">
        <v>233</v>
      </c>
      <c r="T513">
        <v>-1000</v>
      </c>
      <c r="U513">
        <f t="array" ref="U513:AD513">[1]!'6443.TW-ChipsField3,ChipsField1,ChipsField25,CashAndStockDividend,CashDividendYieldRate,ProfitFourSeason,ProfitSingle,CName,ExchangeIndustry,CompanyPos'</f>
        <v>-101</v>
      </c>
      <c r="V513">
        <v>-772</v>
      </c>
      <c r="W513" t="str">
        <v>--</v>
      </c>
      <c r="X513" t="str">
        <v>0.00</v>
      </c>
      <c r="Y513">
        <v>0</v>
      </c>
      <c r="Z513" t="str">
        <v>0.69</v>
      </c>
      <c r="AA513" t="str">
        <v>0.05</v>
      </c>
      <c r="AB513" t="str">
        <v>元晶</v>
      </c>
      <c r="AC513" t="str">
        <v>上市光電</v>
      </c>
      <c r="AD513" t="str">
        <v>台灣太陽能模組龍頭廠</v>
      </c>
      <c r="AE513" t="str">
        <f t="array" ref="AE513:AH513">[1]!'6443.TW-CName,InvestorConferenceDate,DateofMeetingofShareHolders,TradingDate'</f>
        <v>元晶</v>
      </c>
      <c r="AF513" t="str">
        <v>2022/09/14</v>
      </c>
      <c r="AG513" t="str">
        <v>2022/06/09</v>
      </c>
      <c r="AH513" t="str">
        <v>2022/12/22</v>
      </c>
    </row>
    <row r="514" spans="1:34" x14ac:dyDescent="0.3">
      <c r="A514" t="str">
        <f t="array" ref="A514:J514">[1]!'6456.TW-ID,Name,MarketValue,Capital,NetIncomeGrowthRate,OperIncomeGrowthRate,FinancialStatementsTime,TFXRatio,MonthlyNetSalesYoY,RevenueMonth'</f>
        <v>6456</v>
      </c>
      <c r="B514" t="str">
        <v>GIS-KY</v>
      </c>
      <c r="C514" t="str">
        <v>312.9</v>
      </c>
      <c r="D514" t="str">
        <v>33.79</v>
      </c>
      <c r="E514" t="str">
        <v>-13.53</v>
      </c>
      <c r="F514" t="str">
        <v>2.59</v>
      </c>
      <c r="G514" t="str">
        <v>2022/09</v>
      </c>
      <c r="H514" t="str">
        <v>-9.19</v>
      </c>
      <c r="I514" t="str">
        <v>7.80</v>
      </c>
      <c r="J514" t="str">
        <v>2022/11</v>
      </c>
      <c r="K514" t="str">
        <f t="array" ref="K514:T514">[1]!'6456.TW-OperatingProfitRatio,Price,PriceChangeRatio,InOutRatioNumber,Value,YearReturn,MonthReturn,WeekReturn,FinanceBalanceDif,ChipsField2'</f>
        <v>2.70</v>
      </c>
      <c r="L514">
        <v>92.6</v>
      </c>
      <c r="M514">
        <v>-0.86</v>
      </c>
      <c r="N514" t="str">
        <v>36.10%</v>
      </c>
      <c r="O514" t="str">
        <v>8422萬</v>
      </c>
      <c r="P514" t="str">
        <v>-6.77</v>
      </c>
      <c r="Q514" t="str">
        <v>+3.35</v>
      </c>
      <c r="R514" t="str">
        <v>-3.14</v>
      </c>
      <c r="S514">
        <v>-45</v>
      </c>
      <c r="T514">
        <v>22</v>
      </c>
      <c r="U514">
        <f t="array" ref="U514:AD514">[1]!'6456.TW-ChipsField3,ChipsField1,ChipsField25,CashAndStockDividend,CashDividendYieldRate,ProfitFourSeason,ProfitSingle,CName,ExchangeIndustry,CompanyPos'</f>
        <v>72</v>
      </c>
      <c r="V514">
        <v>-14</v>
      </c>
      <c r="W514" t="str">
        <v>2022/05/31</v>
      </c>
      <c r="X514" t="str">
        <v>5.00</v>
      </c>
      <c r="Y514">
        <v>5.4</v>
      </c>
      <c r="Z514" t="str">
        <v>11.89</v>
      </c>
      <c r="AA514" t="str">
        <v>4.58</v>
      </c>
      <c r="AB514" t="str">
        <v>GIS-KY</v>
      </c>
      <c r="AC514" t="str">
        <v>上市光電</v>
      </c>
      <c r="AD514" t="str">
        <v>鴻海集團旗下的觸控面板模組廠</v>
      </c>
      <c r="AE514" t="str">
        <f t="array" ref="AE514:AH514">[1]!'6456.TW-CName,InvestorConferenceDate,DateofMeetingofShareHolders,TradingDate'</f>
        <v>GIS-KY</v>
      </c>
      <c r="AF514" t="str">
        <v>2022/11/18</v>
      </c>
      <c r="AG514" t="str">
        <v>2022/05/31</v>
      </c>
      <c r="AH514" t="str">
        <v>2022/12/22</v>
      </c>
    </row>
    <row r="515" spans="1:34" x14ac:dyDescent="0.3">
      <c r="A515" t="str">
        <f t="array" ref="A515:J515">[1]!'6477.TW-ID,Name,MarketValue,Capital,NetIncomeGrowthRate,OperIncomeGrowthRate,FinancialStatementsTime,TFXRatio,MonthlyNetSalesYoY,RevenueMonth'</f>
        <v>6477</v>
      </c>
      <c r="B515" t="str">
        <v>安集</v>
      </c>
      <c r="C515" t="str">
        <v>53.0</v>
      </c>
      <c r="D515" t="str">
        <v>12.12</v>
      </c>
      <c r="E515" t="str">
        <v>49.05</v>
      </c>
      <c r="F515" t="str">
        <v>46.13</v>
      </c>
      <c r="G515" t="str">
        <v>2022/09</v>
      </c>
      <c r="H515" t="str">
        <v>-3.77</v>
      </c>
      <c r="I515" t="str">
        <v>41.22</v>
      </c>
      <c r="J515" t="str">
        <v>2022/11</v>
      </c>
      <c r="K515" t="str">
        <f t="array" ref="K515:T515">[1]!'6477.TW-OperatingProfitRatio,Price,PriceChangeRatio,InOutRatioNumber,Value,YearReturn,MonthReturn,WeekReturn,FinanceBalanceDif,ChipsField2'</f>
        <v>8.78</v>
      </c>
      <c r="L515">
        <v>45.05</v>
      </c>
      <c r="M515">
        <v>1.69</v>
      </c>
      <c r="N515" t="str">
        <v>47.29%</v>
      </c>
      <c r="O515" t="str">
        <v>3782萬</v>
      </c>
      <c r="P515" t="str">
        <v>-5.06</v>
      </c>
      <c r="Q515" t="str">
        <v>-1.96</v>
      </c>
      <c r="R515" t="str">
        <v>-7.49</v>
      </c>
      <c r="S515">
        <v>86</v>
      </c>
      <c r="T515">
        <v>-276</v>
      </c>
      <c r="U515">
        <f t="array" ref="U515:AD515">[1]!'6477.TW-ChipsField3,ChipsField1,ChipsField25,CashAndStockDividend,CashDividendYieldRate,ProfitFourSeason,ProfitSingle,CName,ExchangeIndustry,CompanyPos'</f>
        <v>-8</v>
      </c>
      <c r="V515">
        <v>-44</v>
      </c>
      <c r="W515" t="str">
        <v>2022/06/23</v>
      </c>
      <c r="X515" t="str">
        <v>0.51</v>
      </c>
      <c r="Y515">
        <v>1.1299999999999999</v>
      </c>
      <c r="Z515" t="str">
        <v>1.55</v>
      </c>
      <c r="AA515" t="str">
        <v>0.81</v>
      </c>
      <c r="AB515" t="str">
        <v>安集</v>
      </c>
      <c r="AC515" t="str">
        <v>上市光電</v>
      </c>
      <c r="AD515" t="str">
        <v>台灣太陽能電池模組製造商</v>
      </c>
      <c r="AE515" t="str">
        <f t="array" ref="AE515:AH515">[1]!'6477.TW-CName,InvestorConferenceDate,DateofMeetingofShareHolders,TradingDate'</f>
        <v>安集</v>
      </c>
      <c r="AF515" t="str">
        <v>2022/11/11</v>
      </c>
      <c r="AG515" t="str">
        <v>2022/05/26</v>
      </c>
      <c r="AH515" t="str">
        <v>2022/12/22</v>
      </c>
    </row>
    <row r="516" spans="1:34" x14ac:dyDescent="0.3">
      <c r="A516" t="str">
        <f t="array" ref="A516:J516">[1]!'6668.TW-ID,Name,MarketValue,Capital,NetIncomeGrowthRate,OperIncomeGrowthRate,FinancialStatementsTime,TFXRatio,MonthlyNetSalesYoY,RevenueMonth'</f>
        <v>6668</v>
      </c>
      <c r="B516" t="str">
        <v>中揚光</v>
      </c>
      <c r="C516" t="str">
        <v>30.2</v>
      </c>
      <c r="D516" t="str">
        <v>7.82</v>
      </c>
      <c r="E516" t="str">
        <v>-1.26</v>
      </c>
      <c r="F516" t="str">
        <v>-78.18</v>
      </c>
      <c r="G516" t="str">
        <v>2022/09</v>
      </c>
      <c r="H516" t="str">
        <v>71.80</v>
      </c>
      <c r="I516" t="str">
        <v>42.66</v>
      </c>
      <c r="J516" t="str">
        <v>2022/11</v>
      </c>
      <c r="K516" t="str">
        <f t="array" ref="K516:T516">[1]!'6668.TW-OperatingProfitRatio,Price,PriceChangeRatio,InOutRatioNumber,Value,YearReturn,MonthReturn,WeekReturn,FinanceBalanceDif,ChipsField2'</f>
        <v>-20.27</v>
      </c>
      <c r="L516">
        <v>38.6</v>
      </c>
      <c r="M516">
        <v>1.98</v>
      </c>
      <c r="N516" t="str">
        <v>46.15%</v>
      </c>
      <c r="O516" t="str">
        <v>453萬</v>
      </c>
      <c r="P516" t="str">
        <v>-33.56</v>
      </c>
      <c r="Q516" t="str">
        <v>-0.26</v>
      </c>
      <c r="R516" t="str">
        <v>-4.34</v>
      </c>
      <c r="S516">
        <v>-20</v>
      </c>
      <c r="T516">
        <v>0</v>
      </c>
      <c r="U516">
        <f t="array" ref="U516:AD516">[1]!'6668.TW-ChipsField3,ChipsField1,ChipsField25,CashAndStockDividend,CashDividendYieldRate,ProfitFourSeason,ProfitSingle,CName,ExchangeIndustry,CompanyPos'</f>
        <v>-4</v>
      </c>
      <c r="V516">
        <v>4</v>
      </c>
      <c r="W516" t="str">
        <v>--</v>
      </c>
      <c r="X516" t="str">
        <v>0.00</v>
      </c>
      <c r="Y516">
        <v>0</v>
      </c>
      <c r="Z516" t="str">
        <v>-4.07</v>
      </c>
      <c r="AA516" t="str">
        <v>-0.25</v>
      </c>
      <c r="AB516" t="str">
        <v>中揚光</v>
      </c>
      <c r="AC516" t="str">
        <v>上市光電</v>
      </c>
      <c r="AD516" t="str">
        <v>鴻海集團轉投資光學鏡片模具廠</v>
      </c>
      <c r="AE516" t="str">
        <f t="array" ref="AE516:AH516">[1]!'6668.TW-CName,InvestorConferenceDate,DateofMeetingofShareHolders,TradingDate'</f>
        <v>中揚光</v>
      </c>
      <c r="AF516" t="str">
        <v>2022/11/24</v>
      </c>
      <c r="AG516" t="str">
        <v>2022/06/23</v>
      </c>
      <c r="AH516" t="str">
        <v>2022/12/22</v>
      </c>
    </row>
    <row r="517" spans="1:34" x14ac:dyDescent="0.3">
      <c r="A517" t="str">
        <f t="array" ref="A517:J517">[1]!'6706.TW-ID,Name,MarketValue,Capital,NetIncomeGrowthRate,OperIncomeGrowthRate,FinancialStatementsTime,TFXRatio,MonthlyNetSalesYoY,RevenueMonth'</f>
        <v>6706</v>
      </c>
      <c r="B517" t="str">
        <v>惠特</v>
      </c>
      <c r="C517" t="str">
        <v>64.6</v>
      </c>
      <c r="D517" t="str">
        <v>7.35</v>
      </c>
      <c r="E517" t="str">
        <v>38.24</v>
      </c>
      <c r="F517" t="str">
        <v>-21.79</v>
      </c>
      <c r="G517" t="str">
        <v>2022/09</v>
      </c>
      <c r="H517" t="str">
        <v>1.03</v>
      </c>
      <c r="I517" t="str">
        <v>-76.78</v>
      </c>
      <c r="J517" t="str">
        <v>2022/11</v>
      </c>
      <c r="K517" t="str">
        <f t="array" ref="K517:T517">[1]!'6706.TW-OperatingProfitRatio,Price,PriceChangeRatio,InOutRatioNumber,Value,YearReturn,MonthReturn,WeekReturn,FinanceBalanceDif,ChipsField2'</f>
        <v>16.32</v>
      </c>
      <c r="L517">
        <v>87.9</v>
      </c>
      <c r="M517">
        <v>1.1499999999999999</v>
      </c>
      <c r="N517" t="str">
        <v>42.17%</v>
      </c>
      <c r="O517" t="str">
        <v>1592萬</v>
      </c>
      <c r="P517" t="str">
        <v>-56.30</v>
      </c>
      <c r="Q517" t="str">
        <v>+0.11</v>
      </c>
      <c r="R517" t="str">
        <v>-7.38</v>
      </c>
      <c r="S517">
        <v>13</v>
      </c>
      <c r="T517">
        <v>0</v>
      </c>
      <c r="U517">
        <f t="array" ref="U517:AD517">[1]!'6706.TW-ChipsField3,ChipsField1,ChipsField25,CashAndStockDividend,CashDividendYieldRate,ProfitFourSeason,ProfitSingle,CName,ExchangeIndustry,CompanyPos'</f>
        <v>-9</v>
      </c>
      <c r="V517">
        <v>-70</v>
      </c>
      <c r="W517" t="str">
        <v>2022/07/28</v>
      </c>
      <c r="X517" t="str">
        <v>10.00</v>
      </c>
      <c r="Y517">
        <v>11.38</v>
      </c>
      <c r="Z517" t="str">
        <v>17.24</v>
      </c>
      <c r="AA517" t="str">
        <v>3.33</v>
      </c>
      <c r="AB517" t="str">
        <v>惠特</v>
      </c>
      <c r="AC517" t="str">
        <v>上市光電</v>
      </c>
      <c r="AD517" t="str">
        <v>鼎元旗下，全球最大LED點測分選設備製造商</v>
      </c>
      <c r="AE517" t="str">
        <f t="array" ref="AE517:AH517">[1]!'6706.TW-CName,InvestorConferenceDate,DateofMeetingofShareHolders,TradingDate'</f>
        <v>惠特</v>
      </c>
      <c r="AF517" t="str">
        <v>2022/11/22</v>
      </c>
      <c r="AG517" t="str">
        <v>2022/06/24</v>
      </c>
      <c r="AH517" t="str">
        <v>2022/12/22</v>
      </c>
    </row>
    <row r="518" spans="1:34" x14ac:dyDescent="0.3">
      <c r="A518" t="str">
        <f t="array" ref="A518:J518">[1]!'8104.TW-ID,Name,MarketValue,Capital,NetIncomeGrowthRate,OperIncomeGrowthRate,FinancialStatementsTime,TFXRatio,MonthlyNetSalesYoY,RevenueMonth'</f>
        <v>8104</v>
      </c>
      <c r="B518" t="str">
        <v>錸寶</v>
      </c>
      <c r="C518" t="str">
        <v>26.4</v>
      </c>
      <c r="D518" t="str">
        <v>7.47</v>
      </c>
      <c r="E518" t="str">
        <v>-85.78</v>
      </c>
      <c r="F518" t="str">
        <v>-68.59</v>
      </c>
      <c r="G518" t="str">
        <v>2022/09</v>
      </c>
      <c r="H518" t="str">
        <v>9.44</v>
      </c>
      <c r="I518" t="str">
        <v>31.77</v>
      </c>
      <c r="J518" t="str">
        <v>2022/11</v>
      </c>
      <c r="K518" t="str">
        <f t="array" ref="K518:T518">[1]!'8104.TW-OperatingProfitRatio,Price,PriceChangeRatio,InOutRatioNumber,Value,YearReturn,MonthReturn,WeekReturn,FinanceBalanceDif,ChipsField2'</f>
        <v>2.33</v>
      </c>
      <c r="L518">
        <v>35.35</v>
      </c>
      <c r="M518">
        <v>0.28000000000000003</v>
      </c>
      <c r="N518" t="str">
        <v>32.97%</v>
      </c>
      <c r="O518" t="str">
        <v>331萬</v>
      </c>
      <c r="P518" t="str">
        <v>-44.18</v>
      </c>
      <c r="Q518" t="str">
        <v>+5.21</v>
      </c>
      <c r="R518" t="str">
        <v>-6.48</v>
      </c>
      <c r="S518">
        <v>-3</v>
      </c>
      <c r="T518">
        <v>0</v>
      </c>
      <c r="U518">
        <f t="array" ref="U518:AD518">[1]!'8104.TW-ChipsField3,ChipsField1,ChipsField25,CashAndStockDividend,CashDividendYieldRate,ProfitFourSeason,ProfitSingle,CName,ExchangeIndustry,CompanyPos'</f>
        <v>0</v>
      </c>
      <c r="V518">
        <v>9</v>
      </c>
      <c r="W518" t="str">
        <v>2022/07/20</v>
      </c>
      <c r="X518" t="str">
        <v>2.01</v>
      </c>
      <c r="Y518">
        <v>5.69</v>
      </c>
      <c r="Z518" t="str">
        <v>0.51</v>
      </c>
      <c r="AA518" t="str">
        <v>0.13</v>
      </c>
      <c r="AB518" t="str">
        <v>錸寶</v>
      </c>
      <c r="AC518" t="str">
        <v>上市光電</v>
      </c>
      <c r="AD518" t="str">
        <v>錸德轉投資的全球PMOLED龍頭廠商</v>
      </c>
      <c r="AE518" t="str">
        <f t="array" ref="AE518:AH518">[1]!'8104.TW-CName,InvestorConferenceDate,DateofMeetingofShareHolders,TradingDate'</f>
        <v>錸寶</v>
      </c>
      <c r="AF518" t="str">
        <v>2022/12/02</v>
      </c>
      <c r="AG518" t="str">
        <v>2022/06/23</v>
      </c>
      <c r="AH518" t="str">
        <v>2022/12/22</v>
      </c>
    </row>
    <row r="519" spans="1:34" x14ac:dyDescent="0.3">
      <c r="A519" t="str">
        <f t="array" ref="A519:J519">[1]!'8105.TW-ID,Name,MarketValue,Capital,NetIncomeGrowthRate,OperIncomeGrowthRate,FinancialStatementsTime,TFXRatio,MonthlyNetSalesYoY,RevenueMonth'</f>
        <v>8105</v>
      </c>
      <c r="B519" t="str">
        <v>凌巨</v>
      </c>
      <c r="C519" t="str">
        <v>54.8</v>
      </c>
      <c r="D519" t="str">
        <v>44.15</v>
      </c>
      <c r="E519" t="str">
        <v>1250.25</v>
      </c>
      <c r="F519" t="str">
        <v>559.71</v>
      </c>
      <c r="G519" t="str">
        <v>2022/09</v>
      </c>
      <c r="H519" t="str">
        <v>-0.12</v>
      </c>
      <c r="I519" t="str">
        <v>4.00</v>
      </c>
      <c r="J519" t="str">
        <v>2022/11</v>
      </c>
      <c r="K519" t="str">
        <f t="array" ref="K519:T519">[1]!'8105.TW-OperatingProfitRatio,Price,PriceChangeRatio,InOutRatioNumber,Value,YearReturn,MonthReturn,WeekReturn,FinanceBalanceDif,ChipsField2'</f>
        <v>3.05</v>
      </c>
      <c r="L519">
        <v>12.4</v>
      </c>
      <c r="M519">
        <v>1.22</v>
      </c>
      <c r="N519" t="str">
        <v>59.37%</v>
      </c>
      <c r="O519" t="str">
        <v>871萬</v>
      </c>
      <c r="P519" t="str">
        <v>-6.06</v>
      </c>
      <c r="Q519" t="str">
        <v>-4.98</v>
      </c>
      <c r="R519" t="str">
        <v>-4.25</v>
      </c>
      <c r="S519">
        <v>55</v>
      </c>
      <c r="T519">
        <v>0</v>
      </c>
      <c r="U519">
        <f t="array" ref="U519:AD519">[1]!'8105.TW-ChipsField3,ChipsField1,ChipsField25,CashAndStockDividend,CashDividendYieldRate,ProfitFourSeason,ProfitSingle,CName,ExchangeIndustry,CompanyPos'</f>
        <v>-23</v>
      </c>
      <c r="V519">
        <v>-63</v>
      </c>
      <c r="W519" t="str">
        <v>--</v>
      </c>
      <c r="X519" t="str">
        <v>0.00</v>
      </c>
      <c r="Y519">
        <v>0</v>
      </c>
      <c r="Z519" t="str">
        <v>1.65</v>
      </c>
      <c r="AA519" t="str">
        <v>0.60</v>
      </c>
      <c r="AB519" t="str">
        <v>凌巨</v>
      </c>
      <c r="AC519" t="str">
        <v>上市光電</v>
      </c>
      <c r="AD519" t="str">
        <v>凸版集團的子公司，主要提供利基型顯示模組</v>
      </c>
      <c r="AE519" t="str">
        <f t="array" ref="AE519:AH519">[1]!'8105.TW-CName,InvestorConferenceDate,DateofMeetingofShareHolders,TradingDate'</f>
        <v>凌巨</v>
      </c>
      <c r="AF519" t="str">
        <v>2022/12/14</v>
      </c>
      <c r="AG519" t="str">
        <v>2022/06/23</v>
      </c>
      <c r="AH519" t="str">
        <v>2022/12/22</v>
      </c>
    </row>
    <row r="520" spans="1:34" x14ac:dyDescent="0.3">
      <c r="A520" t="str">
        <f t="array" ref="A520:J520">[1]!'8215.TW-ID,Name,MarketValue,Capital,NetIncomeGrowthRate,OperIncomeGrowthRate,FinancialStatementsTime,TFXRatio,MonthlyNetSalesYoY,RevenueMonth'</f>
        <v>8215</v>
      </c>
      <c r="B520" t="str">
        <v>明基材</v>
      </c>
      <c r="C520" t="str">
        <v>106.1</v>
      </c>
      <c r="D520" t="str">
        <v>32.07</v>
      </c>
      <c r="E520" t="str">
        <v>52.44</v>
      </c>
      <c r="F520" t="str">
        <v>-22.61</v>
      </c>
      <c r="G520" t="str">
        <v>2022/09</v>
      </c>
      <c r="H520" t="str">
        <v>6.39</v>
      </c>
      <c r="I520" t="str">
        <v>-5.54</v>
      </c>
      <c r="J520" t="str">
        <v>2022/11</v>
      </c>
      <c r="K520" t="str">
        <f t="array" ref="K520:T520">[1]!'8215.TW-OperatingProfitRatio,Price,PriceChangeRatio,InOutRatioNumber,Value,YearReturn,MonthReturn,WeekReturn,FinanceBalanceDif,ChipsField2'</f>
        <v>5.00</v>
      </c>
      <c r="L520">
        <v>33.1</v>
      </c>
      <c r="M520">
        <v>-0.3</v>
      </c>
      <c r="N520" t="str">
        <v>47.74%</v>
      </c>
      <c r="O520" t="str">
        <v>1.90億</v>
      </c>
      <c r="P520" t="str">
        <v>-9.20</v>
      </c>
      <c r="Q520" t="str">
        <v>+6.43</v>
      </c>
      <c r="R520" t="str">
        <v>+0.91</v>
      </c>
      <c r="S520">
        <v>16</v>
      </c>
      <c r="T520">
        <v>0</v>
      </c>
      <c r="U520">
        <f t="array" ref="U520:AD520">[1]!'8215.TW-ChipsField3,ChipsField1,ChipsField25,CashAndStockDividend,CashDividendYieldRate,ProfitFourSeason,ProfitSingle,CName,ExchangeIndustry,CompanyPos'</f>
        <v>109</v>
      </c>
      <c r="V520">
        <v>-24</v>
      </c>
      <c r="W520" t="str">
        <v>2022/07/15</v>
      </c>
      <c r="X520" t="str">
        <v>1.50</v>
      </c>
      <c r="Y520">
        <v>4.53</v>
      </c>
      <c r="Z520" t="str">
        <v>4.21</v>
      </c>
      <c r="AA520" t="str">
        <v>1.67</v>
      </c>
      <c r="AB520" t="str">
        <v>明基材</v>
      </c>
      <c r="AC520" t="str">
        <v>上市光電</v>
      </c>
      <c r="AD520" t="str">
        <v>全球前五大、台灣第一大偏光板供應商</v>
      </c>
      <c r="AE520" t="str">
        <f t="array" ref="AE520:AH520">[1]!'8215.TW-CName,InvestorConferenceDate,DateofMeetingofShareHolders,TradingDate'</f>
        <v>明基材</v>
      </c>
      <c r="AF520" t="str">
        <v>2022/11/02</v>
      </c>
      <c r="AG520" t="str">
        <v>2022/06/16</v>
      </c>
      <c r="AH520" t="str">
        <v>2022/12/22</v>
      </c>
    </row>
    <row r="521" spans="1:34" x14ac:dyDescent="0.3">
      <c r="A521" t="str">
        <f t="array" ref="A521:J521">[1]!'2314.TW-ID,Name,MarketValue,Capital,NetIncomeGrowthRate,OperIncomeGrowthRate,FinancialStatementsTime,TFXRatio,MonthlyNetSalesYoY,RevenueMonth'</f>
        <v>2314</v>
      </c>
      <c r="B521" t="str">
        <v>台揚</v>
      </c>
      <c r="C521" t="str">
        <v>91.2</v>
      </c>
      <c r="D521" t="str">
        <v>23.80</v>
      </c>
      <c r="E521" t="str">
        <v>-18.55</v>
      </c>
      <c r="F521" t="str">
        <v>-1.64</v>
      </c>
      <c r="G521" t="str">
        <v>2022/09</v>
      </c>
      <c r="H521" t="str">
        <v>2.46</v>
      </c>
      <c r="I521" t="str">
        <v>16.85</v>
      </c>
      <c r="J521" t="str">
        <v>2022/11</v>
      </c>
      <c r="K521" t="str">
        <f t="array" ref="K521:T521">[1]!'2314.TW-OperatingProfitRatio,Price,PriceChangeRatio,InOutRatioNumber,Value,YearReturn,MonthReturn,WeekReturn,FinanceBalanceDif,ChipsField2'</f>
        <v>-9.77</v>
      </c>
      <c r="L521">
        <v>38.299999999999997</v>
      </c>
      <c r="M521">
        <v>0.52</v>
      </c>
      <c r="N521" t="str">
        <v>34.38%</v>
      </c>
      <c r="O521" t="str">
        <v>1219萬</v>
      </c>
      <c r="P521" t="str">
        <v>-46.73</v>
      </c>
      <c r="Q521" t="str">
        <v>+1.86</v>
      </c>
      <c r="R521" t="str">
        <v>-6.13</v>
      </c>
      <c r="S521">
        <v>-18</v>
      </c>
      <c r="T521">
        <v>0</v>
      </c>
      <c r="U521">
        <f t="array" ref="U521:AD521">[1]!'2314.TW-ChipsField3,ChipsField1,ChipsField25,CashAndStockDividend,CashDividendYieldRate,ProfitFourSeason,ProfitSingle,CName,ExchangeIndustry,CompanyPos'</f>
        <v>0</v>
      </c>
      <c r="V521">
        <v>9</v>
      </c>
      <c r="W521" t="str">
        <v>--</v>
      </c>
      <c r="X521" t="str">
        <v>0.00</v>
      </c>
      <c r="Y521">
        <v>0</v>
      </c>
      <c r="Z521" t="str">
        <v>-2.17</v>
      </c>
      <c r="AA521" t="str">
        <v>-0.40</v>
      </c>
      <c r="AB521" t="str">
        <v>台揚</v>
      </c>
      <c r="AC521" t="str">
        <v>上市通信網路</v>
      </c>
      <c r="AD521" t="str">
        <v>鴻海轉投資衛星、微波通訊設備製造商</v>
      </c>
      <c r="AE521" t="str">
        <f t="array" ref="AE521:AH521">[1]!'2314.TW-CName,InvestorConferenceDate,DateofMeetingofShareHolders,TradingDate'</f>
        <v>台揚</v>
      </c>
      <c r="AF521" t="str">
        <v>--</v>
      </c>
      <c r="AG521" t="str">
        <v>2022/06/14</v>
      </c>
      <c r="AH521" t="str">
        <v>2022/12/22</v>
      </c>
    </row>
    <row r="522" spans="1:34" x14ac:dyDescent="0.3">
      <c r="A522" t="str">
        <f t="array" ref="A522:J522">[1]!'2321.TW-ID,Name,MarketValue,Capital,NetIncomeGrowthRate,OperIncomeGrowthRate,FinancialStatementsTime,TFXRatio,MonthlyNetSalesYoY,RevenueMonth'</f>
        <v>2321</v>
      </c>
      <c r="B522" t="str">
        <v>東訊</v>
      </c>
      <c r="C522" t="str">
        <v>2.6</v>
      </c>
      <c r="D522" t="str">
        <v>4.46</v>
      </c>
      <c r="E522" t="str">
        <v>100.68</v>
      </c>
      <c r="F522" t="str">
        <v>360.90</v>
      </c>
      <c r="G522" t="str">
        <v>2022/09</v>
      </c>
      <c r="H522" t="str">
        <v>24.25</v>
      </c>
      <c r="I522" t="str">
        <v>-6.76</v>
      </c>
      <c r="J522" t="str">
        <v>2022/11</v>
      </c>
      <c r="K522" t="str">
        <f t="array" ref="K522:T522">[1]!'2321.TW-OperatingProfitRatio,Price,PriceChangeRatio,InOutRatioNumber,Value,YearReturn,MonthReturn,WeekReturn,FinanceBalanceDif,ChipsField2'</f>
        <v>0.51</v>
      </c>
      <c r="L522">
        <v>5.82</v>
      </c>
      <c r="M522">
        <v>4.68</v>
      </c>
      <c r="N522" t="str">
        <v>100.00%</v>
      </c>
      <c r="O522" t="str">
        <v>5820</v>
      </c>
      <c r="P522" t="str">
        <v>-14.41</v>
      </c>
      <c r="Q522" t="str">
        <v>+13.45</v>
      </c>
      <c r="R522" t="str">
        <v>+1.39</v>
      </c>
      <c r="S522">
        <v>0</v>
      </c>
      <c r="T522">
        <v>0</v>
      </c>
      <c r="U522">
        <f t="array" ref="U522:AD522">[1]!'2321.TW-ChipsField3,ChipsField1,ChipsField25,CashAndStockDividend,CashDividendYieldRate,ProfitFourSeason,ProfitSingle,CName,ExchangeIndustry,CompanyPos'</f>
        <v>0</v>
      </c>
      <c r="V522">
        <v>0</v>
      </c>
      <c r="W522" t="str">
        <v>--</v>
      </c>
      <c r="X522" t="str">
        <v>0.00</v>
      </c>
      <c r="Y522">
        <v>0</v>
      </c>
      <c r="Z522" t="str">
        <v>0.26</v>
      </c>
      <c r="AA522" t="str">
        <v>0.08</v>
      </c>
      <c r="AB522" t="str">
        <v>東訊</v>
      </c>
      <c r="AC522" t="str">
        <v>上市通信網路</v>
      </c>
      <c r="AD522" t="str">
        <v>東元集團轉投資通訊設備製造商及手機通路商</v>
      </c>
      <c r="AE522" t="str">
        <f t="array" ref="AE522:AH522">[1]!'2321.TW-CName,InvestorConferenceDate,DateofMeetingofShareHolders,TradingDate'</f>
        <v>東訊</v>
      </c>
      <c r="AF522" t="str">
        <v>2022/11/02</v>
      </c>
      <c r="AG522" t="str">
        <v>2022/11/16</v>
      </c>
      <c r="AH522" t="str">
        <v>2022/12/22</v>
      </c>
    </row>
    <row r="523" spans="1:34" x14ac:dyDescent="0.3">
      <c r="A523" t="str">
        <f t="array" ref="A523:J523">[1]!'2332.TW-ID,Name,MarketValue,Capital,NetIncomeGrowthRate,OperIncomeGrowthRate,FinancialStatementsTime,TFXRatio,MonthlyNetSalesYoY,RevenueMonth'</f>
        <v>2332</v>
      </c>
      <c r="B523" t="str">
        <v>友訊</v>
      </c>
      <c r="C523" t="str">
        <v>93.6</v>
      </c>
      <c r="D523" t="str">
        <v>59.98</v>
      </c>
      <c r="E523" t="str">
        <v>41.41</v>
      </c>
      <c r="F523" t="str">
        <v>37.02</v>
      </c>
      <c r="G523" t="str">
        <v>2022/09</v>
      </c>
      <c r="H523" t="str">
        <v>-0.89</v>
      </c>
      <c r="I523" t="str">
        <v>6.53</v>
      </c>
      <c r="J523" t="str">
        <v>2022/11</v>
      </c>
      <c r="K523" t="str">
        <f t="array" ref="K523:T523">[1]!'2332.TW-OperatingProfitRatio,Price,PriceChangeRatio,InOutRatioNumber,Value,YearReturn,MonthReturn,WeekReturn,FinanceBalanceDif,ChipsField2'</f>
        <v>1.35</v>
      </c>
      <c r="L523">
        <v>15.6</v>
      </c>
      <c r="M523">
        <v>-1.27</v>
      </c>
      <c r="N523" t="str">
        <v>37.30%</v>
      </c>
      <c r="O523" t="str">
        <v>9531萬</v>
      </c>
      <c r="P523" t="str">
        <v>-13.86</v>
      </c>
      <c r="Q523" t="str">
        <v>+9.09</v>
      </c>
      <c r="R523" t="str">
        <v>+3.65</v>
      </c>
      <c r="S523">
        <v>961</v>
      </c>
      <c r="T523">
        <v>0</v>
      </c>
      <c r="U523">
        <f t="array" ref="U523:AD523">[1]!'2332.TW-ChipsField3,ChipsField1,ChipsField25,CashAndStockDividend,CashDividendYieldRate,ProfitFourSeason,ProfitSingle,CName,ExchangeIndustry,CompanyPos'</f>
        <v>512</v>
      </c>
      <c r="V523">
        <v>-3489</v>
      </c>
      <c r="W523" t="str">
        <v>2022/07/27</v>
      </c>
      <c r="X523" t="str">
        <v>0.30</v>
      </c>
      <c r="Y523">
        <v>1.92</v>
      </c>
      <c r="Z523" t="str">
        <v>0.41</v>
      </c>
      <c r="AA523" t="str">
        <v>0.00</v>
      </c>
      <c r="AB523" t="str">
        <v>友訊</v>
      </c>
      <c r="AC523" t="str">
        <v>上市通信網路</v>
      </c>
      <c r="AD523" t="str">
        <v>以D-Link品牌行銷網通設備之全球領導廠商</v>
      </c>
      <c r="AE523" t="str">
        <f t="array" ref="AE523:AH523">[1]!'2332.TW-CName,InvestorConferenceDate,DateofMeetingofShareHolders,TradingDate'</f>
        <v>友訊</v>
      </c>
      <c r="AF523" t="str">
        <v>2022/12/19</v>
      </c>
      <c r="AG523" t="str">
        <v>2022/05/27</v>
      </c>
      <c r="AH523" t="str">
        <v>2022/12/22</v>
      </c>
    </row>
    <row r="524" spans="1:34" x14ac:dyDescent="0.3">
      <c r="A524" t="str">
        <f t="array" ref="A524:J524">[1]!'2345.TW-ID,Name,MarketValue,Capital,NetIncomeGrowthRate,OperIncomeGrowthRate,FinancialStatementsTime,TFXRatio,MonthlyNetSalesYoY,RevenueMonth'</f>
        <v>2345</v>
      </c>
      <c r="B524" t="str">
        <v>智邦</v>
      </c>
      <c r="C524" t="str">
        <v>1422.5</v>
      </c>
      <c r="D524" t="str">
        <v>56.01</v>
      </c>
      <c r="E524" t="str">
        <v>83.14</v>
      </c>
      <c r="F524" t="str">
        <v>79.29</v>
      </c>
      <c r="G524" t="str">
        <v>2022/09</v>
      </c>
      <c r="H524" t="str">
        <v>3.12</v>
      </c>
      <c r="I524" t="str">
        <v>27.31</v>
      </c>
      <c r="J524" t="str">
        <v>2022/11</v>
      </c>
      <c r="K524" t="str">
        <f t="array" ref="K524:T524">[1]!'2345.TW-OperatingProfitRatio,Price,PriceChangeRatio,InOutRatioNumber,Value,YearReturn,MonthReturn,WeekReturn,FinanceBalanceDif,ChipsField2'</f>
        <v>11.96</v>
      </c>
      <c r="L524">
        <v>254</v>
      </c>
      <c r="M524">
        <v>0.4</v>
      </c>
      <c r="N524" t="str">
        <v>44.07%</v>
      </c>
      <c r="O524" t="str">
        <v>2.96億</v>
      </c>
      <c r="P524" t="str">
        <v>+0.45</v>
      </c>
      <c r="Q524" t="str">
        <v>-0.97</v>
      </c>
      <c r="R524" t="str">
        <v>-1.55</v>
      </c>
      <c r="S524">
        <v>-10</v>
      </c>
      <c r="T524">
        <v>125</v>
      </c>
      <c r="U524">
        <f t="array" ref="U524:AD524">[1]!'2345.TW-ChipsField3,ChipsField1,ChipsField25,CashAndStockDividend,CashDividendYieldRate,ProfitFourSeason,ProfitSingle,CName,ExchangeIndustry,CompanyPos'</f>
        <v>-135</v>
      </c>
      <c r="V524">
        <v>392</v>
      </c>
      <c r="W524" t="str">
        <v>2022/08/04</v>
      </c>
      <c r="X524" t="str">
        <v>6.00</v>
      </c>
      <c r="Y524">
        <v>2.36</v>
      </c>
      <c r="Z524" t="str">
        <v>13.17</v>
      </c>
      <c r="AA524" t="str">
        <v>4.41</v>
      </c>
      <c r="AB524" t="str">
        <v>智邦</v>
      </c>
      <c r="AC524" t="str">
        <v>上市通信網路</v>
      </c>
      <c r="AD524" t="str">
        <v>以網路交換器為主產品的網通設備代工大廠</v>
      </c>
      <c r="AE524" t="str">
        <f t="array" ref="AE524:AH524">[1]!'2345.TW-CName,InvestorConferenceDate,DateofMeetingofShareHolders,TradingDate'</f>
        <v>智邦</v>
      </c>
      <c r="AF524" t="str">
        <v>2022/11/18</v>
      </c>
      <c r="AG524" t="str">
        <v>2022/06/16</v>
      </c>
      <c r="AH524" t="str">
        <v>2022/12/22</v>
      </c>
    </row>
    <row r="525" spans="1:34" x14ac:dyDescent="0.3">
      <c r="A525" t="str">
        <f t="array" ref="A525:J525">[1]!'2412.TW-ID,Name,MarketValue,Capital,NetIncomeGrowthRate,OperIncomeGrowthRate,FinancialStatementsTime,TFXRatio,MonthlyNetSalesYoY,RevenueMonth'</f>
        <v>2412</v>
      </c>
      <c r="B525" t="str">
        <v>中華電</v>
      </c>
      <c r="C525" t="str">
        <v>8765.9</v>
      </c>
      <c r="D525" t="str">
        <v>775.74</v>
      </c>
      <c r="E525" t="str">
        <v>3.84</v>
      </c>
      <c r="F525" t="str">
        <v>6.03</v>
      </c>
      <c r="G525" t="str">
        <v>2022/09</v>
      </c>
      <c r="H525" t="str">
        <v>0.41</v>
      </c>
      <c r="I525" t="str">
        <v>5.84</v>
      </c>
      <c r="J525" t="str">
        <v>2022/11</v>
      </c>
      <c r="K525" t="str">
        <f t="array" ref="K525:T525">[1]!'2412.TW-OperatingProfitRatio,Price,PriceChangeRatio,InOutRatioNumber,Value,YearReturn,MonthReturn,WeekReturn,FinanceBalanceDif,ChipsField2'</f>
        <v>22.81</v>
      </c>
      <c r="L525">
        <v>113</v>
      </c>
      <c r="M525">
        <v>1.35</v>
      </c>
      <c r="N525" t="str">
        <v>65.56%</v>
      </c>
      <c r="O525" t="str">
        <v>7.21億</v>
      </c>
      <c r="P525" t="str">
        <v>+1.42</v>
      </c>
      <c r="Q525" t="str">
        <v>+3.67</v>
      </c>
      <c r="R525" t="str">
        <v>+1.35</v>
      </c>
      <c r="S525">
        <v>-13</v>
      </c>
      <c r="T525">
        <v>746</v>
      </c>
      <c r="U525">
        <f t="array" ref="U525:AD525">[1]!'2412.TW-ChipsField3,ChipsField1,ChipsField25,CashAndStockDividend,CashDividendYieldRate,ProfitFourSeason,ProfitSingle,CName,ExchangeIndustry,CompanyPos'</f>
        <v>-519</v>
      </c>
      <c r="V525">
        <v>-358</v>
      </c>
      <c r="W525" t="str">
        <v>2022/06/30</v>
      </c>
      <c r="X525" t="str">
        <v>4.61</v>
      </c>
      <c r="Y525">
        <v>4.08</v>
      </c>
      <c r="Z525" t="str">
        <v>4.73</v>
      </c>
      <c r="AA525" t="str">
        <v>1.21</v>
      </c>
      <c r="AB525" t="str">
        <v>中華電</v>
      </c>
      <c r="AC525" t="str">
        <v>上市通信網路</v>
      </c>
      <c r="AD525" t="str">
        <v>台灣電信業龍頭</v>
      </c>
      <c r="AE525" t="str">
        <f t="array" ref="AE525:AH525">[1]!'2412.TW-CName,InvestorConferenceDate,DateofMeetingofShareHolders,TradingDate'</f>
        <v>中華電</v>
      </c>
      <c r="AF525" t="str">
        <v>2022/11/01</v>
      </c>
      <c r="AG525" t="str">
        <v>2022/05/27</v>
      </c>
      <c r="AH525" t="str">
        <v>2022/12/22</v>
      </c>
    </row>
    <row r="526" spans="1:34" x14ac:dyDescent="0.3">
      <c r="A526" t="str">
        <f t="array" ref="A526:J526">[1]!'2419.TW-ID,Name,MarketValue,Capital,NetIncomeGrowthRate,OperIncomeGrowthRate,FinancialStatementsTime,TFXRatio,MonthlyNetSalesYoY,RevenueMonth'</f>
        <v>2419</v>
      </c>
      <c r="B526" t="str">
        <v>仲琦</v>
      </c>
      <c r="C526" t="str">
        <v>53.7</v>
      </c>
      <c r="D526" t="str">
        <v>32.13</v>
      </c>
      <c r="E526" t="str">
        <v>206.33</v>
      </c>
      <c r="F526" t="str">
        <v>204.91</v>
      </c>
      <c r="G526" t="str">
        <v>2022/09</v>
      </c>
      <c r="H526" t="str">
        <v>-1.47</v>
      </c>
      <c r="I526" t="str">
        <v>84.34</v>
      </c>
      <c r="J526" t="str">
        <v>2022/11</v>
      </c>
      <c r="K526" t="str">
        <f t="array" ref="K526:T526">[1]!'2419.TW-OperatingProfitRatio,Price,PriceChangeRatio,InOutRatioNumber,Value,YearReturn,MonthReturn,WeekReturn,FinanceBalanceDif,ChipsField2'</f>
        <v>6.62</v>
      </c>
      <c r="L526">
        <v>24.25</v>
      </c>
      <c r="M526">
        <v>0.41</v>
      </c>
      <c r="N526" t="str">
        <v>35.19%</v>
      </c>
      <c r="O526" t="str">
        <v>2417萬</v>
      </c>
      <c r="P526" t="str">
        <v>+3.88</v>
      </c>
      <c r="Q526" t="str">
        <v>-4.15</v>
      </c>
      <c r="R526" t="str">
        <v>-7.27</v>
      </c>
      <c r="S526">
        <v>-12</v>
      </c>
      <c r="T526">
        <v>0</v>
      </c>
      <c r="U526">
        <f t="array" ref="U526:AD526">[1]!'2419.TW-ChipsField3,ChipsField1,ChipsField25,CashAndStockDividend,CashDividendYieldRate,ProfitFourSeason,ProfitSingle,CName,ExchangeIndustry,CompanyPos'</f>
        <v>-12</v>
      </c>
      <c r="V526">
        <v>-290</v>
      </c>
      <c r="W526" t="str">
        <v>2022/06/08</v>
      </c>
      <c r="X526" t="str">
        <v>0.50</v>
      </c>
      <c r="Y526">
        <v>2.06</v>
      </c>
      <c r="Z526" t="str">
        <v>1.16</v>
      </c>
      <c r="AA526" t="str">
        <v>0.34</v>
      </c>
      <c r="AB526" t="str">
        <v>仲琦</v>
      </c>
      <c r="AC526" t="str">
        <v>上市通信網路</v>
      </c>
      <c r="AD526" t="str">
        <v>台灣Cable CPE與系統整合業者</v>
      </c>
      <c r="AE526" t="str">
        <f t="array" ref="AE526:AH526">[1]!'2419.TW-CName,InvestorConferenceDate,DateofMeetingofShareHolders,TradingDate'</f>
        <v>仲琦</v>
      </c>
      <c r="AF526" t="str">
        <v>2022/11/02</v>
      </c>
      <c r="AG526" t="str">
        <v>2022/05/30</v>
      </c>
      <c r="AH526" t="str">
        <v>2022/12/22</v>
      </c>
    </row>
    <row r="527" spans="1:34" x14ac:dyDescent="0.3">
      <c r="A527" t="str">
        <f t="array" ref="A527:J527">[1]!'2439.TW-ID,Name,MarketValue,Capital,NetIncomeGrowthRate,OperIncomeGrowthRate,FinancialStatementsTime,TFXRatio,MonthlyNetSalesYoY,RevenueMonth'</f>
        <v>2439</v>
      </c>
      <c r="B527" t="str">
        <v>美律</v>
      </c>
      <c r="C527" t="str">
        <v>172.4</v>
      </c>
      <c r="D527" t="str">
        <v>21.81</v>
      </c>
      <c r="E527" t="str">
        <v>80.81</v>
      </c>
      <c r="F527" t="str">
        <v>79.17</v>
      </c>
      <c r="G527" t="str">
        <v>2022/09</v>
      </c>
      <c r="H527" t="str">
        <v>-26.03</v>
      </c>
      <c r="I527" t="str">
        <v>-30.07</v>
      </c>
      <c r="J527" t="str">
        <v>2022/11</v>
      </c>
      <c r="K527" t="str">
        <f t="array" ref="K527:T527">[1]!'2439.TW-OperatingProfitRatio,Price,PriceChangeRatio,InOutRatioNumber,Value,YearReturn,MonthReturn,WeekReturn,FinanceBalanceDif,ChipsField2'</f>
        <v>2.62</v>
      </c>
      <c r="L527">
        <v>79</v>
      </c>
      <c r="M527">
        <v>-0.25</v>
      </c>
      <c r="N527" t="str">
        <v>46.11%</v>
      </c>
      <c r="O527" t="str">
        <v>4274萬</v>
      </c>
      <c r="P527" t="str">
        <v>-10.71</v>
      </c>
      <c r="Q527" t="str">
        <v>-9.51</v>
      </c>
      <c r="R527" t="str">
        <v>-2.47</v>
      </c>
      <c r="S527">
        <v>-42</v>
      </c>
      <c r="T527">
        <v>0</v>
      </c>
      <c r="U527">
        <f t="array" ref="U527:AD527">[1]!'2439.TW-ChipsField3,ChipsField1,ChipsField25,CashAndStockDividend,CashDividendYieldRate,ProfitFourSeason,ProfitSingle,CName,ExchangeIndustry,CompanyPos'</f>
        <v>65</v>
      </c>
      <c r="V527">
        <v>-95</v>
      </c>
      <c r="W527" t="str">
        <v>2022/08/25</v>
      </c>
      <c r="X527" t="str">
        <v>3.97</v>
      </c>
      <c r="Y527">
        <v>5.03</v>
      </c>
      <c r="Z527" t="str">
        <v>7.66</v>
      </c>
      <c r="AA527" t="str">
        <v>2.74</v>
      </c>
      <c r="AB527" t="str">
        <v>美律</v>
      </c>
      <c r="AC527" t="str">
        <v>上市通信網路</v>
      </c>
      <c r="AD527" t="str">
        <v>全球前十大手機電聲元件供應商</v>
      </c>
      <c r="AE527" t="str">
        <f t="array" ref="AE527:AH527">[1]!'2439.TW-CName,InvestorConferenceDate,DateofMeetingofShareHolders,TradingDate'</f>
        <v>美律</v>
      </c>
      <c r="AF527" t="str">
        <v>2022/09/14</v>
      </c>
      <c r="AG527" t="str">
        <v>2022/06/15</v>
      </c>
      <c r="AH527" t="str">
        <v>2022/12/22</v>
      </c>
    </row>
    <row r="528" spans="1:34" x14ac:dyDescent="0.3">
      <c r="A528" t="str">
        <f t="array" ref="A528:J528">[1]!'2444.TW-ID,Name,MarketValue,Capital,NetIncomeGrowthRate,OperIncomeGrowthRate,FinancialStatementsTime,TFXRatio,MonthlyNetSalesYoY,RevenueMonth'</f>
        <v>2444</v>
      </c>
      <c r="B528" t="str">
        <v>兆勁</v>
      </c>
      <c r="C528" t="str">
        <v>20.0</v>
      </c>
      <c r="D528" t="str">
        <v>10.56</v>
      </c>
      <c r="E528" t="str">
        <v>969.24</v>
      </c>
      <c r="F528" t="str">
        <v>201.28</v>
      </c>
      <c r="G528" t="str">
        <v>2022/09</v>
      </c>
      <c r="H528" t="str">
        <v>28.83</v>
      </c>
      <c r="I528" t="str">
        <v>34.76</v>
      </c>
      <c r="J528" t="str">
        <v>2022/11</v>
      </c>
      <c r="K528" t="str">
        <f t="array" ref="K528:T528">[1]!'2444.TW-OperatingProfitRatio,Price,PriceChangeRatio,InOutRatioNumber,Value,YearReturn,MonthReturn,WeekReturn,FinanceBalanceDif,ChipsField2'</f>
        <v>4.14</v>
      </c>
      <c r="L528">
        <v>18.899999999999999</v>
      </c>
      <c r="M528">
        <v>-2.33</v>
      </c>
      <c r="N528" t="str">
        <v>36.40%</v>
      </c>
      <c r="O528" t="str">
        <v>1.03億</v>
      </c>
      <c r="P528" t="str">
        <v>+23.93</v>
      </c>
      <c r="Q528" t="str">
        <v>+47.08</v>
      </c>
      <c r="R528" t="str">
        <v>-0.53</v>
      </c>
      <c r="S528">
        <v>0</v>
      </c>
      <c r="T528">
        <v>0</v>
      </c>
      <c r="U528">
        <f t="array" ref="U528:AD528">[1]!'2444.TW-ChipsField3,ChipsField1,ChipsField25,CashAndStockDividend,CashDividendYieldRate,ProfitFourSeason,ProfitSingle,CName,ExchangeIndustry,CompanyPos'</f>
        <v>30</v>
      </c>
      <c r="V528">
        <v>768</v>
      </c>
      <c r="W528" t="str">
        <v>--</v>
      </c>
      <c r="X528" t="str">
        <v>0.00</v>
      </c>
      <c r="Y528">
        <v>0</v>
      </c>
      <c r="Z528" t="str">
        <v>1.03</v>
      </c>
      <c r="AA528" t="str">
        <v>0.50</v>
      </c>
      <c r="AB528" t="str">
        <v>兆勁</v>
      </c>
      <c r="AC528" t="str">
        <v>上市通信網路</v>
      </c>
      <c r="AD528" t="str">
        <v>台灣無線網路設備代工廠</v>
      </c>
      <c r="AE528" t="str">
        <f t="array" ref="AE528:AH528">[1]!'2444.TW-CName,InvestorConferenceDate,DateofMeetingofShareHolders,TradingDate'</f>
        <v>兆勁</v>
      </c>
      <c r="AF528" t="str">
        <v>2022/10/21</v>
      </c>
      <c r="AG528" t="str">
        <v>2022/06/29</v>
      </c>
      <c r="AH528" t="str">
        <v>2022/12/22</v>
      </c>
    </row>
    <row r="529" spans="1:34" x14ac:dyDescent="0.3">
      <c r="A529" t="str">
        <f t="array" ref="A529:J529">[1]!'2450.TW-ID,Name,MarketValue,Capital,NetIncomeGrowthRate,OperIncomeGrowthRate,FinancialStatementsTime,TFXRatio,MonthlyNetSalesYoY,RevenueMonth'</f>
        <v>2450</v>
      </c>
      <c r="B529" t="str">
        <v>神腦</v>
      </c>
      <c r="C529" t="str">
        <v>79.8</v>
      </c>
      <c r="D529" t="str">
        <v>25.83</v>
      </c>
      <c r="E529" t="str">
        <v>17.13</v>
      </c>
      <c r="F529" t="str">
        <v>-16.69</v>
      </c>
      <c r="G529" t="str">
        <v>2022/09</v>
      </c>
      <c r="H529" t="str">
        <v>-1.45</v>
      </c>
      <c r="I529" t="str">
        <v>-5.39</v>
      </c>
      <c r="J529" t="str">
        <v>2022/11</v>
      </c>
      <c r="K529" t="str">
        <f t="array" ref="K529:T529">[1]!'2450.TW-OperatingProfitRatio,Price,PriceChangeRatio,InOutRatioNumber,Value,YearReturn,MonthReturn,WeekReturn,FinanceBalanceDif,ChipsField2'</f>
        <v>1.26</v>
      </c>
      <c r="L529">
        <v>30.9</v>
      </c>
      <c r="M529">
        <v>-0.16</v>
      </c>
      <c r="N529" t="str">
        <v>22.22%</v>
      </c>
      <c r="O529" t="str">
        <v>111萬</v>
      </c>
      <c r="P529" t="str">
        <v>+0.29</v>
      </c>
      <c r="Q529" t="str">
        <v>+0.98</v>
      </c>
      <c r="R529" t="str">
        <v>-0.48</v>
      </c>
      <c r="S529">
        <v>-60</v>
      </c>
      <c r="T529">
        <v>0</v>
      </c>
      <c r="U529">
        <f t="array" ref="U529:AD529">[1]!'2450.TW-ChipsField3,ChipsField1,ChipsField25,CashAndStockDividend,CashDividendYieldRate,ProfitFourSeason,ProfitSingle,CName,ExchangeIndustry,CompanyPos'</f>
        <v>0</v>
      </c>
      <c r="V529">
        <v>-5</v>
      </c>
      <c r="W529" t="str">
        <v>2022/06/23</v>
      </c>
      <c r="X529" t="str">
        <v>2.00</v>
      </c>
      <c r="Y529">
        <v>6.47</v>
      </c>
      <c r="Z529" t="str">
        <v>2.59</v>
      </c>
      <c r="AA529" t="str">
        <v>0.78</v>
      </c>
      <c r="AB529" t="str">
        <v>神腦</v>
      </c>
      <c r="AC529" t="str">
        <v>上市通信網路</v>
      </c>
      <c r="AD529" t="str">
        <v>中華電信轉投資之數位產品通路代理商</v>
      </c>
      <c r="AE529" t="str">
        <f t="array" ref="AE529:AH529">[1]!'2450.TW-CName,InvestorConferenceDate,DateofMeetingofShareHolders,TradingDate'</f>
        <v>神腦</v>
      </c>
      <c r="AF529" t="str">
        <v>2022/12/21</v>
      </c>
      <c r="AG529" t="str">
        <v>2022/06/15</v>
      </c>
      <c r="AH529" t="str">
        <v>2022/12/22</v>
      </c>
    </row>
    <row r="530" spans="1:34" x14ac:dyDescent="0.3">
      <c r="A530" t="str">
        <f t="array" ref="A530:J530">[1]!'2455.TW-ID,Name,MarketValue,Capital,NetIncomeGrowthRate,OperIncomeGrowthRate,FinancialStatementsTime,TFXRatio,MonthlyNetSalesYoY,RevenueMonth'</f>
        <v>2455</v>
      </c>
      <c r="B530" t="str">
        <v>全新</v>
      </c>
      <c r="C530" t="str">
        <v>123.9</v>
      </c>
      <c r="D530" t="str">
        <v>18.49</v>
      </c>
      <c r="E530" t="str">
        <v>-23.46</v>
      </c>
      <c r="F530" t="str">
        <v>-37.79</v>
      </c>
      <c r="G530" t="str">
        <v>2022/09</v>
      </c>
      <c r="H530" t="str">
        <v>-15.71</v>
      </c>
      <c r="I530" t="str">
        <v>-51.29</v>
      </c>
      <c r="J530" t="str">
        <v>2022/11</v>
      </c>
      <c r="K530" t="str">
        <f t="array" ref="K530:T530">[1]!'2455.TW-OperatingProfitRatio,Price,PriceChangeRatio,InOutRatioNumber,Value,YearReturn,MonthReturn,WeekReturn,FinanceBalanceDif,ChipsField2'</f>
        <v>24.63</v>
      </c>
      <c r="L530">
        <v>67</v>
      </c>
      <c r="M530">
        <v>1.98</v>
      </c>
      <c r="N530" t="str">
        <v>58.36%</v>
      </c>
      <c r="O530" t="str">
        <v>8495萬</v>
      </c>
      <c r="P530" t="str">
        <v>-49.86</v>
      </c>
      <c r="Q530" t="str">
        <v>-2.19</v>
      </c>
      <c r="R530" t="str">
        <v>-7.97</v>
      </c>
      <c r="S530">
        <v>441</v>
      </c>
      <c r="T530">
        <v>0</v>
      </c>
      <c r="U530">
        <f t="array" ref="U530:AD530">[1]!'2455.TW-ChipsField3,ChipsField1,ChipsField25,CashAndStockDividend,CashDividendYieldRate,ProfitFourSeason,ProfitSingle,CName,ExchangeIndustry,CompanyPos'</f>
        <v>78</v>
      </c>
      <c r="V530">
        <v>-468</v>
      </c>
      <c r="W530" t="str">
        <v>2022/06/23</v>
      </c>
      <c r="X530" t="str">
        <v>4.00</v>
      </c>
      <c r="Y530">
        <v>5.97</v>
      </c>
      <c r="Z530" t="str">
        <v>3.78</v>
      </c>
      <c r="AA530" t="str">
        <v>0.57</v>
      </c>
      <c r="AB530" t="str">
        <v>全新</v>
      </c>
      <c r="AC530" t="str">
        <v>上市通信網路</v>
      </c>
      <c r="AD530" t="str">
        <v>全球前三大砷化鎵HBT磊晶片廠</v>
      </c>
      <c r="AE530" t="str">
        <f t="array" ref="AE530:AH530">[1]!'2455.TW-CName,InvestorConferenceDate,DateofMeetingofShareHolders,TradingDate'</f>
        <v>全新</v>
      </c>
      <c r="AF530" t="str">
        <v>--</v>
      </c>
      <c r="AG530" t="str">
        <v>2022/06/08</v>
      </c>
      <c r="AH530" t="str">
        <v>2022/12/22</v>
      </c>
    </row>
    <row r="531" spans="1:34" x14ac:dyDescent="0.3">
      <c r="A531" t="str">
        <f t="array" ref="A531:J531">[1]!'2485.TW-ID,Name,MarketValue,Capital,NetIncomeGrowthRate,OperIncomeGrowthRate,FinancialStatementsTime,TFXRatio,MonthlyNetSalesYoY,RevenueMonth'</f>
        <v>2485</v>
      </c>
      <c r="B531" t="str">
        <v>兆赫</v>
      </c>
      <c r="C531" t="str">
        <v>54.6</v>
      </c>
      <c r="D531" t="str">
        <v>31.77</v>
      </c>
      <c r="E531" t="str">
        <v>77.13</v>
      </c>
      <c r="F531" t="str">
        <v>18.60</v>
      </c>
      <c r="G531" t="str">
        <v>2022/09</v>
      </c>
      <c r="H531" t="str">
        <v>14.02</v>
      </c>
      <c r="I531" t="str">
        <v>41.81</v>
      </c>
      <c r="J531" t="str">
        <v>2022/11</v>
      </c>
      <c r="K531" t="str">
        <f t="array" ref="K531:T531">[1]!'2485.TW-OperatingProfitRatio,Price,PriceChangeRatio,InOutRatioNumber,Value,YearReturn,MonthReturn,WeekReturn,FinanceBalanceDif,ChipsField2'</f>
        <v>-5.90</v>
      </c>
      <c r="L531">
        <v>17.2</v>
      </c>
      <c r="M531">
        <v>0.57999999999999996</v>
      </c>
      <c r="N531" t="str">
        <v>35.74%</v>
      </c>
      <c r="O531" t="str">
        <v>1287萬</v>
      </c>
      <c r="P531" t="str">
        <v>-19.81</v>
      </c>
      <c r="Q531" t="str">
        <v>-1.15</v>
      </c>
      <c r="R531" t="str">
        <v>-8.99</v>
      </c>
      <c r="S531">
        <v>244</v>
      </c>
      <c r="T531">
        <v>0</v>
      </c>
      <c r="U531">
        <f t="array" ref="U531:AD531">[1]!'2485.TW-ChipsField3,ChipsField1,ChipsField25,CashAndStockDividend,CashDividendYieldRate,ProfitFourSeason,ProfitSingle,CName,ExchangeIndustry,CompanyPos'</f>
        <v>-47</v>
      </c>
      <c r="V531">
        <v>-232</v>
      </c>
      <c r="W531" t="str">
        <v>--</v>
      </c>
      <c r="X531" t="str">
        <v>0.00</v>
      </c>
      <c r="Y531">
        <v>0</v>
      </c>
      <c r="Z531" t="str">
        <v>-0.40</v>
      </c>
      <c r="AA531" t="str">
        <v>0.25</v>
      </c>
      <c r="AB531" t="str">
        <v>兆赫</v>
      </c>
      <c r="AC531" t="str">
        <v>上市通信網路</v>
      </c>
      <c r="AD531" t="str">
        <v>機上盒、LNB、有線電視傳輸設備製造商</v>
      </c>
      <c r="AE531" t="str">
        <f t="array" ref="AE531:AH531">[1]!'2485.TW-CName,InvestorConferenceDate,DateofMeetingofShareHolders,TradingDate'</f>
        <v>兆赫</v>
      </c>
      <c r="AF531" t="str">
        <v>2021/12/21</v>
      </c>
      <c r="AG531" t="str">
        <v>2022/06/14</v>
      </c>
      <c r="AH531" t="str">
        <v>2022/12/22</v>
      </c>
    </row>
    <row r="532" spans="1:34" x14ac:dyDescent="0.3">
      <c r="A532" t="str">
        <f t="array" ref="A532:J532">[1]!'2498.TW-ID,Name,MarketValue,Capital,NetIncomeGrowthRate,OperIncomeGrowthRate,FinancialStatementsTime,TFXRatio,MonthlyNetSalesYoY,RevenueMonth'</f>
        <v>2498</v>
      </c>
      <c r="B532" t="str">
        <v>宏達電</v>
      </c>
      <c r="C532" t="str">
        <v>458.5</v>
      </c>
      <c r="D532" t="str">
        <v>82.76</v>
      </c>
      <c r="E532" t="str">
        <v>-4.91</v>
      </c>
      <c r="F532" t="str">
        <v>-2.80</v>
      </c>
      <c r="G532" t="str">
        <v>2022/09</v>
      </c>
      <c r="H532" t="str">
        <v>27.38</v>
      </c>
      <c r="I532" t="str">
        <v>-15.89</v>
      </c>
      <c r="J532" t="str">
        <v>2022/11</v>
      </c>
      <c r="K532" t="str">
        <f t="array" ref="K532:T532">[1]!'2498.TW-OperatingProfitRatio,Price,PriceChangeRatio,InOutRatioNumber,Value,YearReturn,MonthReturn,WeekReturn,FinanceBalanceDif,ChipsField2'</f>
        <v>-103.35</v>
      </c>
      <c r="L532">
        <v>55.4</v>
      </c>
      <c r="M532">
        <v>-0.72</v>
      </c>
      <c r="N532" t="str">
        <v>46.14%</v>
      </c>
      <c r="O532" t="str">
        <v>7.94億</v>
      </c>
      <c r="P532" t="str">
        <v>-33.25</v>
      </c>
      <c r="Q532" t="str">
        <v>+4.92</v>
      </c>
      <c r="R532" t="str">
        <v>-5.14</v>
      </c>
      <c r="S532">
        <v>65</v>
      </c>
      <c r="T532">
        <v>1</v>
      </c>
      <c r="U532">
        <f t="array" ref="U532:AD532">[1]!'2498.TW-ChipsField3,ChipsField1,ChipsField25,CashAndStockDividend,CashDividendYieldRate,ProfitFourSeason,ProfitSingle,CName,ExchangeIndustry,CompanyPos'</f>
        <v>509</v>
      </c>
      <c r="V532">
        <v>-1201</v>
      </c>
      <c r="W532" t="str">
        <v>--</v>
      </c>
      <c r="X532" t="str">
        <v>0.00</v>
      </c>
      <c r="Y532">
        <v>0</v>
      </c>
      <c r="Z532" t="str">
        <v>-3.91</v>
      </c>
      <c r="AA532" t="str">
        <v>-1.19</v>
      </c>
      <c r="AB532" t="str">
        <v>宏達電</v>
      </c>
      <c r="AC532" t="str">
        <v>上市通信網路</v>
      </c>
      <c r="AD532" t="str">
        <v>以HTC品牌行銷全球前十大智慧型手機廠商</v>
      </c>
      <c r="AE532" t="str">
        <f t="array" ref="AE532:AH532">[1]!'2498.TW-CName,InvestorConferenceDate,DateofMeetingofShareHolders,TradingDate'</f>
        <v>宏達電</v>
      </c>
      <c r="AF532" t="str">
        <v>2021/03/10</v>
      </c>
      <c r="AG532" t="str">
        <v>2022/06/17</v>
      </c>
      <c r="AH532" t="str">
        <v>2022/12/22</v>
      </c>
    </row>
    <row r="533" spans="1:34" x14ac:dyDescent="0.3">
      <c r="A533" t="str">
        <f t="array" ref="A533:J533">[1]!'3025.TW-ID,Name,MarketValue,Capital,NetIncomeGrowthRate,OperIncomeGrowthRate,FinancialStatementsTime,TFXRatio,MonthlyNetSalesYoY,RevenueMonth'</f>
        <v>3025</v>
      </c>
      <c r="B533" t="str">
        <v>星通</v>
      </c>
      <c r="C533" t="str">
        <v>14.3</v>
      </c>
      <c r="D533" t="str">
        <v>7.09</v>
      </c>
      <c r="E533" t="str">
        <v>929.60</v>
      </c>
      <c r="F533" t="str">
        <v>251.01</v>
      </c>
      <c r="G533" t="str">
        <v>2022/09</v>
      </c>
      <c r="H533" t="str">
        <v>-61.89</v>
      </c>
      <c r="I533" t="str">
        <v>-59.90</v>
      </c>
      <c r="J533" t="str">
        <v>2022/11</v>
      </c>
      <c r="K533" t="str">
        <f t="array" ref="K533:T533">[1]!'3025.TW-OperatingProfitRatio,Price,PriceChangeRatio,InOutRatioNumber,Value,YearReturn,MonthReturn,WeekReturn,FinanceBalanceDif,ChipsField2'</f>
        <v>2.84</v>
      </c>
      <c r="L533">
        <v>20.100000000000001</v>
      </c>
      <c r="M533">
        <v>0.5</v>
      </c>
      <c r="N533" t="str">
        <v>24.59%</v>
      </c>
      <c r="O533" t="str">
        <v>753萬</v>
      </c>
      <c r="P533" t="str">
        <v>-14.64</v>
      </c>
      <c r="Q533" t="str">
        <v>-16.08</v>
      </c>
      <c r="R533" t="str">
        <v>-6.94</v>
      </c>
      <c r="S533">
        <v>-1</v>
      </c>
      <c r="T533">
        <v>0</v>
      </c>
      <c r="U533">
        <f t="array" ref="U533:AD533">[1]!'3025.TW-ChipsField3,ChipsField1,ChipsField25,CashAndStockDividend,CashDividendYieldRate,ProfitFourSeason,ProfitSingle,CName,ExchangeIndustry,CompanyPos'</f>
        <v>0</v>
      </c>
      <c r="V533">
        <v>-11</v>
      </c>
      <c r="W533" t="str">
        <v>2022/09/06</v>
      </c>
      <c r="X533" t="str">
        <v>0.40</v>
      </c>
      <c r="Y533">
        <v>1.99</v>
      </c>
      <c r="Z533" t="str">
        <v>1.45</v>
      </c>
      <c r="AA533" t="str">
        <v>0.24</v>
      </c>
      <c r="AB533" t="str">
        <v>星通</v>
      </c>
      <c r="AC533" t="str">
        <v>上市通信網路</v>
      </c>
      <c r="AD533" t="str">
        <v>台灣電信局端設備製造商</v>
      </c>
      <c r="AE533" t="str">
        <f t="array" ref="AE533:AH533">[1]!'3025.TW-CName,InvestorConferenceDate,DateofMeetingofShareHolders,TradingDate'</f>
        <v>星通</v>
      </c>
      <c r="AF533" t="str">
        <v>2022/11/17</v>
      </c>
      <c r="AG533" t="str">
        <v>2022/06/29</v>
      </c>
      <c r="AH533" t="str">
        <v>2022/12/22</v>
      </c>
    </row>
    <row r="534" spans="1:34" x14ac:dyDescent="0.3">
      <c r="A534" t="str">
        <f t="array" ref="A534:J534">[1]!'3027.TW-ID,Name,MarketValue,Capital,NetIncomeGrowthRate,OperIncomeGrowthRate,FinancialStatementsTime,TFXRatio,MonthlyNetSalesYoY,RevenueMonth'</f>
        <v>3027</v>
      </c>
      <c r="B534" t="str">
        <v>盛達</v>
      </c>
      <c r="C534" t="str">
        <v>34.1</v>
      </c>
      <c r="D534" t="str">
        <v>9.96</v>
      </c>
      <c r="E534" t="str">
        <v>36.11</v>
      </c>
      <c r="F534" t="str">
        <v>-86.12</v>
      </c>
      <c r="G534" t="str">
        <v>2022/09</v>
      </c>
      <c r="H534" t="str">
        <v>-34.07</v>
      </c>
      <c r="I534" t="str">
        <v>8.30</v>
      </c>
      <c r="J534" t="str">
        <v>2022/11</v>
      </c>
      <c r="K534" t="str">
        <f t="array" ref="K534:T534">[1]!'3027.TW-OperatingProfitRatio,Price,PriceChangeRatio,InOutRatioNumber,Value,YearReturn,MonthReturn,WeekReturn,FinanceBalanceDif,ChipsField2'</f>
        <v>0.38</v>
      </c>
      <c r="L534">
        <v>34.5</v>
      </c>
      <c r="M534">
        <v>2.0699999999999998</v>
      </c>
      <c r="N534" t="str">
        <v>49.30%</v>
      </c>
      <c r="O534" t="str">
        <v>2.82億</v>
      </c>
      <c r="P534" t="str">
        <v>+54.36</v>
      </c>
      <c r="Q534" t="str">
        <v>+35.03</v>
      </c>
      <c r="R534" t="str">
        <v>-8.61</v>
      </c>
      <c r="S534">
        <v>-241</v>
      </c>
      <c r="T534">
        <v>0</v>
      </c>
      <c r="U534">
        <f t="array" ref="U534:AD534">[1]!'3027.TW-ChipsField3,ChipsField1,ChipsField25,CashAndStockDividend,CashDividendYieldRate,ProfitFourSeason,ProfitSingle,CName,ExchangeIndustry,CompanyPos'</f>
        <v>-49</v>
      </c>
      <c r="V534">
        <v>-776</v>
      </c>
      <c r="W534" t="str">
        <v>--</v>
      </c>
      <c r="X534" t="str">
        <v>0.00</v>
      </c>
      <c r="Y534">
        <v>0</v>
      </c>
      <c r="Z534" t="str">
        <v>0.42</v>
      </c>
      <c r="AA534" t="str">
        <v>0.17</v>
      </c>
      <c r="AB534" t="str">
        <v>盛達</v>
      </c>
      <c r="AC534" t="str">
        <v>上市通信網路</v>
      </c>
      <c r="AD534" t="str">
        <v>以通訊設備和電源管理產品為主的供應商</v>
      </c>
      <c r="AE534" t="str">
        <f t="array" ref="AE534:AH534">[1]!'3027.TW-CName,InvestorConferenceDate,DateofMeetingofShareHolders,TradingDate'</f>
        <v>盛達</v>
      </c>
      <c r="AF534" t="str">
        <v>2022/11/14</v>
      </c>
      <c r="AG534" t="str">
        <v>2022/06/09</v>
      </c>
      <c r="AH534" t="str">
        <v>2022/12/22</v>
      </c>
    </row>
    <row r="535" spans="1:34" x14ac:dyDescent="0.3">
      <c r="A535" t="str">
        <f t="array" ref="A535:J535">[1]!'3045.TW-ID,Name,MarketValue,Capital,NetIncomeGrowthRate,OperIncomeGrowthRate,FinancialStatementsTime,TFXRatio,MonthlyNetSalesYoY,RevenueMonth'</f>
        <v>3045</v>
      </c>
      <c r="B535" t="str">
        <v>台灣大</v>
      </c>
      <c r="C535" t="str">
        <v>3336.2</v>
      </c>
      <c r="D535" t="str">
        <v>351.92</v>
      </c>
      <c r="E535" t="str">
        <v>0.93</v>
      </c>
      <c r="F535" t="str">
        <v>3.76</v>
      </c>
      <c r="G535" t="str">
        <v>2022/09</v>
      </c>
      <c r="H535" t="str">
        <v>44.06</v>
      </c>
      <c r="I535" t="str">
        <v>12.89</v>
      </c>
      <c r="J535" t="str">
        <v>2022/11</v>
      </c>
      <c r="K535" t="str">
        <f t="array" ref="K535:T535">[1]!'3045.TW-OperatingProfitRatio,Price,PriceChangeRatio,InOutRatioNumber,Value,YearReturn,MonthReturn,WeekReturn,FinanceBalanceDif,ChipsField2'</f>
        <v>10.34</v>
      </c>
      <c r="L535">
        <v>94.8</v>
      </c>
      <c r="M535">
        <v>0.53</v>
      </c>
      <c r="N535" t="str">
        <v>66.48%</v>
      </c>
      <c r="O535" t="str">
        <v>8284萬</v>
      </c>
      <c r="P535" t="str">
        <v>-0.07</v>
      </c>
      <c r="Q535" t="str">
        <v>+3.16</v>
      </c>
      <c r="R535" t="str">
        <v>-0.63</v>
      </c>
      <c r="S535">
        <v>0</v>
      </c>
      <c r="T535">
        <v>629</v>
      </c>
      <c r="U535">
        <f t="array" ref="U535:AD535">[1]!'3045.TW-ChipsField3,ChipsField1,ChipsField25,CashAndStockDividend,CashDividendYieldRate,ProfitFourSeason,ProfitSingle,CName,ExchangeIndustry,CompanyPos'</f>
        <v>-102</v>
      </c>
      <c r="V535">
        <v>-368</v>
      </c>
      <c r="W535" t="str">
        <v>2022/07/08</v>
      </c>
      <c r="X535" t="str">
        <v>4.30</v>
      </c>
      <c r="Y535">
        <v>4.54</v>
      </c>
      <c r="Z535" t="str">
        <v>3.91</v>
      </c>
      <c r="AA535" t="str">
        <v>1.01</v>
      </c>
      <c r="AB535" t="str">
        <v>台灣大</v>
      </c>
      <c r="AC535" t="str">
        <v>上市通信網路</v>
      </c>
      <c r="AD535" t="str">
        <v>台灣前三大電信業者之一</v>
      </c>
      <c r="AE535" t="str">
        <f t="array" ref="AE535:AH535">[1]!'3045.TW-CName,InvestorConferenceDate,DateofMeetingofShareHolders,TradingDate'</f>
        <v>台灣大</v>
      </c>
      <c r="AF535" t="str">
        <v>2022/11/10</v>
      </c>
      <c r="AG535" t="str">
        <v>2022/06/23</v>
      </c>
      <c r="AH535" t="str">
        <v>2022/12/22</v>
      </c>
    </row>
    <row r="536" spans="1:34" x14ac:dyDescent="0.3">
      <c r="A536" t="str">
        <f t="array" ref="A536:J536">[1]!'3047.TW-ID,Name,MarketValue,Capital,NetIncomeGrowthRate,OperIncomeGrowthRate,FinancialStatementsTime,TFXRatio,MonthlyNetSalesYoY,RevenueMonth'</f>
        <v>3047</v>
      </c>
      <c r="B536" t="str">
        <v>訊舟</v>
      </c>
      <c r="C536" t="str">
        <v>30.1</v>
      </c>
      <c r="D536" t="str">
        <v>20.67</v>
      </c>
      <c r="E536" t="str">
        <v>553.98</v>
      </c>
      <c r="F536" t="str">
        <v>616.00</v>
      </c>
      <c r="G536" t="str">
        <v>2022/09</v>
      </c>
      <c r="H536" t="str">
        <v>1.78</v>
      </c>
      <c r="I536" t="str">
        <v>-0.43</v>
      </c>
      <c r="J536" t="str">
        <v>2022/11</v>
      </c>
      <c r="K536" t="str">
        <f t="array" ref="K536:T536">[1]!'3047.TW-OperatingProfitRatio,Price,PriceChangeRatio,InOutRatioNumber,Value,YearReturn,MonthReturn,WeekReturn,FinanceBalanceDif,ChipsField2'</f>
        <v>2.20</v>
      </c>
      <c r="L536">
        <v>15.8</v>
      </c>
      <c r="M536">
        <v>0.96</v>
      </c>
      <c r="N536" t="str">
        <v>47.34%</v>
      </c>
      <c r="O536" t="str">
        <v>3352萬</v>
      </c>
      <c r="P536" t="str">
        <v>+21.07</v>
      </c>
      <c r="Q536" t="str">
        <v>-5.11</v>
      </c>
      <c r="R536" t="str">
        <v>-7.33</v>
      </c>
      <c r="S536">
        <v>146</v>
      </c>
      <c r="T536">
        <v>0</v>
      </c>
      <c r="U536">
        <f t="array" ref="U536:AD536">[1]!'3047.TW-ChipsField3,ChipsField1,ChipsField25,CashAndStockDividend,CashDividendYieldRate,ProfitFourSeason,ProfitSingle,CName,ExchangeIndustry,CompanyPos'</f>
        <v>-5</v>
      </c>
      <c r="V536">
        <v>-253</v>
      </c>
      <c r="W536" t="str">
        <v>--</v>
      </c>
      <c r="X536" t="str">
        <v>0.00</v>
      </c>
      <c r="Y536">
        <v>0</v>
      </c>
      <c r="Z536" t="str">
        <v>1.22</v>
      </c>
      <c r="AA536" t="str">
        <v>0.60</v>
      </c>
      <c r="AB536" t="str">
        <v>訊舟</v>
      </c>
      <c r="AC536" t="str">
        <v>上市通信網路</v>
      </c>
      <c r="AD536" t="str">
        <v>兼營品牌(EDIMAX)與代工的網通設備廠</v>
      </c>
      <c r="AE536" t="str">
        <f t="array" ref="AE536:AH536">[1]!'3047.TW-CName,InvestorConferenceDate,DateofMeetingofShareHolders,TradingDate'</f>
        <v>訊舟</v>
      </c>
      <c r="AF536" t="str">
        <v>2022/09/16</v>
      </c>
      <c r="AG536" t="str">
        <v>2022/06/01</v>
      </c>
      <c r="AH536" t="str">
        <v>2022/12/22</v>
      </c>
    </row>
    <row r="537" spans="1:34" x14ac:dyDescent="0.3">
      <c r="A537" t="str">
        <f t="array" ref="A537:J537">[1]!'3062.TW-ID,Name,MarketValue,Capital,NetIncomeGrowthRate,OperIncomeGrowthRate,FinancialStatementsTime,TFXRatio,MonthlyNetSalesYoY,RevenueMonth'</f>
        <v>3062</v>
      </c>
      <c r="B537" t="str">
        <v>建漢</v>
      </c>
      <c r="C537" t="str">
        <v>77.6</v>
      </c>
      <c r="D537" t="str">
        <v>33.02</v>
      </c>
      <c r="E537" t="str">
        <v>-390.63</v>
      </c>
      <c r="F537" t="str">
        <v>-23.66</v>
      </c>
      <c r="G537" t="str">
        <v>2022/09</v>
      </c>
      <c r="H537" t="str">
        <v>10.42</v>
      </c>
      <c r="I537" t="str">
        <v>102.72</v>
      </c>
      <c r="J537" t="str">
        <v>2022/11</v>
      </c>
      <c r="K537" t="str">
        <f t="array" ref="K537:T537">[1]!'3062.TW-OperatingProfitRatio,Price,PriceChangeRatio,InOutRatioNumber,Value,YearReturn,MonthReturn,WeekReturn,FinanceBalanceDif,ChipsField2'</f>
        <v>-5.15</v>
      </c>
      <c r="L537">
        <v>23.5</v>
      </c>
      <c r="M537">
        <v>1.08</v>
      </c>
      <c r="N537" t="str">
        <v>45.53%</v>
      </c>
      <c r="O537" t="str">
        <v>3380萬</v>
      </c>
      <c r="P537" t="str">
        <v>-21.14</v>
      </c>
      <c r="Q537" t="str">
        <v>+1.73</v>
      </c>
      <c r="R537" t="str">
        <v>-5.24</v>
      </c>
      <c r="S537">
        <v>-121</v>
      </c>
      <c r="T537">
        <v>0</v>
      </c>
      <c r="U537">
        <f t="array" ref="U537:AD537">[1]!'3062.TW-ChipsField3,ChipsField1,ChipsField25,CashAndStockDividend,CashDividendYieldRate,ProfitFourSeason,ProfitSingle,CName,ExchangeIndustry,CompanyPos'</f>
        <v>-26</v>
      </c>
      <c r="V537">
        <v>42</v>
      </c>
      <c r="W537" t="str">
        <v>2022/08/02</v>
      </c>
      <c r="X537" t="str">
        <v>0.05</v>
      </c>
      <c r="Y537">
        <v>0.21</v>
      </c>
      <c r="Z537" t="str">
        <v>-0.51</v>
      </c>
      <c r="AA537" t="str">
        <v>0.16</v>
      </c>
      <c r="AB537" t="str">
        <v>建漢</v>
      </c>
      <c r="AC537" t="str">
        <v>上市通信網路</v>
      </c>
      <c r="AD537" t="str">
        <v>鴻海投資的無線與寬頻網路設備製造商</v>
      </c>
      <c r="AE537" t="str">
        <f t="array" ref="AE537:AH537">[1]!'3062.TW-CName,InvestorConferenceDate,DateofMeetingofShareHolders,TradingDate'</f>
        <v>建漢</v>
      </c>
      <c r="AF537" t="str">
        <v>2021/12/24</v>
      </c>
      <c r="AG537" t="str">
        <v>2022/06/24</v>
      </c>
      <c r="AH537" t="str">
        <v>2022/12/22</v>
      </c>
    </row>
    <row r="538" spans="1:34" x14ac:dyDescent="0.3">
      <c r="A538" t="str">
        <f t="array" ref="A538:J538">[1]!'3138.TW-ID,Name,MarketValue,Capital,NetIncomeGrowthRate,OperIncomeGrowthRate,FinancialStatementsTime,TFXRatio,MonthlyNetSalesYoY,RevenueMonth'</f>
        <v>3138</v>
      </c>
      <c r="B538" t="str">
        <v>耀登</v>
      </c>
      <c r="C538" t="str">
        <v>62.1</v>
      </c>
      <c r="D538" t="str">
        <v>4.67</v>
      </c>
      <c r="E538" t="str">
        <v>-19.15</v>
      </c>
      <c r="F538" t="str">
        <v>-4.21</v>
      </c>
      <c r="G538" t="str">
        <v>2022/09</v>
      </c>
      <c r="H538" t="str">
        <v>20.76</v>
      </c>
      <c r="I538" t="str">
        <v>32.93</v>
      </c>
      <c r="J538" t="str">
        <v>2022/11</v>
      </c>
      <c r="K538" t="str">
        <f t="array" ref="K538:T538">[1]!'3138.TW-OperatingProfitRatio,Price,PriceChangeRatio,InOutRatioNumber,Value,YearReturn,MonthReturn,WeekReturn,FinanceBalanceDif,ChipsField2'</f>
        <v>8.23</v>
      </c>
      <c r="L538">
        <v>133</v>
      </c>
      <c r="M538">
        <v>0.38</v>
      </c>
      <c r="N538" t="str">
        <v>29.29%</v>
      </c>
      <c r="O538" t="str">
        <v>3219萬</v>
      </c>
      <c r="P538" t="str">
        <v>-40.37</v>
      </c>
      <c r="Q538" t="str">
        <v>-1.12</v>
      </c>
      <c r="R538" t="str">
        <v>-6.67</v>
      </c>
      <c r="S538">
        <v>-29</v>
      </c>
      <c r="T538">
        <v>0</v>
      </c>
      <c r="U538">
        <f t="array" ref="U538:AD538">[1]!'3138.TW-ChipsField3,ChipsField1,ChipsField25,CashAndStockDividend,CashDividendYieldRate,ProfitFourSeason,ProfitSingle,CName,ExchangeIndustry,CompanyPos'</f>
        <v>0</v>
      </c>
      <c r="V538">
        <v>47</v>
      </c>
      <c r="W538" t="str">
        <v>2022/08/10</v>
      </c>
      <c r="X538" t="str">
        <v>3.00</v>
      </c>
      <c r="Y538">
        <v>2.2599999999999998</v>
      </c>
      <c r="Z538" t="str">
        <v>5.22</v>
      </c>
      <c r="AA538" t="str">
        <v>1.96</v>
      </c>
      <c r="AB538" t="str">
        <v>耀登</v>
      </c>
      <c r="AC538" t="str">
        <v>上市通信網路</v>
      </c>
      <c r="AD538" t="str">
        <v>台灣天線製造、儀器設備代理廠商</v>
      </c>
      <c r="AE538" t="str">
        <f t="array" ref="AE538:AH538">[1]!'3138.TW-CName,InvestorConferenceDate,DateofMeetingofShareHolders,TradingDate'</f>
        <v>耀登</v>
      </c>
      <c r="AF538" t="str">
        <v>2022/11/24</v>
      </c>
      <c r="AG538" t="str">
        <v>2022/06/27</v>
      </c>
      <c r="AH538" t="str">
        <v>2022/12/22</v>
      </c>
    </row>
    <row r="539" spans="1:34" x14ac:dyDescent="0.3">
      <c r="A539" t="str">
        <f t="array" ref="A539:J539">[1]!'3311.TW-ID,Name,MarketValue,Capital,NetIncomeGrowthRate,OperIncomeGrowthRate,FinancialStatementsTime,TFXRatio,MonthlyNetSalesYoY,RevenueMonth'</f>
        <v>3311</v>
      </c>
      <c r="B539" t="str">
        <v>閎暉</v>
      </c>
      <c r="C539" t="str">
        <v>19.7</v>
      </c>
      <c r="D539" t="str">
        <v>6.80</v>
      </c>
      <c r="E539" t="str">
        <v>105.53</v>
      </c>
      <c r="F539" t="str">
        <v>117.45</v>
      </c>
      <c r="G539" t="str">
        <v>2022/09</v>
      </c>
      <c r="H539" t="str">
        <v>-1.09</v>
      </c>
      <c r="I539" t="str">
        <v>-7.64</v>
      </c>
      <c r="J539" t="str">
        <v>2022/11</v>
      </c>
      <c r="K539" t="str">
        <f t="array" ref="K539:T539">[1]!'3311.TW-OperatingProfitRatio,Price,PriceChangeRatio,InOutRatioNumber,Value,YearReturn,MonthReturn,WeekReturn,FinanceBalanceDif,ChipsField2'</f>
        <v>5.52</v>
      </c>
      <c r="L539">
        <v>32.9</v>
      </c>
      <c r="M539">
        <v>0</v>
      </c>
      <c r="N539" t="str">
        <v>6.25%</v>
      </c>
      <c r="O539" t="str">
        <v>52.7萬</v>
      </c>
      <c r="P539" t="str">
        <v>-4.65</v>
      </c>
      <c r="Q539" t="str">
        <v>+1.39</v>
      </c>
      <c r="R539" t="str">
        <v>-1.05</v>
      </c>
      <c r="S539">
        <v>6</v>
      </c>
      <c r="T539">
        <v>0</v>
      </c>
      <c r="U539">
        <f t="array" ref="U539:AD539">[1]!'3311.TW-ChipsField3,ChipsField1,ChipsField25,CashAndStockDividend,CashDividendYieldRate,ProfitFourSeason,ProfitSingle,CName,ExchangeIndustry,CompanyPos'</f>
        <v>0</v>
      </c>
      <c r="V539">
        <v>-1</v>
      </c>
      <c r="W539" t="str">
        <v>2022/07/29</v>
      </c>
      <c r="X539" t="str">
        <v>0.47</v>
      </c>
      <c r="Y539">
        <v>1.43</v>
      </c>
      <c r="Z539" t="str">
        <v>1.56</v>
      </c>
      <c r="AA539" t="str">
        <v>0.49</v>
      </c>
      <c r="AB539" t="str">
        <v>閎暉</v>
      </c>
      <c r="AC539" t="str">
        <v>上市通信網路</v>
      </c>
      <c r="AD539" t="str">
        <v>聚焦於車用零組件及機構整合元件</v>
      </c>
      <c r="AE539" t="str">
        <f t="array" ref="AE539:AH539">[1]!'3311.TW-CName,InvestorConferenceDate,DateofMeetingofShareHolders,TradingDate'</f>
        <v>閎暉</v>
      </c>
      <c r="AF539" t="str">
        <v>2022/11/29</v>
      </c>
      <c r="AG539" t="str">
        <v>2022/06/10</v>
      </c>
      <c r="AH539" t="str">
        <v>2022/12/22</v>
      </c>
    </row>
    <row r="540" spans="1:34" x14ac:dyDescent="0.3">
      <c r="A540" t="str">
        <f t="array" ref="A540:J540">[1]!'3380.TW-ID,Name,MarketValue,Capital,NetIncomeGrowthRate,OperIncomeGrowthRate,FinancialStatementsTime,TFXRatio,MonthlyNetSalesYoY,RevenueMonth'</f>
        <v>3380</v>
      </c>
      <c r="B540" t="str">
        <v>明泰</v>
      </c>
      <c r="C540" t="str">
        <v>156.3</v>
      </c>
      <c r="D540" t="str">
        <v>54.17</v>
      </c>
      <c r="E540" t="str">
        <v>112.71</v>
      </c>
      <c r="F540" t="str">
        <v>133.29</v>
      </c>
      <c r="G540" t="str">
        <v>2022/09</v>
      </c>
      <c r="H540" t="str">
        <v>19.71</v>
      </c>
      <c r="I540" t="str">
        <v>70.39</v>
      </c>
      <c r="J540" t="str">
        <v>2022/11</v>
      </c>
      <c r="K540" t="str">
        <f t="array" ref="K540:T540">[1]!'3380.TW-OperatingProfitRatio,Price,PriceChangeRatio,InOutRatioNumber,Value,YearReturn,MonthReturn,WeekReturn,FinanceBalanceDif,ChipsField2'</f>
        <v>4.84</v>
      </c>
      <c r="L540">
        <v>28.85</v>
      </c>
      <c r="M540">
        <v>0.35</v>
      </c>
      <c r="N540" t="str">
        <v>44.24%</v>
      </c>
      <c r="O540" t="str">
        <v>1951萬</v>
      </c>
      <c r="P540" t="str">
        <v>-9.58</v>
      </c>
      <c r="Q540" t="str">
        <v>-2.53</v>
      </c>
      <c r="R540" t="str">
        <v>-7.09</v>
      </c>
      <c r="S540">
        <v>-148</v>
      </c>
      <c r="T540">
        <v>0</v>
      </c>
      <c r="U540">
        <f t="array" ref="U540:AD540">[1]!'3380.TW-ChipsField3,ChipsField1,ChipsField25,CashAndStockDividend,CashDividendYieldRate,ProfitFourSeason,ProfitSingle,CName,ExchangeIndustry,CompanyPos'</f>
        <v>-28</v>
      </c>
      <c r="V540">
        <v>153</v>
      </c>
      <c r="W540" t="str">
        <v>2022/07/18</v>
      </c>
      <c r="X540" t="str">
        <v>0.80</v>
      </c>
      <c r="Y540">
        <v>2.77</v>
      </c>
      <c r="Z540" t="str">
        <v>1.45</v>
      </c>
      <c r="AA540" t="str">
        <v>0.58</v>
      </c>
      <c r="AB540" t="str">
        <v>明泰</v>
      </c>
      <c r="AC540" t="str">
        <v>上市通信網路</v>
      </c>
      <c r="AD540" t="str">
        <v>佳世達轉投資的網通設備代工大廠</v>
      </c>
      <c r="AE540" t="str">
        <f t="array" ref="AE540:AH540">[1]!'3380.TW-CName,InvestorConferenceDate,DateofMeetingofShareHolders,TradingDate'</f>
        <v>明泰</v>
      </c>
      <c r="AF540" t="str">
        <v>2022/11/04</v>
      </c>
      <c r="AG540" t="str">
        <v>2022/05/31</v>
      </c>
      <c r="AH540" t="str">
        <v>2022/12/22</v>
      </c>
    </row>
    <row r="541" spans="1:34" x14ac:dyDescent="0.3">
      <c r="A541" t="str">
        <f t="array" ref="A541:J541">[1]!'3419.TW-ID,Name,MarketValue,Capital,NetIncomeGrowthRate,OperIncomeGrowthRate,FinancialStatementsTime,TFXRatio,MonthlyNetSalesYoY,RevenueMonth'</f>
        <v>3419</v>
      </c>
      <c r="B541" t="str">
        <v>譁裕</v>
      </c>
      <c r="C541" t="str">
        <v>22.3</v>
      </c>
      <c r="D541" t="str">
        <v>12.05</v>
      </c>
      <c r="E541" t="str">
        <v>518.84</v>
      </c>
      <c r="F541" t="str">
        <v>21.79</v>
      </c>
      <c r="G541" t="str">
        <v>2022/09</v>
      </c>
      <c r="H541" t="str">
        <v>23.87</v>
      </c>
      <c r="I541" t="str">
        <v>77.85</v>
      </c>
      <c r="J541" t="str">
        <v>2022/11</v>
      </c>
      <c r="K541" t="str">
        <f t="array" ref="K541:T541">[1]!'3419.TW-OperatingProfitRatio,Price,PriceChangeRatio,InOutRatioNumber,Value,YearReturn,MonthReturn,WeekReturn,FinanceBalanceDif,ChipsField2'</f>
        <v>-1.85</v>
      </c>
      <c r="L541">
        <v>18.5</v>
      </c>
      <c r="M541">
        <v>0.54</v>
      </c>
      <c r="N541" t="str">
        <v>41.15%</v>
      </c>
      <c r="O541" t="str">
        <v>1871萬</v>
      </c>
      <c r="P541" t="str">
        <v>-28.02</v>
      </c>
      <c r="Q541" t="str">
        <v>-8.87</v>
      </c>
      <c r="R541" t="str">
        <v>-14.75</v>
      </c>
      <c r="S541">
        <v>-24</v>
      </c>
      <c r="T541">
        <v>0</v>
      </c>
      <c r="U541">
        <f t="array" ref="U541:AD541">[1]!'3419.TW-ChipsField3,ChipsField1,ChipsField25,CashAndStockDividend,CashDividendYieldRate,ProfitFourSeason,ProfitSingle,CName,ExchangeIndustry,CompanyPos'</f>
        <v>0</v>
      </c>
      <c r="V541">
        <v>-77</v>
      </c>
      <c r="W541" t="str">
        <v>--</v>
      </c>
      <c r="X541" t="str">
        <v>0.00</v>
      </c>
      <c r="Y541">
        <v>0</v>
      </c>
      <c r="Z541" t="str">
        <v>0.33</v>
      </c>
      <c r="AA541" t="str">
        <v>0.60</v>
      </c>
      <c r="AB541" t="str">
        <v>譁裕</v>
      </c>
      <c r="AC541" t="str">
        <v>上市通信網路</v>
      </c>
      <c r="AD541" t="str">
        <v>全球最大的WiFi天線製造商</v>
      </c>
      <c r="AE541" t="str">
        <f t="array" ref="AE541:AH541">[1]!'3419.TW-CName,InvestorConferenceDate,DateofMeetingofShareHolders,TradingDate'</f>
        <v>譁裕</v>
      </c>
      <c r="AF541" t="str">
        <v>2022/11/18</v>
      </c>
      <c r="AG541" t="str">
        <v>2022/06/27</v>
      </c>
      <c r="AH541" t="str">
        <v>2022/12/22</v>
      </c>
    </row>
    <row r="542" spans="1:34" x14ac:dyDescent="0.3">
      <c r="A542" t="str">
        <f t="array" ref="A542:J542">[1]!'3447.TW-ID,Name,MarketValue,Capital,NetIncomeGrowthRate,OperIncomeGrowthRate,FinancialStatementsTime,TFXRatio,MonthlyNetSalesYoY,RevenueMonth'</f>
        <v>3447</v>
      </c>
      <c r="B542" t="str">
        <v>展達</v>
      </c>
      <c r="C542" t="str">
        <v>31.8</v>
      </c>
      <c r="D542" t="str">
        <v>7.68</v>
      </c>
      <c r="E542" t="str">
        <v>78.14</v>
      </c>
      <c r="F542" t="str">
        <v>58.08</v>
      </c>
      <c r="G542" t="str">
        <v>2022/09</v>
      </c>
      <c r="H542" t="str">
        <v>-8.30</v>
      </c>
      <c r="I542" t="str">
        <v>38.66</v>
      </c>
      <c r="J542" t="str">
        <v>2022/11</v>
      </c>
      <c r="K542" t="str">
        <f t="array" ref="K542:T542">[1]!'3447.TW-OperatingProfitRatio,Price,PriceChangeRatio,InOutRatioNumber,Value,YearReturn,MonthReturn,WeekReturn,FinanceBalanceDif,ChipsField2'</f>
        <v>4.66</v>
      </c>
      <c r="L542">
        <v>41.35</v>
      </c>
      <c r="M542">
        <v>-1.78</v>
      </c>
      <c r="N542" t="str">
        <v>20.15%</v>
      </c>
      <c r="O542" t="str">
        <v>2757萬</v>
      </c>
      <c r="P542" t="str">
        <v>--</v>
      </c>
      <c r="Q542" t="str">
        <v>--</v>
      </c>
      <c r="R542" t="str">
        <v>--</v>
      </c>
      <c r="S542">
        <v>0</v>
      </c>
      <c r="T542">
        <v>0</v>
      </c>
      <c r="U542">
        <f t="array" ref="U542:AD542">[1]!'3447.TW-ChipsField3,ChipsField1,ChipsField25,CashAndStockDividend,CashDividendYieldRate,ProfitFourSeason,ProfitSingle,CName,ExchangeIndustry,CompanyPos'</f>
        <v>0</v>
      </c>
      <c r="V542">
        <v>75</v>
      </c>
      <c r="W542" t="str">
        <v>2022/09/21</v>
      </c>
      <c r="X542" t="str">
        <v>1.50</v>
      </c>
      <c r="Y542">
        <v>3.63</v>
      </c>
      <c r="Z542" t="str">
        <v>--</v>
      </c>
      <c r="AA542" t="str">
        <v>1.70</v>
      </c>
      <c r="AB542" t="str">
        <v>展達</v>
      </c>
      <c r="AC542" t="str">
        <v>上市通信網路</v>
      </c>
      <c r="AD542" t="str">
        <v>群光轉投資網通設備廠</v>
      </c>
      <c r="AE542" t="str">
        <f t="array" ref="AE542:AH542">[1]!'3447.TW-CName,InvestorConferenceDate,DateofMeetingofShareHolders,TradingDate'</f>
        <v>展達</v>
      </c>
      <c r="AF542" t="str">
        <v>--</v>
      </c>
      <c r="AG542" t="str">
        <v>2022/06/09</v>
      </c>
      <c r="AH542" t="str">
        <v>2022/12/22</v>
      </c>
    </row>
    <row r="543" spans="1:34" x14ac:dyDescent="0.3">
      <c r="A543" t="str">
        <f t="array" ref="A543:J543">[1]!'3596.TW-ID,Name,MarketValue,Capital,NetIncomeGrowthRate,OperIncomeGrowthRate,FinancialStatementsTime,TFXRatio,MonthlyNetSalesYoY,RevenueMonth'</f>
        <v>3596</v>
      </c>
      <c r="B543" t="str">
        <v>智易</v>
      </c>
      <c r="C543" t="str">
        <v>217.0</v>
      </c>
      <c r="D543" t="str">
        <v>22.68</v>
      </c>
      <c r="E543" t="str">
        <v>4.05</v>
      </c>
      <c r="F543" t="str">
        <v>-3.30</v>
      </c>
      <c r="G543" t="str">
        <v>2022/09</v>
      </c>
      <c r="H543" t="str">
        <v>-1.37</v>
      </c>
      <c r="I543" t="str">
        <v>40.73</v>
      </c>
      <c r="J543" t="str">
        <v>2022/11</v>
      </c>
      <c r="K543" t="str">
        <f t="array" ref="K543:T543">[1]!'3596.TW-OperatingProfitRatio,Price,PriceChangeRatio,InOutRatioNumber,Value,YearReturn,MonthReturn,WeekReturn,FinanceBalanceDif,ChipsField2'</f>
        <v>4.64</v>
      </c>
      <c r="L543">
        <v>98.5</v>
      </c>
      <c r="M543">
        <v>0.51</v>
      </c>
      <c r="N543" t="str">
        <v>25.69%</v>
      </c>
      <c r="O543" t="str">
        <v>2934萬</v>
      </c>
      <c r="P543" t="str">
        <v>-16.65</v>
      </c>
      <c r="Q543" t="str">
        <v>+1.03</v>
      </c>
      <c r="R543" t="str">
        <v>-5.29</v>
      </c>
      <c r="S543">
        <v>2</v>
      </c>
      <c r="T543">
        <v>0</v>
      </c>
      <c r="U543">
        <f t="array" ref="U543:AD543">[1]!'3596.TW-ChipsField3,ChipsField1,ChipsField25,CashAndStockDividend,CashDividendYieldRate,ProfitFourSeason,ProfitSingle,CName,ExchangeIndustry,CompanyPos'</f>
        <v>-12</v>
      </c>
      <c r="V543">
        <v>-60</v>
      </c>
      <c r="W543" t="str">
        <v>2022/07/04</v>
      </c>
      <c r="X543" t="str">
        <v>6.71</v>
      </c>
      <c r="Y543">
        <v>6.81</v>
      </c>
      <c r="Z543" t="str">
        <v>8.60</v>
      </c>
      <c r="AA543" t="str">
        <v>2.60</v>
      </c>
      <c r="AB543" t="str">
        <v>智易</v>
      </c>
      <c r="AC543" t="str">
        <v>上市通信網路</v>
      </c>
      <c r="AD543" t="str">
        <v>仁寶集團轉投資寬頻設備製造廠</v>
      </c>
      <c r="AE543" t="str">
        <f t="array" ref="AE543:AH543">[1]!'3596.TW-CName,InvestorConferenceDate,DateofMeetingofShareHolders,TradingDate'</f>
        <v>智易</v>
      </c>
      <c r="AF543" t="str">
        <v>2022/11/29</v>
      </c>
      <c r="AG543" t="str">
        <v>2022/06/15</v>
      </c>
      <c r="AH543" t="str">
        <v>2022/12/22</v>
      </c>
    </row>
    <row r="544" spans="1:34" x14ac:dyDescent="0.3">
      <c r="A544" t="str">
        <f t="array" ref="A544:J544">[1]!'3669.TW-ID,Name,MarketValue,Capital,NetIncomeGrowthRate,OperIncomeGrowthRate,FinancialStatementsTime,TFXRatio,MonthlyNetSalesYoY,RevenueMonth'</f>
        <v>3669</v>
      </c>
      <c r="B544" t="str">
        <v>圓展</v>
      </c>
      <c r="C544" t="str">
        <v>41.7</v>
      </c>
      <c r="D544" t="str">
        <v>9.29</v>
      </c>
      <c r="E544" t="str">
        <v>-45.49</v>
      </c>
      <c r="F544" t="str">
        <v>-52.00</v>
      </c>
      <c r="G544" t="str">
        <v>2022/09</v>
      </c>
      <c r="H544" t="str">
        <v>9.93</v>
      </c>
      <c r="I544" t="str">
        <v>-8.68</v>
      </c>
      <c r="J544" t="str">
        <v>2022/11</v>
      </c>
      <c r="K544" t="str">
        <f t="array" ref="K544:T544">[1]!'3669.TW-OperatingProfitRatio,Price,PriceChangeRatio,InOutRatioNumber,Value,YearReturn,MonthReturn,WeekReturn,FinanceBalanceDif,ChipsField2'</f>
        <v>12.15</v>
      </c>
      <c r="L544">
        <v>44.85</v>
      </c>
      <c r="M544">
        <v>0.56000000000000005</v>
      </c>
      <c r="N544" t="str">
        <v>51.85%</v>
      </c>
      <c r="O544" t="str">
        <v>613萬</v>
      </c>
      <c r="P544" t="str">
        <v>-4.22</v>
      </c>
      <c r="Q544" t="str">
        <v>+7.81</v>
      </c>
      <c r="R544" t="str">
        <v>-11.36</v>
      </c>
      <c r="S544">
        <v>-12</v>
      </c>
      <c r="T544">
        <v>0</v>
      </c>
      <c r="U544">
        <f t="array" ref="U544:AD544">[1]!'3669.TW-ChipsField3,ChipsField1,ChipsField25,CashAndStockDividend,CashDividendYieldRate,ProfitFourSeason,ProfitSingle,CName,ExchangeIndustry,CompanyPos'</f>
        <v>0</v>
      </c>
      <c r="V544">
        <v>-25</v>
      </c>
      <c r="W544" t="str">
        <v>2022/06/23</v>
      </c>
      <c r="X544" t="str">
        <v>3.80</v>
      </c>
      <c r="Y544">
        <v>8.4700000000000006</v>
      </c>
      <c r="Z544" t="str">
        <v>4.20</v>
      </c>
      <c r="AA544" t="str">
        <v>1.05</v>
      </c>
      <c r="AB544" t="str">
        <v>圓展</v>
      </c>
      <c r="AC544" t="str">
        <v>上市通信網路</v>
      </c>
      <c r="AD544" t="str">
        <v>圓剛轉投資之視訊會議與教學簡報系統供應商</v>
      </c>
      <c r="AE544" t="str">
        <f t="array" ref="AE544:AH544">[1]!'3669.TW-CName,InvestorConferenceDate,DateofMeetingofShareHolders,TradingDate'</f>
        <v>圓展</v>
      </c>
      <c r="AF544" t="str">
        <v>2022/12/20</v>
      </c>
      <c r="AG544" t="str">
        <v>2022/06/08</v>
      </c>
      <c r="AH544" t="str">
        <v>2022/12/22</v>
      </c>
    </row>
    <row r="545" spans="1:34" x14ac:dyDescent="0.3">
      <c r="A545" t="str">
        <f t="array" ref="A545:J545">[1]!'3682.TW-ID,Name,MarketValue,Capital,NetIncomeGrowthRate,OperIncomeGrowthRate,FinancialStatementsTime,TFXRatio,MonthlyNetSalesYoY,RevenueMonth'</f>
        <v>3682</v>
      </c>
      <c r="B545" t="str">
        <v>亞太電</v>
      </c>
      <c r="C545" t="str">
        <v>168.2</v>
      </c>
      <c r="D545" t="str">
        <v>431.72</v>
      </c>
      <c r="E545" t="str">
        <v>-1.53</v>
      </c>
      <c r="F545" t="str">
        <v>12.53</v>
      </c>
      <c r="G545" t="str">
        <v>2022/09</v>
      </c>
      <c r="H545" t="str">
        <v>-4.00</v>
      </c>
      <c r="I545" t="str">
        <v>2.24</v>
      </c>
      <c r="J545" t="str">
        <v>2022/11</v>
      </c>
      <c r="K545" t="str">
        <f t="array" ref="K545:T545">[1]!'3682.TW-OperatingProfitRatio,Price,PriceChangeRatio,InOutRatioNumber,Value,YearReturn,MonthReturn,WeekReturn,FinanceBalanceDif,ChipsField2'</f>
        <v>-34.19</v>
      </c>
      <c r="L545">
        <v>5.97</v>
      </c>
      <c r="M545">
        <v>0.17</v>
      </c>
      <c r="N545" t="str">
        <v>59.08%</v>
      </c>
      <c r="O545" t="str">
        <v>389萬</v>
      </c>
      <c r="P545" t="str">
        <v>-26.93</v>
      </c>
      <c r="Q545" t="str">
        <v>-2.45</v>
      </c>
      <c r="R545" t="str">
        <v>-0.17</v>
      </c>
      <c r="S545">
        <v>0</v>
      </c>
      <c r="T545">
        <v>0</v>
      </c>
      <c r="U545">
        <f t="array" ref="U545:AD545">[1]!'3682.TW-ChipsField3,ChipsField1,ChipsField25,CashAndStockDividend,CashDividendYieldRate,ProfitFourSeason,ProfitSingle,CName,ExchangeIndustry,CompanyPos'</f>
        <v>0</v>
      </c>
      <c r="V545">
        <v>1143</v>
      </c>
      <c r="W545" t="str">
        <v>--</v>
      </c>
      <c r="X545" t="str">
        <v>0.00</v>
      </c>
      <c r="Y545">
        <v>0</v>
      </c>
      <c r="Z545" t="str">
        <v>-1.30</v>
      </c>
      <c r="AA545" t="str">
        <v>-0.28</v>
      </c>
      <c r="AB545" t="str">
        <v>亞太電</v>
      </c>
      <c r="AC545" t="str">
        <v>上市通信網路</v>
      </c>
      <c r="AD545" t="str">
        <v>隸屬鴻海集團的台灣第四大電信業者</v>
      </c>
      <c r="AE545" t="str">
        <f t="array" ref="AE545:AH545">[1]!'3682.TW-CName,InvestorConferenceDate,DateofMeetingofShareHolders,TradingDate'</f>
        <v>亞太電</v>
      </c>
      <c r="AF545" t="str">
        <v>2022/11/03</v>
      </c>
      <c r="AG545" t="str">
        <v>2022/06/20</v>
      </c>
      <c r="AH545" t="str">
        <v>2022/12/22</v>
      </c>
    </row>
    <row r="546" spans="1:34" x14ac:dyDescent="0.3">
      <c r="A546" t="str">
        <f t="array" ref="A546:J546">[1]!'3694.TW-ID,Name,MarketValue,Capital,NetIncomeGrowthRate,OperIncomeGrowthRate,FinancialStatementsTime,TFXRatio,MonthlyNetSalesYoY,RevenueMonth'</f>
        <v>3694</v>
      </c>
      <c r="B546" t="str">
        <v>海華</v>
      </c>
      <c r="C546" t="str">
        <v>26.7</v>
      </c>
      <c r="D546" t="str">
        <v>15.27</v>
      </c>
      <c r="E546" t="str">
        <v>16.13</v>
      </c>
      <c r="F546" t="str">
        <v>-4.91</v>
      </c>
      <c r="G546" t="str">
        <v>2022/09</v>
      </c>
      <c r="H546" t="str">
        <v>-13.89</v>
      </c>
      <c r="I546" t="str">
        <v>-33.02</v>
      </c>
      <c r="J546" t="str">
        <v>2022/11</v>
      </c>
      <c r="K546" t="str">
        <f t="array" ref="K546:T546">[1]!'3694.TW-OperatingProfitRatio,Price,PriceChangeRatio,InOutRatioNumber,Value,YearReturn,MonthReturn,WeekReturn,FinanceBalanceDif,ChipsField2'</f>
        <v>2.43</v>
      </c>
      <c r="L546">
        <v>19.7</v>
      </c>
      <c r="M546">
        <v>0.77</v>
      </c>
      <c r="N546" t="str">
        <v>66.41%</v>
      </c>
      <c r="O546" t="str">
        <v>258萬</v>
      </c>
      <c r="P546" t="str">
        <v>-31.48</v>
      </c>
      <c r="Q546" t="str">
        <v>-5.52</v>
      </c>
      <c r="R546" t="str">
        <v>-1.75</v>
      </c>
      <c r="S546">
        <v>-14</v>
      </c>
      <c r="T546">
        <v>0</v>
      </c>
      <c r="U546">
        <f t="array" ref="U546:AD546">[1]!'3694.TW-ChipsField3,ChipsField1,ChipsField25,CashAndStockDividend,CashDividendYieldRate,ProfitFourSeason,ProfitSingle,CName,ExchangeIndustry,CompanyPos'</f>
        <v>-3</v>
      </c>
      <c r="V546">
        <v>14</v>
      </c>
      <c r="W546" t="str">
        <v>--</v>
      </c>
      <c r="X546" t="str">
        <v>0.00</v>
      </c>
      <c r="Y546">
        <v>0</v>
      </c>
      <c r="Z546" t="str">
        <v>2.22</v>
      </c>
      <c r="AA546" t="str">
        <v>1.28</v>
      </c>
      <c r="AB546" t="str">
        <v>海華</v>
      </c>
      <c r="AC546" t="str">
        <v>上市通信網路</v>
      </c>
      <c r="AD546" t="str">
        <v>華碩集團旗下無線通訊模組廠</v>
      </c>
      <c r="AE546" t="str">
        <f t="array" ref="AE546:AH546">[1]!'3694.TW-CName,InvestorConferenceDate,DateofMeetingofShareHolders,TradingDate'</f>
        <v>海華</v>
      </c>
      <c r="AF546" t="str">
        <v>2021/12/28</v>
      </c>
      <c r="AG546" t="str">
        <v>2022/06/23</v>
      </c>
      <c r="AH546" t="str">
        <v>2022/12/22</v>
      </c>
    </row>
    <row r="547" spans="1:34" x14ac:dyDescent="0.3">
      <c r="A547" t="str">
        <f t="array" ref="A547:J547">[1]!'3704.TW-ID,Name,MarketValue,Capital,NetIncomeGrowthRate,OperIncomeGrowthRate,FinancialStatementsTime,TFXRatio,MonthlyNetSalesYoY,RevenueMonth'</f>
        <v>3704</v>
      </c>
      <c r="B547" t="str">
        <v>合勤控</v>
      </c>
      <c r="C547" t="str">
        <v>137.9</v>
      </c>
      <c r="D547" t="str">
        <v>39.79</v>
      </c>
      <c r="E547" t="str">
        <v>27.27</v>
      </c>
      <c r="F547" t="str">
        <v>-4.37</v>
      </c>
      <c r="G547" t="str">
        <v>2022/09</v>
      </c>
      <c r="H547" t="str">
        <v>12.91</v>
      </c>
      <c r="I547" t="str">
        <v>56.95</v>
      </c>
      <c r="J547" t="str">
        <v>2022/11</v>
      </c>
      <c r="K547" t="str">
        <f t="array" ref="K547:T547">[1]!'3704.TW-OperatingProfitRatio,Price,PriceChangeRatio,InOutRatioNumber,Value,YearReturn,MonthReturn,WeekReturn,FinanceBalanceDif,ChipsField2'</f>
        <v>5.32</v>
      </c>
      <c r="L547">
        <v>34.65</v>
      </c>
      <c r="M547">
        <v>0.28999999999999998</v>
      </c>
      <c r="N547" t="str">
        <v>47.20%</v>
      </c>
      <c r="O547" t="str">
        <v>1.97億</v>
      </c>
      <c r="P547" t="str">
        <v>-4.41</v>
      </c>
      <c r="Q547" t="str">
        <v>+8.62</v>
      </c>
      <c r="R547" t="str">
        <v>+3.59</v>
      </c>
      <c r="S547">
        <v>325</v>
      </c>
      <c r="T547">
        <v>0</v>
      </c>
      <c r="U547">
        <f t="array" ref="U547:AD547">[1]!'3704.TW-ChipsField3,ChipsField1,ChipsField25,CashAndStockDividend,CashDividendYieldRate,ProfitFourSeason,ProfitSingle,CName,ExchangeIndustry,CompanyPos'</f>
        <v>-180</v>
      </c>
      <c r="V547">
        <v>-816</v>
      </c>
      <c r="W547" t="str">
        <v>2022/08/25</v>
      </c>
      <c r="X547" t="str">
        <v>0.51</v>
      </c>
      <c r="Y547">
        <v>1.47</v>
      </c>
      <c r="Z547" t="str">
        <v>3.11</v>
      </c>
      <c r="AA547" t="str">
        <v>1.88</v>
      </c>
      <c r="AB547" t="str">
        <v>合勤控</v>
      </c>
      <c r="AC547" t="str">
        <v>上市通信網路</v>
      </c>
      <c r="AD547" t="str">
        <v>兼營品牌「ZyXEL」與代工業務之網通設備廠</v>
      </c>
      <c r="AE547" t="str">
        <f t="array" ref="AE547:AH547">[1]!'3704.TW-CName,InvestorConferenceDate,DateofMeetingofShareHolders,TradingDate'</f>
        <v>合勤控</v>
      </c>
      <c r="AF547" t="str">
        <v>2022/08/12</v>
      </c>
      <c r="AG547" t="str">
        <v>2022/06/15</v>
      </c>
      <c r="AH547" t="str">
        <v>2022/12/22</v>
      </c>
    </row>
    <row r="548" spans="1:34" x14ac:dyDescent="0.3">
      <c r="A548" t="str">
        <f t="array" ref="A548:J548">[1]!'4904.TW-ID,Name,MarketValue,Capital,NetIncomeGrowthRate,OperIncomeGrowthRate,FinancialStatementsTime,TFXRatio,MonthlyNetSalesYoY,RevenueMonth'</f>
        <v>4904</v>
      </c>
      <c r="B548" t="str">
        <v>遠傳</v>
      </c>
      <c r="C548" t="str">
        <v>2147.4</v>
      </c>
      <c r="D548" t="str">
        <v>334.03</v>
      </c>
      <c r="E548" t="str">
        <v>-1.29</v>
      </c>
      <c r="F548" t="str">
        <v>21.92</v>
      </c>
      <c r="G548" t="str">
        <v>2022/09</v>
      </c>
      <c r="H548" t="str">
        <v>-3.63</v>
      </c>
      <c r="I548" t="str">
        <v>-0.99</v>
      </c>
      <c r="J548" t="str">
        <v>2022/11</v>
      </c>
      <c r="K548" t="str">
        <f t="array" ref="K548:T548">[1]!'4904.TW-OperatingProfitRatio,Price,PriceChangeRatio,InOutRatioNumber,Value,YearReturn,MonthReturn,WeekReturn,FinanceBalanceDif,ChipsField2'</f>
        <v>14.35</v>
      </c>
      <c r="L548">
        <v>65.900000000000006</v>
      </c>
      <c r="M548">
        <v>-0.45</v>
      </c>
      <c r="N548" t="str">
        <v>37.27%</v>
      </c>
      <c r="O548" t="str">
        <v>2.05億</v>
      </c>
      <c r="P548" t="str">
        <v>+7.50</v>
      </c>
      <c r="Q548" t="str">
        <v>+0.61</v>
      </c>
      <c r="R548" t="str">
        <v>-2.23</v>
      </c>
      <c r="S548">
        <v>-12</v>
      </c>
      <c r="T548">
        <v>706</v>
      </c>
      <c r="U548">
        <f t="array" ref="U548:AD548">[1]!'4904.TW-ChipsField3,ChipsField1,ChipsField25,CashAndStockDividend,CashDividendYieldRate,ProfitFourSeason,ProfitSingle,CName,ExchangeIndustry,CompanyPos'</f>
        <v>-288</v>
      </c>
      <c r="V548">
        <v>-463</v>
      </c>
      <c r="W548" t="str">
        <v>2022/07/14</v>
      </c>
      <c r="X548" t="str">
        <v>3.25</v>
      </c>
      <c r="Y548">
        <v>4.93</v>
      </c>
      <c r="Z548" t="str">
        <v>2.77</v>
      </c>
      <c r="AA548" t="str">
        <v>0.74</v>
      </c>
      <c r="AB548" t="str">
        <v>遠傳</v>
      </c>
      <c r="AC548" t="str">
        <v>上市通信網路</v>
      </c>
      <c r="AD548" t="str">
        <v>台灣前三大電信業者之一</v>
      </c>
      <c r="AE548" t="str">
        <f t="array" ref="AE548:AH548">[1]!'4904.TW-CName,InvestorConferenceDate,DateofMeetingofShareHolders,TradingDate'</f>
        <v>遠傳</v>
      </c>
      <c r="AF548" t="str">
        <v>2022/11/11</v>
      </c>
      <c r="AG548" t="str">
        <v>2022/06/14</v>
      </c>
      <c r="AH548" t="str">
        <v>2022/12/22</v>
      </c>
    </row>
    <row r="549" spans="1:34" x14ac:dyDescent="0.3">
      <c r="A549" t="str">
        <f t="array" ref="A549:J549">[1]!'4906.TW-ID,Name,MarketValue,Capital,NetIncomeGrowthRate,OperIncomeGrowthRate,FinancialStatementsTime,TFXRatio,MonthlyNetSalesYoY,RevenueMonth'</f>
        <v>4906</v>
      </c>
      <c r="B549" t="str">
        <v>正文</v>
      </c>
      <c r="C549" t="str">
        <v>107.7</v>
      </c>
      <c r="D549" t="str">
        <v>39.46</v>
      </c>
      <c r="E549" t="str">
        <v>8.98</v>
      </c>
      <c r="F549" t="str">
        <v>-41.14</v>
      </c>
      <c r="G549" t="str">
        <v>2022/09</v>
      </c>
      <c r="H549" t="str">
        <v>3.04</v>
      </c>
      <c r="I549" t="str">
        <v>68.65</v>
      </c>
      <c r="J549" t="str">
        <v>2022/11</v>
      </c>
      <c r="K549" t="str">
        <f t="array" ref="K549:T549">[1]!'4906.TW-OperatingProfitRatio,Price,PriceChangeRatio,InOutRatioNumber,Value,YearReturn,MonthReturn,WeekReturn,FinanceBalanceDif,ChipsField2'</f>
        <v>1.10</v>
      </c>
      <c r="L549">
        <v>27.3</v>
      </c>
      <c r="M549">
        <v>1.49</v>
      </c>
      <c r="N549" t="str">
        <v>41.53%</v>
      </c>
      <c r="O549" t="str">
        <v>2177萬</v>
      </c>
      <c r="P549" t="str">
        <v>-2.71</v>
      </c>
      <c r="Q549" t="str">
        <v>-3.02</v>
      </c>
      <c r="R549" t="str">
        <v>-3.19</v>
      </c>
      <c r="S549">
        <v>-36</v>
      </c>
      <c r="T549">
        <v>0</v>
      </c>
      <c r="U549">
        <f t="array" ref="U549:AD549">[1]!'4906.TW-ChipsField3,ChipsField1,ChipsField25,CashAndStockDividend,CashDividendYieldRate,ProfitFourSeason,ProfitSingle,CName,ExchangeIndustry,CompanyPos'</f>
        <v>-55</v>
      </c>
      <c r="V549">
        <v>156</v>
      </c>
      <c r="W549" t="str">
        <v>2022/07/04</v>
      </c>
      <c r="X549" t="str">
        <v>1.54</v>
      </c>
      <c r="Y549">
        <v>5.64</v>
      </c>
      <c r="Z549" t="str">
        <v>1.61</v>
      </c>
      <c r="AA549" t="str">
        <v>0.57</v>
      </c>
      <c r="AB549" t="str">
        <v>正文</v>
      </c>
      <c r="AC549" t="str">
        <v>上市通信網路</v>
      </c>
      <c r="AD549" t="str">
        <v>台灣無線區域網路代工大廠</v>
      </c>
      <c r="AE549" t="str">
        <f t="array" ref="AE549:AH549">[1]!'4906.TW-CName,InvestorConferenceDate,DateofMeetingofShareHolders,TradingDate'</f>
        <v>正文</v>
      </c>
      <c r="AF549" t="str">
        <v>2022/12/29</v>
      </c>
      <c r="AG549" t="str">
        <v>2022/06/09</v>
      </c>
      <c r="AH549" t="str">
        <v>2022/12/22</v>
      </c>
    </row>
    <row r="550" spans="1:34" x14ac:dyDescent="0.3">
      <c r="A550" t="str">
        <f t="array" ref="A550:J550">[1]!'4977.TW-ID,Name,MarketValue,Capital,NetIncomeGrowthRate,OperIncomeGrowthRate,FinancialStatementsTime,TFXRatio,MonthlyNetSalesYoY,RevenueMonth'</f>
        <v>4977</v>
      </c>
      <c r="B550" t="str">
        <v>眾達-KY</v>
      </c>
      <c r="C550" t="str">
        <v>77.8</v>
      </c>
      <c r="D550" t="str">
        <v>7.87</v>
      </c>
      <c r="E550" t="str">
        <v>13.10</v>
      </c>
      <c r="F550" t="str">
        <v>110.22</v>
      </c>
      <c r="G550" t="str">
        <v>2022/09</v>
      </c>
      <c r="H550" t="str">
        <v>8.55</v>
      </c>
      <c r="I550" t="str">
        <v>98.55</v>
      </c>
      <c r="J550" t="str">
        <v>2022/11</v>
      </c>
      <c r="K550" t="str">
        <f t="array" ref="K550:T550">[1]!'4977.TW-OperatingProfitRatio,Price,PriceChangeRatio,InOutRatioNumber,Value,YearReturn,MonthReturn,WeekReturn,FinanceBalanceDif,ChipsField2'</f>
        <v>17.71</v>
      </c>
      <c r="L550">
        <v>98.9</v>
      </c>
      <c r="M550">
        <v>-2.08</v>
      </c>
      <c r="N550" t="str">
        <v>50.62%</v>
      </c>
      <c r="O550" t="str">
        <v>4.88億</v>
      </c>
      <c r="P550" t="str">
        <v>+21.01</v>
      </c>
      <c r="Q550" t="str">
        <v>+6.57</v>
      </c>
      <c r="R550" t="str">
        <v>-10.50</v>
      </c>
      <c r="S550">
        <v>-66</v>
      </c>
      <c r="T550">
        <v>0</v>
      </c>
      <c r="U550">
        <f t="array" ref="U550:AD550">[1]!'4977.TW-ChipsField3,ChipsField1,ChipsField25,CashAndStockDividend,CashDividendYieldRate,ProfitFourSeason,ProfitSingle,CName,ExchangeIndustry,CompanyPos'</f>
        <v>-50</v>
      </c>
      <c r="V550">
        <v>116</v>
      </c>
      <c r="W550" t="str">
        <v>2022/07/14</v>
      </c>
      <c r="X550" t="str">
        <v>3.22</v>
      </c>
      <c r="Y550">
        <v>3.26</v>
      </c>
      <c r="Z550" t="str">
        <v>4.13</v>
      </c>
      <c r="AA550" t="str">
        <v>2.02</v>
      </c>
      <c r="AB550" t="str">
        <v>眾達-KY</v>
      </c>
      <c r="AC550" t="str">
        <v>上市通信網路</v>
      </c>
      <c r="AD550" t="str">
        <v>光收發模組封裝及代工廠商</v>
      </c>
      <c r="AE550" t="str">
        <f t="array" ref="AE550:AH550">[1]!'4977.TW-CName,InvestorConferenceDate,DateofMeetingofShareHolders,TradingDate'</f>
        <v>眾達-KY</v>
      </c>
      <c r="AF550" t="str">
        <v>2022/10/26</v>
      </c>
      <c r="AG550" t="str">
        <v>2022/06/24</v>
      </c>
      <c r="AH550" t="str">
        <v>2022/12/22</v>
      </c>
    </row>
    <row r="551" spans="1:34" x14ac:dyDescent="0.3">
      <c r="A551" t="str">
        <f t="array" ref="A551:J551">[1]!'5388.TW-ID,Name,MarketValue,Capital,NetIncomeGrowthRate,OperIncomeGrowthRate,FinancialStatementsTime,TFXRatio,MonthlyNetSalesYoY,RevenueMonth'</f>
        <v>5388</v>
      </c>
      <c r="B551" t="str">
        <v>中磊</v>
      </c>
      <c r="C551" t="str">
        <v>195.6</v>
      </c>
      <c r="D551" t="str">
        <v>25.88</v>
      </c>
      <c r="E551" t="str">
        <v>164.45</v>
      </c>
      <c r="F551" t="str">
        <v>170.09</v>
      </c>
      <c r="G551" t="str">
        <v>2022/09</v>
      </c>
      <c r="H551" t="str">
        <v>-6.78</v>
      </c>
      <c r="I551" t="str">
        <v>28.48</v>
      </c>
      <c r="J551" t="str">
        <v>2022/11</v>
      </c>
      <c r="K551" t="str">
        <f t="array" ref="K551:T551">[1]!'5388.TW-OperatingProfitRatio,Price,PriceChangeRatio,InOutRatioNumber,Value,YearReturn,MonthReturn,WeekReturn,FinanceBalanceDif,ChipsField2'</f>
        <v>3.53</v>
      </c>
      <c r="L551">
        <v>77.5</v>
      </c>
      <c r="M551">
        <v>1.31</v>
      </c>
      <c r="N551" t="str">
        <v>57.63%</v>
      </c>
      <c r="O551" t="str">
        <v>1.34億</v>
      </c>
      <c r="P551" t="str">
        <v>+17.45</v>
      </c>
      <c r="Q551" t="str">
        <v>-2.02</v>
      </c>
      <c r="R551" t="str">
        <v>-5.72</v>
      </c>
      <c r="S551">
        <v>-101</v>
      </c>
      <c r="T551">
        <v>0</v>
      </c>
      <c r="U551">
        <f t="array" ref="U551:AD551">[1]!'5388.TW-ChipsField3,ChipsField1,ChipsField25,CashAndStockDividend,CashDividendYieldRate,ProfitFourSeason,ProfitSingle,CName,ExchangeIndustry,CompanyPos'</f>
        <v>-286</v>
      </c>
      <c r="V551">
        <v>-22</v>
      </c>
      <c r="W551" t="str">
        <v>2022/04/07</v>
      </c>
      <c r="X551" t="str">
        <v>2.40</v>
      </c>
      <c r="Y551">
        <v>3.1</v>
      </c>
      <c r="Z551" t="str">
        <v>6.67</v>
      </c>
      <c r="AA551" t="str">
        <v>2.09</v>
      </c>
      <c r="AB551" t="str">
        <v>中磊</v>
      </c>
      <c r="AC551" t="str">
        <v>上市通信網路</v>
      </c>
      <c r="AD551" t="str">
        <v>台灣寬頻及電信設備代工大廠</v>
      </c>
      <c r="AE551" t="str">
        <f t="array" ref="AE551:AH551">[1]!'5388.TW-CName,InvestorConferenceDate,DateofMeetingofShareHolders,TradingDate'</f>
        <v>中磊</v>
      </c>
      <c r="AF551" t="str">
        <v>2022/08/05</v>
      </c>
      <c r="AG551" t="str">
        <v>2022/06/08</v>
      </c>
      <c r="AH551" t="str">
        <v>2022/12/22</v>
      </c>
    </row>
    <row r="552" spans="1:34" x14ac:dyDescent="0.3">
      <c r="A552" t="str">
        <f t="array" ref="A552:J552">[1]!'6136.TW-ID,Name,MarketValue,Capital,NetIncomeGrowthRate,OperIncomeGrowthRate,FinancialStatementsTime,TFXRatio,MonthlyNetSalesYoY,RevenueMonth'</f>
        <v>6136</v>
      </c>
      <c r="B552" t="str">
        <v>富爾特</v>
      </c>
      <c r="C552" t="str">
        <v>21.1</v>
      </c>
      <c r="D552" t="str">
        <v>11.55</v>
      </c>
      <c r="E552" t="str">
        <v>29.28</v>
      </c>
      <c r="F552" t="str">
        <v>-11.16</v>
      </c>
      <c r="G552" t="str">
        <v>2022/09</v>
      </c>
      <c r="H552" t="str">
        <v>-6.60</v>
      </c>
      <c r="I552" t="str">
        <v>-12.05</v>
      </c>
      <c r="J552" t="str">
        <v>2022/11</v>
      </c>
      <c r="K552" t="str">
        <f t="array" ref="K552:T552">[1]!'6136.TW-OperatingProfitRatio,Price,PriceChangeRatio,InOutRatioNumber,Value,YearReturn,MonthReturn,WeekReturn,FinanceBalanceDif,ChipsField2'</f>
        <v>-10.09</v>
      </c>
      <c r="L552">
        <v>18.3</v>
      </c>
      <c r="M552">
        <v>0</v>
      </c>
      <c r="N552" t="str">
        <v>63.64%</v>
      </c>
      <c r="O552" t="str">
        <v>121萬</v>
      </c>
      <c r="P552" t="str">
        <v>+4.24</v>
      </c>
      <c r="Q552" t="str">
        <v>+1.67</v>
      </c>
      <c r="R552" t="str">
        <v>-0.54</v>
      </c>
      <c r="S552">
        <v>9</v>
      </c>
      <c r="T552">
        <v>0</v>
      </c>
      <c r="U552">
        <f t="array" ref="U552:AD552">[1]!'6136.TW-ChipsField3,ChipsField1,ChipsField25,CashAndStockDividend,CashDividendYieldRate,ProfitFourSeason,ProfitSingle,CName,ExchangeIndustry,CompanyPos'</f>
        <v>-7</v>
      </c>
      <c r="V552">
        <v>-4</v>
      </c>
      <c r="W552" t="str">
        <v>2022/07/04</v>
      </c>
      <c r="X552" t="str">
        <v>1.25</v>
      </c>
      <c r="Y552">
        <v>6.83</v>
      </c>
      <c r="Z552" t="str">
        <v>1.43</v>
      </c>
      <c r="AA552" t="str">
        <v>0.92</v>
      </c>
      <c r="AB552" t="str">
        <v>富爾特</v>
      </c>
      <c r="AC552" t="str">
        <v>上市通信網路</v>
      </c>
      <c r="AD552" t="str">
        <v>經營數位行銷服務及電子軟硬體代理業務</v>
      </c>
      <c r="AE552" t="str">
        <f t="array" ref="AE552:AH552">[1]!'6136.TW-CName,InvestorConferenceDate,DateofMeetingofShareHolders,TradingDate'</f>
        <v>富爾特</v>
      </c>
      <c r="AF552" t="str">
        <v>2022/09/13</v>
      </c>
      <c r="AG552" t="str">
        <v>2022/06/16</v>
      </c>
      <c r="AH552" t="str">
        <v>2022/12/22</v>
      </c>
    </row>
    <row r="553" spans="1:34" x14ac:dyDescent="0.3">
      <c r="A553" t="str">
        <f t="array" ref="A553:J553">[1]!'6142.TW-ID,Name,MarketValue,Capital,NetIncomeGrowthRate,OperIncomeGrowthRate,FinancialStatementsTime,TFXRatio,MonthlyNetSalesYoY,RevenueMonth'</f>
        <v>6142</v>
      </c>
      <c r="B553" t="str">
        <v>友勁</v>
      </c>
      <c r="C553" t="str">
        <v>23.7</v>
      </c>
      <c r="D553" t="str">
        <v>33.08</v>
      </c>
      <c r="E553" t="str">
        <v>109.11</v>
      </c>
      <c r="F553" t="str">
        <v>74.15</v>
      </c>
      <c r="G553" t="str">
        <v>2022/09</v>
      </c>
      <c r="H553" t="str">
        <v>-3.69</v>
      </c>
      <c r="I553" t="str">
        <v>65.52</v>
      </c>
      <c r="J553" t="str">
        <v>2022/11</v>
      </c>
      <c r="K553" t="str">
        <f t="array" ref="K553:T553">[1]!'6142.TW-OperatingProfitRatio,Price,PriceChangeRatio,InOutRatioNumber,Value,YearReturn,MonthReturn,WeekReturn,FinanceBalanceDif,ChipsField2'</f>
        <v>-6.27</v>
      </c>
      <c r="L553">
        <v>10.3</v>
      </c>
      <c r="M553">
        <v>1.48</v>
      </c>
      <c r="N553" t="str">
        <v>44.12%</v>
      </c>
      <c r="O553" t="str">
        <v>1156萬</v>
      </c>
      <c r="P553" t="str">
        <v>-7.62</v>
      </c>
      <c r="Q553" t="str">
        <v>+7.07</v>
      </c>
      <c r="R553" t="str">
        <v>+0.98</v>
      </c>
      <c r="S553">
        <v>0</v>
      </c>
      <c r="T553">
        <v>0</v>
      </c>
      <c r="U553">
        <f t="array" ref="U553:AD553">[1]!'6142.TW-ChipsField3,ChipsField1,ChipsField25,CashAndStockDividend,CashDividendYieldRate,ProfitFourSeason,ProfitSingle,CName,ExchangeIndustry,CompanyPos'</f>
        <v>0</v>
      </c>
      <c r="V553">
        <v>18</v>
      </c>
      <c r="W553" t="str">
        <v>--</v>
      </c>
      <c r="X553" t="str">
        <v>0.00</v>
      </c>
      <c r="Y553">
        <v>0</v>
      </c>
      <c r="Z553" t="str">
        <v>2.87</v>
      </c>
      <c r="AA553" t="str">
        <v>0.24</v>
      </c>
      <c r="AB553" t="str">
        <v>友勁</v>
      </c>
      <c r="AC553" t="str">
        <v>上市通信網路</v>
      </c>
      <c r="AD553" t="str">
        <v>友訊轉投資無線網路與寬頻產品製造商</v>
      </c>
      <c r="AE553" t="str">
        <f t="array" ref="AE553:AH553">[1]!'6142.TW-CName,InvestorConferenceDate,DateofMeetingofShareHolders,TradingDate'</f>
        <v>友勁</v>
      </c>
      <c r="AF553" t="str">
        <v>--</v>
      </c>
      <c r="AG553" t="str">
        <v>2022/05/27</v>
      </c>
      <c r="AH553" t="str">
        <v>2022/12/22</v>
      </c>
    </row>
    <row r="554" spans="1:34" x14ac:dyDescent="0.3">
      <c r="A554" t="str">
        <f t="array" ref="A554:J554">[1]!'6152.TW-ID,Name,MarketValue,Capital,NetIncomeGrowthRate,OperIncomeGrowthRate,FinancialStatementsTime,TFXRatio,MonthlyNetSalesYoY,RevenueMonth'</f>
        <v>6152</v>
      </c>
      <c r="B554" t="str">
        <v>百一</v>
      </c>
      <c r="C554" t="str">
        <v>16.9</v>
      </c>
      <c r="D554" t="str">
        <v>16.77</v>
      </c>
      <c r="E554" t="str">
        <v>425.72</v>
      </c>
      <c r="F554" t="str">
        <v>61.94</v>
      </c>
      <c r="G554" t="str">
        <v>2022/09</v>
      </c>
      <c r="H554" t="str">
        <v>-34.00</v>
      </c>
      <c r="I554" t="str">
        <v>-15.12</v>
      </c>
      <c r="J554" t="str">
        <v>2022/11</v>
      </c>
      <c r="K554" t="str">
        <f t="array" ref="K554:T554">[1]!'6152.TW-OperatingProfitRatio,Price,PriceChangeRatio,InOutRatioNumber,Value,YearReturn,MonthReturn,WeekReturn,FinanceBalanceDif,ChipsField2'</f>
        <v>-1.12</v>
      </c>
      <c r="L554">
        <v>10.050000000000001</v>
      </c>
      <c r="M554">
        <v>0</v>
      </c>
      <c r="N554" t="str">
        <v>15.89%</v>
      </c>
      <c r="O554" t="str">
        <v>370萬</v>
      </c>
      <c r="P554" t="str">
        <v>-11.45</v>
      </c>
      <c r="Q554" t="str">
        <v>-9.46</v>
      </c>
      <c r="R554" t="str">
        <v>-2.90</v>
      </c>
      <c r="S554">
        <v>0</v>
      </c>
      <c r="T554">
        <v>0</v>
      </c>
      <c r="U554">
        <f t="array" ref="U554:AD554">[1]!'6152.TW-ChipsField3,ChipsField1,ChipsField25,CashAndStockDividend,CashDividendYieldRate,ProfitFourSeason,ProfitSingle,CName,ExchangeIndustry,CompanyPos'</f>
        <v>0</v>
      </c>
      <c r="V554">
        <v>-27</v>
      </c>
      <c r="W554" t="str">
        <v>--</v>
      </c>
      <c r="X554" t="str">
        <v>0.00</v>
      </c>
      <c r="Y554">
        <v>0</v>
      </c>
      <c r="Z554" t="str">
        <v>0.98</v>
      </c>
      <c r="AA554" t="str">
        <v>0.56</v>
      </c>
      <c r="AB554" t="str">
        <v>百一</v>
      </c>
      <c r="AC554" t="str">
        <v>上市通信網路</v>
      </c>
      <c r="AD554" t="str">
        <v>STB、LNB、LTE的ODM大廠</v>
      </c>
      <c r="AE554" t="str">
        <f t="array" ref="AE554:AH554">[1]!'6152.TW-CName,InvestorConferenceDate,DateofMeetingofShareHolders,TradingDate'</f>
        <v>百一</v>
      </c>
      <c r="AF554" t="str">
        <v>2022/12/12</v>
      </c>
      <c r="AG554" t="str">
        <v>2022/06/22</v>
      </c>
      <c r="AH554" t="str">
        <v>2022/12/22</v>
      </c>
    </row>
    <row r="555" spans="1:34" x14ac:dyDescent="0.3">
      <c r="A555" t="str">
        <f t="array" ref="A555:J555">[1]!'6216.TW-ID,Name,MarketValue,Capital,NetIncomeGrowthRate,OperIncomeGrowthRate,FinancialStatementsTime,TFXRatio,MonthlyNetSalesYoY,RevenueMonth'</f>
        <v>6216</v>
      </c>
      <c r="B555" t="str">
        <v>居易</v>
      </c>
      <c r="C555" t="str">
        <v>23.0</v>
      </c>
      <c r="D555" t="str">
        <v>9.12</v>
      </c>
      <c r="E555" t="str">
        <v>73.55</v>
      </c>
      <c r="F555" t="str">
        <v>-5.51</v>
      </c>
      <c r="G555" t="str">
        <v>2022/09</v>
      </c>
      <c r="H555" t="str">
        <v>-9.80</v>
      </c>
      <c r="I555" t="str">
        <v>-42.73</v>
      </c>
      <c r="J555" t="str">
        <v>2022/11</v>
      </c>
      <c r="K555" t="str">
        <f t="array" ref="K555:T555">[1]!'6216.TW-OperatingProfitRatio,Price,PriceChangeRatio,InOutRatioNumber,Value,YearReturn,MonthReturn,WeekReturn,FinanceBalanceDif,ChipsField2'</f>
        <v>16.75</v>
      </c>
      <c r="L555">
        <v>25.25</v>
      </c>
      <c r="M555">
        <v>0</v>
      </c>
      <c r="N555" t="str">
        <v>19.44%</v>
      </c>
      <c r="O555" t="str">
        <v>185萬</v>
      </c>
      <c r="P555" t="str">
        <v>-4.44</v>
      </c>
      <c r="Q555" t="str">
        <v>-3.26</v>
      </c>
      <c r="R555" t="str">
        <v>-2.51</v>
      </c>
      <c r="S555">
        <v>0</v>
      </c>
      <c r="T555">
        <v>0</v>
      </c>
      <c r="U555">
        <f t="array" ref="U555:AD555">[1]!'6216.TW-ChipsField3,ChipsField1,ChipsField25,CashAndStockDividend,CashDividendYieldRate,ProfitFourSeason,ProfitSingle,CName,ExchangeIndustry,CompanyPos'</f>
        <v>-3</v>
      </c>
      <c r="V555">
        <v>-11</v>
      </c>
      <c r="W555" t="str">
        <v>2022/08/29</v>
      </c>
      <c r="X555" t="str">
        <v>1.67</v>
      </c>
      <c r="Y555">
        <v>6.61</v>
      </c>
      <c r="Z555" t="str">
        <v>2.68</v>
      </c>
      <c r="AA555" t="str">
        <v>0.46</v>
      </c>
      <c r="AB555" t="str">
        <v>居易</v>
      </c>
      <c r="AC555" t="str">
        <v>上市通信網路</v>
      </c>
      <c r="AD555" t="str">
        <v>以DrayTek自有品牌行銷寬頻接取網通設備廠商</v>
      </c>
      <c r="AE555" t="str">
        <f t="array" ref="AE555:AH555">[1]!'6216.TW-CName,InvestorConferenceDate,DateofMeetingofShareHolders,TradingDate'</f>
        <v>居易</v>
      </c>
      <c r="AF555" t="str">
        <v>2022/11/15</v>
      </c>
      <c r="AG555" t="str">
        <v>2022/06/27</v>
      </c>
      <c r="AH555" t="str">
        <v>2022/12/22</v>
      </c>
    </row>
    <row r="556" spans="1:34" x14ac:dyDescent="0.3">
      <c r="A556" t="str">
        <f t="array" ref="A556:J556">[1]!'6285.TW-ID,Name,MarketValue,Capital,NetIncomeGrowthRate,OperIncomeGrowthRate,FinancialStatementsTime,TFXRatio,MonthlyNetSalesYoY,RevenueMonth'</f>
        <v>6285</v>
      </c>
      <c r="B556" t="str">
        <v>啟碁</v>
      </c>
      <c r="C556" t="str">
        <v>327.3</v>
      </c>
      <c r="D556" t="str">
        <v>39.80</v>
      </c>
      <c r="E556" t="str">
        <v>132.38</v>
      </c>
      <c r="F556" t="str">
        <v>200.74</v>
      </c>
      <c r="G556" t="str">
        <v>2022/09</v>
      </c>
      <c r="H556" t="str">
        <v>-8.80</v>
      </c>
      <c r="I556" t="str">
        <v>48.62</v>
      </c>
      <c r="J556" t="str">
        <v>2022/11</v>
      </c>
      <c r="K556" t="str">
        <f t="array" ref="K556:T556">[1]!'6285.TW-OperatingProfitRatio,Price,PriceChangeRatio,InOutRatioNumber,Value,YearReturn,MonthReturn,WeekReturn,FinanceBalanceDif,ChipsField2'</f>
        <v>3.12</v>
      </c>
      <c r="L556">
        <v>82.7</v>
      </c>
      <c r="M556">
        <v>0.24</v>
      </c>
      <c r="N556" t="str">
        <v>44.08%</v>
      </c>
      <c r="O556" t="str">
        <v>1.61億</v>
      </c>
      <c r="P556" t="str">
        <v>+13.67</v>
      </c>
      <c r="Q556" t="str">
        <v>0.00</v>
      </c>
      <c r="R556" t="str">
        <v>-4.28</v>
      </c>
      <c r="S556">
        <v>10</v>
      </c>
      <c r="T556">
        <v>0</v>
      </c>
      <c r="U556">
        <f t="array" ref="U556:AD556">[1]!'6285.TW-ChipsField3,ChipsField1,ChipsField25,CashAndStockDividend,CashDividendYieldRate,ProfitFourSeason,ProfitSingle,CName,ExchangeIndustry,CompanyPos'</f>
        <v>-496</v>
      </c>
      <c r="V556">
        <v>358</v>
      </c>
      <c r="W556" t="str">
        <v>2022/07/13</v>
      </c>
      <c r="X556" t="str">
        <v>2.10</v>
      </c>
      <c r="Y556">
        <v>2.54</v>
      </c>
      <c r="Z556" t="str">
        <v>6.18</v>
      </c>
      <c r="AA556" t="str">
        <v>3.13</v>
      </c>
      <c r="AB556" t="str">
        <v>啟碁</v>
      </c>
      <c r="AC556" t="str">
        <v>上市通信網路</v>
      </c>
      <c r="AD556" t="str">
        <v>緯創轉投資無線、衛星通訊產品大廠</v>
      </c>
      <c r="AE556" t="str">
        <f t="array" ref="AE556:AH556">[1]!'6285.TW-CName,InvestorConferenceDate,DateofMeetingofShareHolders,TradingDate'</f>
        <v>啟碁</v>
      </c>
      <c r="AF556" t="str">
        <v>2022/11/09</v>
      </c>
      <c r="AG556" t="str">
        <v>2022/06/10</v>
      </c>
      <c r="AH556" t="str">
        <v>2022/12/22</v>
      </c>
    </row>
    <row r="557" spans="1:34" x14ac:dyDescent="0.3">
      <c r="A557" t="str">
        <f t="array" ref="A557:J557">[1]!'6416.TW-ID,Name,MarketValue,Capital,NetIncomeGrowthRate,OperIncomeGrowthRate,FinancialStatementsTime,TFXRatio,MonthlyNetSalesYoY,RevenueMonth'</f>
        <v>6416</v>
      </c>
      <c r="B557" t="str">
        <v>瑞祺電通</v>
      </c>
      <c r="C557" t="str">
        <v>65.7</v>
      </c>
      <c r="D557" t="str">
        <v>7.32</v>
      </c>
      <c r="E557" t="str">
        <v>110.14</v>
      </c>
      <c r="F557" t="str">
        <v>78.62</v>
      </c>
      <c r="G557" t="str">
        <v>2022/09</v>
      </c>
      <c r="H557" t="str">
        <v>11.21</v>
      </c>
      <c r="I557" t="str">
        <v>5.40</v>
      </c>
      <c r="J557" t="str">
        <v>2022/11</v>
      </c>
      <c r="K557" t="str">
        <f t="array" ref="K557:T557">[1]!'6416.TW-OperatingProfitRatio,Price,PriceChangeRatio,InOutRatioNumber,Value,YearReturn,MonthReturn,WeekReturn,FinanceBalanceDif,ChipsField2'</f>
        <v>10.41</v>
      </c>
      <c r="L557">
        <v>89.8</v>
      </c>
      <c r="M557">
        <v>1.35</v>
      </c>
      <c r="N557" t="str">
        <v>38.64%</v>
      </c>
      <c r="O557" t="str">
        <v>793萬</v>
      </c>
      <c r="P557" t="str">
        <v>-7.75</v>
      </c>
      <c r="Q557" t="str">
        <v>-8.65</v>
      </c>
      <c r="R557" t="str">
        <v>-5.17</v>
      </c>
      <c r="S557">
        <v>-4</v>
      </c>
      <c r="T557">
        <v>0</v>
      </c>
      <c r="U557">
        <f t="array" ref="U557:AD557">[1]!'6416.TW-ChipsField3,ChipsField1,ChipsField25,CashAndStockDividend,CashDividendYieldRate,ProfitFourSeason,ProfitSingle,CName,ExchangeIndustry,CompanyPos'</f>
        <v>-4</v>
      </c>
      <c r="V557">
        <v>-61</v>
      </c>
      <c r="W557" t="str">
        <v>2022/08/15</v>
      </c>
      <c r="X557" t="str">
        <v>2.00</v>
      </c>
      <c r="Y557">
        <v>2.23</v>
      </c>
      <c r="Z557" t="str">
        <v>5.41</v>
      </c>
      <c r="AA557" t="str">
        <v>1.90</v>
      </c>
      <c r="AB557" t="str">
        <v>瑞祺電通</v>
      </c>
      <c r="AC557" t="str">
        <v>上市通信網路</v>
      </c>
      <c r="AD557" t="str">
        <v>台灣網通資安設備龍頭大廠</v>
      </c>
      <c r="AE557" t="str">
        <f t="array" ref="AE557:AH557">[1]!'6416.TW-CName,InvestorConferenceDate,DateofMeetingofShareHolders,TradingDate'</f>
        <v>瑞祺電通</v>
      </c>
      <c r="AF557" t="str">
        <v>2021/12/03</v>
      </c>
      <c r="AG557" t="str">
        <v>2022/06/16</v>
      </c>
      <c r="AH557" t="str">
        <v>2022/12/22</v>
      </c>
    </row>
    <row r="558" spans="1:34" x14ac:dyDescent="0.3">
      <c r="A558" t="str">
        <f t="array" ref="A558:J558">[1]!'6426.TW-ID,Name,MarketValue,Capital,NetIncomeGrowthRate,OperIncomeGrowthRate,FinancialStatementsTime,TFXRatio,MonthlyNetSalesYoY,RevenueMonth'</f>
        <v>6426</v>
      </c>
      <c r="B558" t="str">
        <v>統新</v>
      </c>
      <c r="C558" t="str">
        <v>23.6</v>
      </c>
      <c r="D558" t="str">
        <v>3.85</v>
      </c>
      <c r="E558" t="str">
        <v>1624.90</v>
      </c>
      <c r="F558" t="str">
        <v>1751.54</v>
      </c>
      <c r="G558" t="str">
        <v>2022/09</v>
      </c>
      <c r="H558" t="str">
        <v>5.47</v>
      </c>
      <c r="I558" t="str">
        <v>-12.25</v>
      </c>
      <c r="J558" t="str">
        <v>2022/11</v>
      </c>
      <c r="K558" t="str">
        <f t="array" ref="K558:T558">[1]!'6426.TW-OperatingProfitRatio,Price,PriceChangeRatio,InOutRatioNumber,Value,YearReturn,MonthReturn,WeekReturn,FinanceBalanceDif,ChipsField2'</f>
        <v>12.82</v>
      </c>
      <c r="L558">
        <v>61.3</v>
      </c>
      <c r="M558">
        <v>0</v>
      </c>
      <c r="N558" t="str">
        <v>37.80%</v>
      </c>
      <c r="O558" t="str">
        <v>510萬</v>
      </c>
      <c r="P558" t="str">
        <v>-13.27</v>
      </c>
      <c r="Q558" t="str">
        <v>-0.16</v>
      </c>
      <c r="R558" t="str">
        <v>-13.17</v>
      </c>
      <c r="S558">
        <v>-1</v>
      </c>
      <c r="T558">
        <v>0</v>
      </c>
      <c r="U558">
        <f t="array" ref="U558:AD558">[1]!'6426.TW-ChipsField3,ChipsField1,ChipsField25,CashAndStockDividend,CashDividendYieldRate,ProfitFourSeason,ProfitSingle,CName,ExchangeIndustry,CompanyPos'</f>
        <v>0</v>
      </c>
      <c r="V558">
        <v>-12</v>
      </c>
      <c r="W558" t="str">
        <v>2022/08/03</v>
      </c>
      <c r="X558" t="str">
        <v>2.00</v>
      </c>
      <c r="Y558">
        <v>3.26</v>
      </c>
      <c r="Z558" t="str">
        <v>2.49</v>
      </c>
      <c r="AA558" t="str">
        <v>0.91</v>
      </c>
      <c r="AB558" t="str">
        <v>統新</v>
      </c>
      <c r="AC558" t="str">
        <v>上市通信網路</v>
      </c>
      <c r="AD558" t="str">
        <v>台灣光通訊元件濾光片廠商</v>
      </c>
      <c r="AE558" t="str">
        <f t="array" ref="AE558:AH558">[1]!'6426.TW-CName,InvestorConferenceDate,DateofMeetingofShareHolders,TradingDate'</f>
        <v>統新</v>
      </c>
      <c r="AF558" t="str">
        <v>2022/11/29</v>
      </c>
      <c r="AG558" t="str">
        <v>2022/06/14</v>
      </c>
      <c r="AH558" t="str">
        <v>2022/12/22</v>
      </c>
    </row>
    <row r="559" spans="1:34" x14ac:dyDescent="0.3">
      <c r="A559" t="str">
        <f t="array" ref="A559:J559">[1]!'6442.TW-ID,Name,MarketValue,Capital,NetIncomeGrowthRate,OperIncomeGrowthRate,FinancialStatementsTime,TFXRatio,MonthlyNetSalesYoY,RevenueMonth'</f>
        <v>6442</v>
      </c>
      <c r="B559" t="str">
        <v>光聖</v>
      </c>
      <c r="C559" t="str">
        <v>32.2</v>
      </c>
      <c r="D559" t="str">
        <v>6.93</v>
      </c>
      <c r="E559" t="str">
        <v>335.82</v>
      </c>
      <c r="F559" t="str">
        <v>86.72</v>
      </c>
      <c r="G559" t="str">
        <v>2022/09</v>
      </c>
      <c r="H559" t="str">
        <v>9.80</v>
      </c>
      <c r="I559" t="str">
        <v>-10.09</v>
      </c>
      <c r="J559" t="str">
        <v>2022/11</v>
      </c>
      <c r="K559" t="str">
        <f t="array" ref="K559:T559">[1]!'6442.TW-OperatingProfitRatio,Price,PriceChangeRatio,InOutRatioNumber,Value,YearReturn,MonthReturn,WeekReturn,FinanceBalanceDif,ChipsField2'</f>
        <v>10.21</v>
      </c>
      <c r="L559">
        <v>46.4</v>
      </c>
      <c r="M559">
        <v>-0.96</v>
      </c>
      <c r="N559" t="str">
        <v>34.18%</v>
      </c>
      <c r="O559" t="str">
        <v>1973萬</v>
      </c>
      <c r="P559" t="str">
        <v>+34.78</v>
      </c>
      <c r="Q559" t="str">
        <v>+2.77</v>
      </c>
      <c r="R559" t="str">
        <v>-9.38</v>
      </c>
      <c r="S559">
        <v>-15</v>
      </c>
      <c r="T559">
        <v>0</v>
      </c>
      <c r="U559">
        <f t="array" ref="U559:AD559">[1]!'6442.TW-ChipsField3,ChipsField1,ChipsField25,CashAndStockDividend,CashDividendYieldRate,ProfitFourSeason,ProfitSingle,CName,ExchangeIndustry,CompanyPos'</f>
        <v>0</v>
      </c>
      <c r="V559">
        <v>23</v>
      </c>
      <c r="W559" t="str">
        <v>2022/07/27</v>
      </c>
      <c r="X559" t="str">
        <v>1.20</v>
      </c>
      <c r="Y559">
        <v>2.59</v>
      </c>
      <c r="Z559" t="str">
        <v>5.20</v>
      </c>
      <c r="AA559" t="str">
        <v>2.34</v>
      </c>
      <c r="AB559" t="str">
        <v>光聖</v>
      </c>
      <c r="AC559" t="str">
        <v>上市通信網路</v>
      </c>
      <c r="AD559" t="str">
        <v>光纖主被動元件及高頻連接器製造商</v>
      </c>
      <c r="AE559" t="str">
        <f t="array" ref="AE559:AH559">[1]!'6442.TW-CName,InvestorConferenceDate,DateofMeetingofShareHolders,TradingDate'</f>
        <v>光聖</v>
      </c>
      <c r="AF559" t="str">
        <v>2022/08/16</v>
      </c>
      <c r="AG559" t="str">
        <v>2022/06/27</v>
      </c>
      <c r="AH559" t="str">
        <v>2022/12/22</v>
      </c>
    </row>
    <row r="560" spans="1:34" x14ac:dyDescent="0.3">
      <c r="A560" t="str">
        <f t="array" ref="A560:J560">[1]!'6674.TW-ID,Name,MarketValue,Capital,NetIncomeGrowthRate,OperIncomeGrowthRate,FinancialStatementsTime,TFXRatio,MonthlyNetSalesYoY,RevenueMonth'</f>
        <v>6674</v>
      </c>
      <c r="B560" t="str">
        <v>鋐寶科技</v>
      </c>
      <c r="C560" t="str">
        <v>16.9</v>
      </c>
      <c r="D560" t="str">
        <v>6.80</v>
      </c>
      <c r="E560" t="str">
        <v>-88.81</v>
      </c>
      <c r="F560" t="str">
        <v>-152.37</v>
      </c>
      <c r="G560" t="str">
        <v>2022/09</v>
      </c>
      <c r="H560" t="str">
        <v>-6.46</v>
      </c>
      <c r="I560" t="str">
        <v>-24.35</v>
      </c>
      <c r="J560" t="str">
        <v>2022/11</v>
      </c>
      <c r="K560" t="str">
        <f t="array" ref="K560:T560">[1]!'6674.TW-OperatingProfitRatio,Price,PriceChangeRatio,InOutRatioNumber,Value,YearReturn,MonthReturn,WeekReturn,FinanceBalanceDif,ChipsField2'</f>
        <v>-1.73</v>
      </c>
      <c r="L560">
        <v>24.8</v>
      </c>
      <c r="M560">
        <v>-1.2</v>
      </c>
      <c r="N560" t="str">
        <v>60.00%</v>
      </c>
      <c r="O560" t="str">
        <v>12.4萬</v>
      </c>
      <c r="P560" t="str">
        <v>-17.14</v>
      </c>
      <c r="Q560" t="str">
        <v>+11.96</v>
      </c>
      <c r="R560" t="str">
        <v>+1.02</v>
      </c>
      <c r="S560">
        <v>3</v>
      </c>
      <c r="T560">
        <v>0</v>
      </c>
      <c r="U560">
        <f t="array" ref="U560:AD560">[1]!'6674.TW-ChipsField3,ChipsField1,ChipsField25,CashAndStockDividend,CashDividendYieldRate,ProfitFourSeason,ProfitSingle,CName,ExchangeIndustry,CompanyPos'</f>
        <v>0</v>
      </c>
      <c r="V560">
        <v>-1</v>
      </c>
      <c r="W560" t="str">
        <v>2022/03/30</v>
      </c>
      <c r="X560" t="str">
        <v>1.00</v>
      </c>
      <c r="Y560">
        <v>4.03</v>
      </c>
      <c r="Z560" t="str">
        <v>0.10</v>
      </c>
      <c r="AA560" t="str">
        <v>0.17</v>
      </c>
      <c r="AB560" t="str">
        <v>鋐寶科技</v>
      </c>
      <c r="AC560" t="str">
        <v>上市通信網路</v>
      </c>
      <c r="AD560" t="str">
        <v>仁寶轉投資之Cable CPE廠商</v>
      </c>
      <c r="AE560" t="str">
        <f t="array" ref="AE560:AH560">[1]!'6674.TW-CName,InvestorConferenceDate,DateofMeetingofShareHolders,TradingDate'</f>
        <v>鋐寶科技</v>
      </c>
      <c r="AF560" t="str">
        <v>2022/12/15</v>
      </c>
      <c r="AG560" t="str">
        <v>2022/06/27</v>
      </c>
      <c r="AH560" t="str">
        <v>2022/12/22</v>
      </c>
    </row>
    <row r="561" spans="1:34" x14ac:dyDescent="0.3">
      <c r="A561" t="str">
        <f t="array" ref="A561:J561">[1]!'6792.TW-ID,Name,MarketValue,Capital,NetIncomeGrowthRate,OperIncomeGrowthRate,FinancialStatementsTime,TFXRatio,MonthlyNetSalesYoY,RevenueMonth'</f>
        <v>6792</v>
      </c>
      <c r="B561" t="str">
        <v>詠業</v>
      </c>
      <c r="C561" t="str">
        <v>33.8</v>
      </c>
      <c r="D561" t="str">
        <v>4.79</v>
      </c>
      <c r="E561" t="str">
        <v>-9.52</v>
      </c>
      <c r="F561" t="str">
        <v>-18.75</v>
      </c>
      <c r="G561" t="str">
        <v>2022/09</v>
      </c>
      <c r="H561" t="str">
        <v>-4.31</v>
      </c>
      <c r="I561" t="str">
        <v>-23.00</v>
      </c>
      <c r="J561" t="str">
        <v>2022/11</v>
      </c>
      <c r="K561" t="str">
        <f t="array" ref="K561:T561">[1]!'6792.TW-OperatingProfitRatio,Price,PriceChangeRatio,InOutRatioNumber,Value,YearReturn,MonthReturn,WeekReturn,FinanceBalanceDif,ChipsField2'</f>
        <v>18.60</v>
      </c>
      <c r="L561">
        <v>70.599999999999994</v>
      </c>
      <c r="M561">
        <v>-0.14000000000000001</v>
      </c>
      <c r="N561" t="str">
        <v>21.62%</v>
      </c>
      <c r="O561" t="str">
        <v>263萬</v>
      </c>
      <c r="P561" t="str">
        <v>-64.40</v>
      </c>
      <c r="Q561" t="str">
        <v>-1.53</v>
      </c>
      <c r="R561" t="str">
        <v>-5.87</v>
      </c>
      <c r="S561">
        <v>1</v>
      </c>
      <c r="T561">
        <v>0</v>
      </c>
      <c r="U561">
        <f t="array" ref="U561:AD561">[1]!'6792.TW-ChipsField3,ChipsField1,ChipsField25,CashAndStockDividend,CashDividendYieldRate,ProfitFourSeason,ProfitSingle,CName,ExchangeIndustry,CompanyPos'</f>
        <v>0</v>
      </c>
      <c r="V561">
        <v>1</v>
      </c>
      <c r="W561" t="str">
        <v>2022/07/07</v>
      </c>
      <c r="X561" t="str">
        <v>5.50</v>
      </c>
      <c r="Y561">
        <v>7.79</v>
      </c>
      <c r="Z561" t="str">
        <v>5.77</v>
      </c>
      <c r="AA561" t="str">
        <v>1.02</v>
      </c>
      <c r="AB561" t="str">
        <v>詠業</v>
      </c>
      <c r="AC561" t="str">
        <v>上市通信網路</v>
      </c>
      <c r="AD561" t="str">
        <v>達方轉投資的天線、壓電陶瓷元件、電路保護元件廠</v>
      </c>
      <c r="AE561" t="str">
        <f t="array" ref="AE561:AH561">[1]!'6792.TW-CName,InvestorConferenceDate,DateofMeetingofShareHolders,TradingDate'</f>
        <v>詠業</v>
      </c>
      <c r="AF561" t="str">
        <v>2022/11/02</v>
      </c>
      <c r="AG561" t="str">
        <v>2022/06/22</v>
      </c>
      <c r="AH561" t="str">
        <v>2022/12/22</v>
      </c>
    </row>
    <row r="562" spans="1:34" x14ac:dyDescent="0.3">
      <c r="A562" t="str">
        <f t="array" ref="A562:J562">[1]!'8011.TW-ID,Name,MarketValue,Capital,NetIncomeGrowthRate,OperIncomeGrowthRate,FinancialStatementsTime,TFXRatio,MonthlyNetSalesYoY,RevenueMonth'</f>
        <v>8011</v>
      </c>
      <c r="B562" t="str">
        <v>台通</v>
      </c>
      <c r="C562" t="str">
        <v>21.5</v>
      </c>
      <c r="D562" t="str">
        <v>15.09</v>
      </c>
      <c r="E562" t="str">
        <v>-15.03</v>
      </c>
      <c r="F562" t="str">
        <v>-41.96</v>
      </c>
      <c r="G562" t="str">
        <v>2022/09</v>
      </c>
      <c r="H562" t="str">
        <v>24.41</v>
      </c>
      <c r="I562" t="str">
        <v>-18.16</v>
      </c>
      <c r="J562" t="str">
        <v>2022/11</v>
      </c>
      <c r="K562" t="str">
        <f t="array" ref="K562:T562">[1]!'8011.TW-OperatingProfitRatio,Price,PriceChangeRatio,InOutRatioNumber,Value,YearReturn,MonthReturn,WeekReturn,FinanceBalanceDif,ChipsField2'</f>
        <v>-13.08</v>
      </c>
      <c r="L562">
        <v>14.25</v>
      </c>
      <c r="M562">
        <v>0.35</v>
      </c>
      <c r="N562" t="str">
        <v>31.87%</v>
      </c>
      <c r="O562" t="str">
        <v>136萬</v>
      </c>
      <c r="P562" t="str">
        <v>-25.97</v>
      </c>
      <c r="Q562" t="str">
        <v>+0.71</v>
      </c>
      <c r="R562" t="str">
        <v>-4.36</v>
      </c>
      <c r="S562">
        <v>-8</v>
      </c>
      <c r="T562">
        <v>0</v>
      </c>
      <c r="U562">
        <f t="array" ref="U562:AD562">[1]!'8011.TW-ChipsField3,ChipsField1,ChipsField25,CashAndStockDividend,CashDividendYieldRate,ProfitFourSeason,ProfitSingle,CName,ExchangeIndustry,CompanyPos'</f>
        <v>0</v>
      </c>
      <c r="V562">
        <v>-14</v>
      </c>
      <c r="W562" t="str">
        <v>--</v>
      </c>
      <c r="X562" t="str">
        <v>0.00</v>
      </c>
      <c r="Y562">
        <v>0</v>
      </c>
      <c r="Z562" t="str">
        <v>-1.61</v>
      </c>
      <c r="AA562" t="str">
        <v>-0.19</v>
      </c>
      <c r="AB562" t="str">
        <v>台通</v>
      </c>
      <c r="AC562" t="str">
        <v>上市通信網路</v>
      </c>
      <c r="AD562" t="str">
        <v>鴻海轉投資光纖線纜與光纖被動元件製造商</v>
      </c>
      <c r="AE562" t="str">
        <f t="array" ref="AE562:AH562">[1]!'8011.TW-CName,InvestorConferenceDate,DateofMeetingofShareHolders,TradingDate'</f>
        <v>台通</v>
      </c>
      <c r="AF562" t="str">
        <v>2022/08/12</v>
      </c>
      <c r="AG562" t="str">
        <v>2022/05/31</v>
      </c>
      <c r="AH562" t="str">
        <v>2022/12/22</v>
      </c>
    </row>
    <row r="563" spans="1:34" x14ac:dyDescent="0.3">
      <c r="A563" t="str">
        <f t="array" ref="A563:J563">[1]!'8101.TW-ID,Name,MarketValue,Capital,NetIncomeGrowthRate,OperIncomeGrowthRate,FinancialStatementsTime,TFXRatio,MonthlyNetSalesYoY,RevenueMonth'</f>
        <v>8101</v>
      </c>
      <c r="B563" t="str">
        <v>華冠</v>
      </c>
      <c r="C563" t="str">
        <v>4.3</v>
      </c>
      <c r="D563" t="str">
        <v>7.28</v>
      </c>
      <c r="E563" t="str">
        <v>73.15</v>
      </c>
      <c r="F563" t="str">
        <v>45.26</v>
      </c>
      <c r="G563" t="str">
        <v>2022/09</v>
      </c>
      <c r="H563" t="str">
        <v>-8.33</v>
      </c>
      <c r="I563" t="str">
        <v>88.50</v>
      </c>
      <c r="J563" t="str">
        <v>2022/11</v>
      </c>
      <c r="K563" t="str">
        <f t="array" ref="K563:T563">[1]!'8101.TW-OperatingProfitRatio,Price,PriceChangeRatio,InOutRatioNumber,Value,YearReturn,MonthReturn,WeekReturn,FinanceBalanceDif,ChipsField2'</f>
        <v>-81.70</v>
      </c>
      <c r="L563">
        <v>5.88</v>
      </c>
      <c r="M563">
        <v>-0.51</v>
      </c>
      <c r="N563" t="str">
        <v>40.00%</v>
      </c>
      <c r="O563" t="str">
        <v>2.94萬</v>
      </c>
      <c r="P563" t="str">
        <v>-27.53</v>
      </c>
      <c r="Q563" t="str">
        <v>-2.81</v>
      </c>
      <c r="R563" t="str">
        <v>-0.34</v>
      </c>
      <c r="S563">
        <v>0</v>
      </c>
      <c r="T563">
        <v>0</v>
      </c>
      <c r="U563">
        <f t="array" ref="U563:AD563">[1]!'8101.TW-ChipsField3,ChipsField1,ChipsField25,CashAndStockDividend,CashDividendYieldRate,ProfitFourSeason,ProfitSingle,CName,ExchangeIndustry,CompanyPos'</f>
        <v>0</v>
      </c>
      <c r="V563">
        <v>0</v>
      </c>
      <c r="W563" t="str">
        <v>--</v>
      </c>
      <c r="X563" t="str">
        <v>0.00</v>
      </c>
      <c r="Y563">
        <v>0</v>
      </c>
      <c r="Z563" t="str">
        <v>1.68</v>
      </c>
      <c r="AA563" t="str">
        <v>-1.18</v>
      </c>
      <c r="AB563" t="str">
        <v>華冠</v>
      </c>
      <c r="AC563" t="str">
        <v>上市通信網路</v>
      </c>
      <c r="AD563" t="str">
        <v>華宇集團旗下手機ODM代工廠</v>
      </c>
      <c r="AE563" t="str">
        <f t="array" ref="AE563:AH563">[1]!'8101.TW-CName,InvestorConferenceDate,DateofMeetingofShareHolders,TradingDate'</f>
        <v>華冠</v>
      </c>
      <c r="AF563" t="str">
        <v>2021/12/29</v>
      </c>
      <c r="AG563" t="str">
        <v>2022/06/21</v>
      </c>
      <c r="AH563" t="str">
        <v>2022/12/22</v>
      </c>
    </row>
    <row r="564" spans="1:34" x14ac:dyDescent="0.3">
      <c r="A564" t="str">
        <f t="array" ref="A564:J564">[1]!'1471.TW-ID,Name,MarketValue,Capital,NetIncomeGrowthRate,OperIncomeGrowthRate,FinancialStatementsTime,TFXRatio,MonthlyNetSalesYoY,RevenueMonth'</f>
        <v>1471</v>
      </c>
      <c r="B564" t="str">
        <v>首利</v>
      </c>
      <c r="C564" t="str">
        <v>11.2</v>
      </c>
      <c r="D564" t="str">
        <v>15.04</v>
      </c>
      <c r="E564" t="str">
        <v>-120.48</v>
      </c>
      <c r="F564" t="str">
        <v>-21.80</v>
      </c>
      <c r="G564" t="str">
        <v>2022/09</v>
      </c>
      <c r="H564" t="str">
        <v>32.45</v>
      </c>
      <c r="I564" t="str">
        <v>-15.13</v>
      </c>
      <c r="J564" t="str">
        <v>2022/11</v>
      </c>
      <c r="K564" t="str">
        <f t="array" ref="K564:T564">[1]!'1471.TW-OperatingProfitRatio,Price,PriceChangeRatio,InOutRatioNumber,Value,YearReturn,MonthReturn,WeekReturn,FinanceBalanceDif,ChipsField2'</f>
        <v>-74.23</v>
      </c>
      <c r="L564">
        <v>7.71</v>
      </c>
      <c r="M564">
        <v>0</v>
      </c>
      <c r="N564" t="str">
        <v>18.97%</v>
      </c>
      <c r="O564" t="str">
        <v>90.3萬</v>
      </c>
      <c r="P564" t="str">
        <v>-11.89</v>
      </c>
      <c r="Q564" t="str">
        <v>+2.12</v>
      </c>
      <c r="R564" t="str">
        <v>-5.51</v>
      </c>
      <c r="S564">
        <v>0</v>
      </c>
      <c r="T564">
        <v>0</v>
      </c>
      <c r="U564">
        <f t="array" ref="U564:AD564">[1]!'1471.TW-ChipsField3,ChipsField1,ChipsField25,CashAndStockDividend,CashDividendYieldRate,ProfitFourSeason,ProfitSingle,CName,ExchangeIndustry,CompanyPos'</f>
        <v>0</v>
      </c>
      <c r="V564">
        <v>5</v>
      </c>
      <c r="W564" t="str">
        <v>--</v>
      </c>
      <c r="X564" t="str">
        <v>0.00</v>
      </c>
      <c r="Y564">
        <v>0</v>
      </c>
      <c r="Z564" t="str">
        <v>-0.59</v>
      </c>
      <c r="AA564" t="str">
        <v>-0.13</v>
      </c>
      <c r="AB564" t="str">
        <v>首利</v>
      </c>
      <c r="AC564" t="str">
        <v>上市電子零組件</v>
      </c>
      <c r="AD564" t="str">
        <v>台灣專攻Clone市場PC用的電源供應器與機殼廠</v>
      </c>
      <c r="AE564" t="str">
        <f t="array" ref="AE564:AH564">[1]!'1471.TW-CName,InvestorConferenceDate,DateofMeetingofShareHolders,TradingDate'</f>
        <v>首利</v>
      </c>
      <c r="AF564" t="str">
        <v>2022/12/08</v>
      </c>
      <c r="AG564" t="str">
        <v>2022/06/21</v>
      </c>
      <c r="AH564" t="str">
        <v>2022/12/22</v>
      </c>
    </row>
    <row r="565" spans="1:34" x14ac:dyDescent="0.3">
      <c r="A565" t="str">
        <f t="array" ref="A565:J565">[1]!'1582.TW-ID,Name,MarketValue,Capital,NetIncomeGrowthRate,OperIncomeGrowthRate,FinancialStatementsTime,TFXRatio,MonthlyNetSalesYoY,RevenueMonth'</f>
        <v>1582</v>
      </c>
      <c r="B565" t="str">
        <v>信錦</v>
      </c>
      <c r="C565" t="str">
        <v>72.4</v>
      </c>
      <c r="D565" t="str">
        <v>12.37</v>
      </c>
      <c r="E565" t="str">
        <v>59.74</v>
      </c>
      <c r="F565" t="str">
        <v>-18.04</v>
      </c>
      <c r="G565" t="str">
        <v>2022/09</v>
      </c>
      <c r="H565" t="str">
        <v>8.14</v>
      </c>
      <c r="I565" t="str">
        <v>-28.28</v>
      </c>
      <c r="J565" t="str">
        <v>2022/11</v>
      </c>
      <c r="K565" t="str">
        <f t="array" ref="K565:T565">[1]!'1582.TW-OperatingProfitRatio,Price,PriceChangeRatio,InOutRatioNumber,Value,YearReturn,MonthReturn,WeekReturn,FinanceBalanceDif,ChipsField2'</f>
        <v>3.24</v>
      </c>
      <c r="L565">
        <v>58.5</v>
      </c>
      <c r="M565">
        <v>0</v>
      </c>
      <c r="N565" t="str">
        <v>27.14%</v>
      </c>
      <c r="O565" t="str">
        <v>444萬</v>
      </c>
      <c r="P565" t="str">
        <v>-8.88</v>
      </c>
      <c r="Q565" t="str">
        <v>-0.68</v>
      </c>
      <c r="R565" t="str">
        <v>-0.17</v>
      </c>
      <c r="S565">
        <v>-1</v>
      </c>
      <c r="T565">
        <v>0</v>
      </c>
      <c r="U565">
        <f t="array" ref="U565:AD565">[1]!'1582.TW-ChipsField3,ChipsField1,ChipsField25,CashAndStockDividend,CashDividendYieldRate,ProfitFourSeason,ProfitSingle,CName,ExchangeIndustry,CompanyPos'</f>
        <v>-3</v>
      </c>
      <c r="V565">
        <v>-17</v>
      </c>
      <c r="W565" t="str">
        <v>2022/07/08</v>
      </c>
      <c r="X565" t="str">
        <v>5.30</v>
      </c>
      <c r="Y565">
        <v>9.06</v>
      </c>
      <c r="Z565" t="str">
        <v>2.99</v>
      </c>
      <c r="AA565" t="str">
        <v>1.31</v>
      </c>
      <c r="AB565" t="str">
        <v>信錦</v>
      </c>
      <c r="AC565" t="str">
        <v>上市電子零組件</v>
      </c>
      <c r="AD565" t="str">
        <v>全球最大監視器軸承及底座廠商</v>
      </c>
      <c r="AE565" t="str">
        <f t="array" ref="AE565:AH565">[1]!'1582.TW-CName,InvestorConferenceDate,DateofMeetingofShareHolders,TradingDate'</f>
        <v>信錦</v>
      </c>
      <c r="AF565" t="str">
        <v>2022/09/23</v>
      </c>
      <c r="AG565" t="str">
        <v>2022/06/10</v>
      </c>
      <c r="AH565" t="str">
        <v>2022/12/22</v>
      </c>
    </row>
    <row r="566" spans="1:34" x14ac:dyDescent="0.3">
      <c r="A566" t="str">
        <f t="array" ref="A566:J566">[1]!'2059.TW-ID,Name,MarketValue,Capital,NetIncomeGrowthRate,OperIncomeGrowthRate,FinancialStatementsTime,TFXRatio,MonthlyNetSalesYoY,RevenueMonth'</f>
        <v>2059</v>
      </c>
      <c r="B566" t="str">
        <v>川湖</v>
      </c>
      <c r="C566" t="str">
        <v>378.8</v>
      </c>
      <c r="D566" t="str">
        <v>9.53</v>
      </c>
      <c r="E566" t="str">
        <v>134.07</v>
      </c>
      <c r="F566" t="str">
        <v>43.25</v>
      </c>
      <c r="G566" t="str">
        <v>2022/09</v>
      </c>
      <c r="H566" t="str">
        <v>-9.26</v>
      </c>
      <c r="I566" t="str">
        <v>8.24</v>
      </c>
      <c r="J566" t="str">
        <v>2022/11</v>
      </c>
      <c r="K566" t="str">
        <f t="array" ref="K566:T566">[1]!'2059.TW-OperatingProfitRatio,Price,PriceChangeRatio,InOutRatioNumber,Value,YearReturn,MonthReturn,WeekReturn,FinanceBalanceDif,ChipsField2'</f>
        <v>47.35</v>
      </c>
      <c r="L566">
        <v>397.5</v>
      </c>
      <c r="M566">
        <v>2.3199999999999998</v>
      </c>
      <c r="N566" t="str">
        <v>69.30%</v>
      </c>
      <c r="O566" t="str">
        <v>8616萬</v>
      </c>
      <c r="P566" t="str">
        <v>-16.76</v>
      </c>
      <c r="Q566" t="str">
        <v>-1.12</v>
      </c>
      <c r="R566" t="str">
        <v>-1.36</v>
      </c>
      <c r="S566">
        <v>-10</v>
      </c>
      <c r="T566">
        <v>0</v>
      </c>
      <c r="U566">
        <f t="array" ref="U566:AD566">[1]!'2059.TW-ChipsField3,ChipsField1,ChipsField25,CashAndStockDividend,CashDividendYieldRate,ProfitFourSeason,ProfitSingle,CName,ExchangeIndustry,CompanyPos'</f>
        <v>-3</v>
      </c>
      <c r="V566">
        <v>21</v>
      </c>
      <c r="W566" t="str">
        <v>2022/08/30</v>
      </c>
      <c r="X566" t="str">
        <v>10.88</v>
      </c>
      <c r="Y566">
        <v>2.74</v>
      </c>
      <c r="Z566" t="str">
        <v>42.13</v>
      </c>
      <c r="AA566" t="str">
        <v>15.55</v>
      </c>
      <c r="AB566" t="str">
        <v>川湖</v>
      </c>
      <c r="AC566" t="str">
        <v>上市電子零組件</v>
      </c>
      <c r="AD566" t="str">
        <v>全球知名伺服器導軌廠</v>
      </c>
      <c r="AE566" t="str">
        <f t="array" ref="AE566:AH566">[1]!'2059.TW-CName,InvestorConferenceDate,DateofMeetingofShareHolders,TradingDate'</f>
        <v>川湖</v>
      </c>
      <c r="AF566" t="str">
        <v>2022/11/10</v>
      </c>
      <c r="AG566" t="str">
        <v>2022/06/29</v>
      </c>
      <c r="AH566" t="str">
        <v>2022/12/22</v>
      </c>
    </row>
    <row r="567" spans="1:34" x14ac:dyDescent="0.3">
      <c r="A567" t="str">
        <f t="array" ref="A567:J567">[1]!'2308.TW-ID,Name,MarketValue,Capital,NetIncomeGrowthRate,OperIncomeGrowthRate,FinancialStatementsTime,TFXRatio,MonthlyNetSalesYoY,RevenueMonth'</f>
        <v>2308</v>
      </c>
      <c r="B567" t="str">
        <v>台達電</v>
      </c>
      <c r="C567" t="str">
        <v>7442.0</v>
      </c>
      <c r="D567" t="str">
        <v>259.75</v>
      </c>
      <c r="E567" t="str">
        <v>28.52</v>
      </c>
      <c r="F567" t="str">
        <v>27.44</v>
      </c>
      <c r="G567" t="str">
        <v>2022/09</v>
      </c>
      <c r="H567" t="str">
        <v>0.50</v>
      </c>
      <c r="I567" t="str">
        <v>30.63</v>
      </c>
      <c r="J567" t="str">
        <v>2022/11</v>
      </c>
      <c r="K567" t="str">
        <f t="array" ref="K567:T567">[1]!'2308.TW-OperatingProfitRatio,Price,PriceChangeRatio,InOutRatioNumber,Value,YearReturn,MonthReturn,WeekReturn,FinanceBalanceDif,ChipsField2'</f>
        <v>11.00</v>
      </c>
      <c r="L567">
        <v>286.5</v>
      </c>
      <c r="M567">
        <v>1.06</v>
      </c>
      <c r="N567" t="str">
        <v>73.48%</v>
      </c>
      <c r="O567" t="str">
        <v>9.94億</v>
      </c>
      <c r="P567" t="str">
        <v>+10.28</v>
      </c>
      <c r="Q567" t="str">
        <v>-2.39</v>
      </c>
      <c r="R567" t="str">
        <v>-3.05</v>
      </c>
      <c r="S567">
        <v>127</v>
      </c>
      <c r="T567">
        <v>-134</v>
      </c>
      <c r="U567">
        <f t="array" ref="U567:AD567">[1]!'2308.TW-ChipsField3,ChipsField1,ChipsField25,CashAndStockDividend,CashDividendYieldRate,ProfitFourSeason,ProfitSingle,CName,ExchangeIndustry,CompanyPos'</f>
        <v>-384</v>
      </c>
      <c r="V567">
        <v>-299</v>
      </c>
      <c r="W567" t="str">
        <v>2022/06/29</v>
      </c>
      <c r="X567" t="str">
        <v>5.50</v>
      </c>
      <c r="Y567">
        <v>1.92</v>
      </c>
      <c r="Z567" t="str">
        <v>11.94</v>
      </c>
      <c r="AA567" t="str">
        <v>4.26</v>
      </c>
      <c r="AB567" t="str">
        <v>台達電</v>
      </c>
      <c r="AC567" t="str">
        <v>上市電子零組件</v>
      </c>
      <c r="AD567" t="str">
        <v>全球第一大電源供應器製造廠</v>
      </c>
      <c r="AE567" t="str">
        <f t="array" ref="AE567:AH567">[1]!'2308.TW-CName,InvestorConferenceDate,DateofMeetingofShareHolders,TradingDate'</f>
        <v>台達電</v>
      </c>
      <c r="AF567" t="str">
        <v>2022/11/29</v>
      </c>
      <c r="AG567" t="str">
        <v>2022/06/14</v>
      </c>
      <c r="AH567" t="str">
        <v>2022/12/22</v>
      </c>
    </row>
    <row r="568" spans="1:34" x14ac:dyDescent="0.3">
      <c r="A568" t="str">
        <f t="array" ref="A568:J568">[1]!'2313.TW-ID,Name,MarketValue,Capital,NetIncomeGrowthRate,OperIncomeGrowthRate,FinancialStatementsTime,TFXRatio,MonthlyNetSalesYoY,RevenueMonth'</f>
        <v>2313</v>
      </c>
      <c r="B568" t="str">
        <v>華通</v>
      </c>
      <c r="C568" t="str">
        <v>553.6</v>
      </c>
      <c r="D568" t="str">
        <v>119.18</v>
      </c>
      <c r="E568" t="str">
        <v>87.58</v>
      </c>
      <c r="F568" t="str">
        <v>68.38</v>
      </c>
      <c r="G568" t="str">
        <v>2022/09</v>
      </c>
      <c r="H568" t="str">
        <v>-9.35</v>
      </c>
      <c r="I568" t="str">
        <v>4.10</v>
      </c>
      <c r="J568" t="str">
        <v>2022/11</v>
      </c>
      <c r="K568" t="str">
        <f t="array" ref="K568:T568">[1]!'2313.TW-OperatingProfitRatio,Price,PriceChangeRatio,InOutRatioNumber,Value,YearReturn,MonthReturn,WeekReturn,FinanceBalanceDif,ChipsField2'</f>
        <v>12.79</v>
      </c>
      <c r="L568">
        <v>46.45</v>
      </c>
      <c r="M568">
        <v>-0.43</v>
      </c>
      <c r="N568" t="str">
        <v>32.80%</v>
      </c>
      <c r="O568" t="str">
        <v>4.51億</v>
      </c>
      <c r="P568" t="str">
        <v>+11.74</v>
      </c>
      <c r="Q568" t="str">
        <v>-3.63</v>
      </c>
      <c r="R568" t="str">
        <v>-2.82</v>
      </c>
      <c r="S568">
        <v>287</v>
      </c>
      <c r="T568">
        <v>0</v>
      </c>
      <c r="U568">
        <f t="array" ref="U568:AD568">[1]!'2313.TW-ChipsField3,ChipsField1,ChipsField25,CashAndStockDividend,CashDividendYieldRate,ProfitFourSeason,ProfitSingle,CName,ExchangeIndustry,CompanyPos'</f>
        <v>-283</v>
      </c>
      <c r="V568">
        <v>-1749</v>
      </c>
      <c r="W568" t="str">
        <v>2022/04/07</v>
      </c>
      <c r="X568" t="str">
        <v>1.80</v>
      </c>
      <c r="Y568">
        <v>3.88</v>
      </c>
      <c r="Z568" t="str">
        <v>6.60</v>
      </c>
      <c r="AA568" t="str">
        <v>2.11</v>
      </c>
      <c r="AB568" t="str">
        <v>華通</v>
      </c>
      <c r="AC568" t="str">
        <v>上市電子零組件</v>
      </c>
      <c r="AD568" t="str">
        <v>全球HDI板龍頭公司</v>
      </c>
      <c r="AE568" t="str">
        <f t="array" ref="AE568:AH568">[1]!'2313.TW-CName,InvestorConferenceDate,DateofMeetingofShareHolders,TradingDate'</f>
        <v>華通</v>
      </c>
      <c r="AF568" t="str">
        <v>2022/08/16</v>
      </c>
      <c r="AG568" t="str">
        <v>2022/06/09</v>
      </c>
      <c r="AH568" t="str">
        <v>2022/12/22</v>
      </c>
    </row>
    <row r="569" spans="1:34" x14ac:dyDescent="0.3">
      <c r="A569" t="str">
        <f t="array" ref="A569:J569">[1]!'2316.TW-ID,Name,MarketValue,Capital,NetIncomeGrowthRate,OperIncomeGrowthRate,FinancialStatementsTime,TFXRatio,MonthlyNetSalesYoY,RevenueMonth'</f>
        <v>2316</v>
      </c>
      <c r="B569" t="str">
        <v>楠梓電</v>
      </c>
      <c r="C569" t="str">
        <v>49.3</v>
      </c>
      <c r="D569" t="str">
        <v>18.27</v>
      </c>
      <c r="E569" t="str">
        <v>19.92</v>
      </c>
      <c r="F569" t="str">
        <v>-766.20</v>
      </c>
      <c r="G569" t="str">
        <v>2022/09</v>
      </c>
      <c r="H569" t="str">
        <v>-10.05</v>
      </c>
      <c r="I569" t="str">
        <v>-28.06</v>
      </c>
      <c r="J569" t="str">
        <v>2022/11</v>
      </c>
      <c r="K569" t="str">
        <f t="array" ref="K569:T569">[1]!'2316.TW-OperatingProfitRatio,Price,PriceChangeRatio,InOutRatioNumber,Value,YearReturn,MonthReturn,WeekReturn,FinanceBalanceDif,ChipsField2'</f>
        <v>-3.52</v>
      </c>
      <c r="L569">
        <v>27</v>
      </c>
      <c r="M569">
        <v>0.56000000000000005</v>
      </c>
      <c r="N569" t="str">
        <v>64.66%</v>
      </c>
      <c r="O569" t="str">
        <v>327萬</v>
      </c>
      <c r="P569" t="str">
        <v>-7.69</v>
      </c>
      <c r="Q569" t="str">
        <v>+8.87</v>
      </c>
      <c r="R569" t="str">
        <v>+2.08</v>
      </c>
      <c r="S569">
        <v>-3</v>
      </c>
      <c r="T569">
        <v>0</v>
      </c>
      <c r="U569">
        <f t="array" ref="U569:AD569">[1]!'2316.TW-ChipsField3,ChipsField1,ChipsField25,CashAndStockDividend,CashDividendYieldRate,ProfitFourSeason,ProfitSingle,CName,ExchangeIndustry,CompanyPos'</f>
        <v>-2</v>
      </c>
      <c r="V569">
        <v>-18</v>
      </c>
      <c r="W569" t="str">
        <v>2022/07/12</v>
      </c>
      <c r="X569" t="str">
        <v>1.00</v>
      </c>
      <c r="Y569">
        <v>3.7</v>
      </c>
      <c r="Z569" t="str">
        <v>3.37</v>
      </c>
      <c r="AA569" t="str">
        <v>0.96</v>
      </c>
      <c r="AB569" t="str">
        <v>楠梓電</v>
      </c>
      <c r="AC569" t="str">
        <v>上市電子零組件</v>
      </c>
      <c r="AD569" t="str">
        <v>國內PCB廠商，並轉投資於深交所掛牌之滬電股份</v>
      </c>
      <c r="AE569" t="str">
        <f t="array" ref="AE569:AH569">[1]!'2316.TW-CName,InvestorConferenceDate,DateofMeetingofShareHolders,TradingDate'</f>
        <v>楠梓電</v>
      </c>
      <c r="AF569" t="str">
        <v>2022/12/15</v>
      </c>
      <c r="AG569" t="str">
        <v>2022/06/15</v>
      </c>
      <c r="AH569" t="str">
        <v>2022/12/22</v>
      </c>
    </row>
    <row r="570" spans="1:34" x14ac:dyDescent="0.3">
      <c r="A570" t="str">
        <f t="array" ref="A570:J570">[1]!'2327.TW-ID,Name,MarketValue,Capital,NetIncomeGrowthRate,OperIncomeGrowthRate,FinancialStatementsTime,TFXRatio,MonthlyNetSalesYoY,RevenueMonth'</f>
        <v>2327</v>
      </c>
      <c r="B570" t="str">
        <v>國巨</v>
      </c>
      <c r="C570" t="str">
        <v>1965.2</v>
      </c>
      <c r="D570" t="str">
        <v>42.13</v>
      </c>
      <c r="E570" t="str">
        <v>-3.23</v>
      </c>
      <c r="F570" t="str">
        <v>-4.65</v>
      </c>
      <c r="G570" t="str">
        <v>2022/09</v>
      </c>
      <c r="H570" t="str">
        <v>2.02</v>
      </c>
      <c r="I570" t="str">
        <v>12.86</v>
      </c>
      <c r="J570" t="str">
        <v>2022/11</v>
      </c>
      <c r="K570" t="str">
        <f t="array" ref="K570:T570">[1]!'2327.TW-OperatingProfitRatio,Price,PriceChangeRatio,InOutRatioNumber,Value,YearReturn,MonthReturn,WeekReturn,FinanceBalanceDif,ChipsField2'</f>
        <v>24.99</v>
      </c>
      <c r="L570">
        <v>466.5</v>
      </c>
      <c r="M570">
        <v>2.64</v>
      </c>
      <c r="N570" t="str">
        <v>55.36%</v>
      </c>
      <c r="O570" t="str">
        <v>8.03億</v>
      </c>
      <c r="P570" t="str">
        <v>-14.71</v>
      </c>
      <c r="Q570" t="str">
        <v>+2.75</v>
      </c>
      <c r="R570" t="str">
        <v>-4.01</v>
      </c>
      <c r="S570">
        <v>92</v>
      </c>
      <c r="T570">
        <v>78</v>
      </c>
      <c r="U570">
        <f t="array" ref="U570:AD570">[1]!'2327.TW-ChipsField3,ChipsField1,ChipsField25,CashAndStockDividend,CashDividendYieldRate,ProfitFourSeason,ProfitSingle,CName,ExchangeIndustry,CompanyPos'</f>
        <v>-33</v>
      </c>
      <c r="V570">
        <v>-75</v>
      </c>
      <c r="W570" t="str">
        <v>2022/07/04</v>
      </c>
      <c r="X570" t="str">
        <v>10.10</v>
      </c>
      <c r="Y570">
        <v>2.17</v>
      </c>
      <c r="Z570" t="str">
        <v>44.46</v>
      </c>
      <c r="AA570" t="str">
        <v>12.10</v>
      </c>
      <c r="AB570" t="str">
        <v>國巨</v>
      </c>
      <c r="AC570" t="str">
        <v>上市電子零組件</v>
      </c>
      <c r="AD570" t="str">
        <v>全球被動元件供應商，亦為全球晶片電阻大廠</v>
      </c>
      <c r="AE570" t="str">
        <f t="array" ref="AE570:AH570">[1]!'2327.TW-CName,InvestorConferenceDate,DateofMeetingofShareHolders,TradingDate'</f>
        <v>國巨</v>
      </c>
      <c r="AF570" t="str">
        <v>2022/11/03</v>
      </c>
      <c r="AG570" t="str">
        <v>2022/06/08</v>
      </c>
      <c r="AH570" t="str">
        <v>2022/12/22</v>
      </c>
    </row>
    <row r="571" spans="1:34" x14ac:dyDescent="0.3">
      <c r="A571" t="str">
        <f t="array" ref="A571:J571">[1]!'2328.TW-ID,Name,MarketValue,Capital,NetIncomeGrowthRate,OperIncomeGrowthRate,FinancialStatementsTime,TFXRatio,MonthlyNetSalesYoY,RevenueMonth'</f>
        <v>2328</v>
      </c>
      <c r="B571" t="str">
        <v>廣宇</v>
      </c>
      <c r="C571" t="str">
        <v>198.5</v>
      </c>
      <c r="D571" t="str">
        <v>51.83</v>
      </c>
      <c r="E571" t="str">
        <v>38.78</v>
      </c>
      <c r="F571" t="str">
        <v>14.79</v>
      </c>
      <c r="G571" t="str">
        <v>2022/09</v>
      </c>
      <c r="H571" t="str">
        <v>20.52</v>
      </c>
      <c r="I571" t="str">
        <v>16.08</v>
      </c>
      <c r="J571" t="str">
        <v>2022/11</v>
      </c>
      <c r="K571" t="str">
        <f t="array" ref="K571:T571">[1]!'2328.TW-OperatingProfitRatio,Price,PriceChangeRatio,InOutRatioNumber,Value,YearReturn,MonthReturn,WeekReturn,FinanceBalanceDif,ChipsField2'</f>
        <v>6.02</v>
      </c>
      <c r="L571">
        <v>38.299999999999997</v>
      </c>
      <c r="M571">
        <v>0.92</v>
      </c>
      <c r="N571" t="str">
        <v>42.30%</v>
      </c>
      <c r="O571" t="str">
        <v>9754萬</v>
      </c>
      <c r="P571" t="str">
        <v>+0.44</v>
      </c>
      <c r="Q571" t="str">
        <v>+12.32</v>
      </c>
      <c r="R571" t="str">
        <v>-1.03</v>
      </c>
      <c r="S571">
        <v>-259</v>
      </c>
      <c r="T571">
        <v>0</v>
      </c>
      <c r="U571">
        <f t="array" ref="U571:AD571">[1]!'2328.TW-ChipsField3,ChipsField1,ChipsField25,CashAndStockDividend,CashDividendYieldRate,ProfitFourSeason,ProfitSingle,CName,ExchangeIndustry,CompanyPos'</f>
        <v>70</v>
      </c>
      <c r="V571">
        <v>0</v>
      </c>
      <c r="W571" t="str">
        <v>2022/08/30</v>
      </c>
      <c r="X571" t="str">
        <v>1.00</v>
      </c>
      <c r="Y571">
        <v>2.61</v>
      </c>
      <c r="Z571" t="str">
        <v>2.42</v>
      </c>
      <c r="AA571" t="str">
        <v>0.95</v>
      </c>
      <c r="AB571" t="str">
        <v>廣宇</v>
      </c>
      <c r="AC571" t="str">
        <v>上市電子零組件</v>
      </c>
      <c r="AD571" t="str">
        <v>鴻海旗下電子零件代工、PCB及連接器廠</v>
      </c>
      <c r="AE571" t="str">
        <f t="array" ref="AE571:AH571">[1]!'2328.TW-CName,InvestorConferenceDate,DateofMeetingofShareHolders,TradingDate'</f>
        <v>廣宇</v>
      </c>
      <c r="AF571" t="str">
        <v>2022/12/19</v>
      </c>
      <c r="AG571" t="str">
        <v>2022/06/15</v>
      </c>
      <c r="AH571" t="str">
        <v>2022/12/22</v>
      </c>
    </row>
    <row r="572" spans="1:34" x14ac:dyDescent="0.3">
      <c r="A572" t="str">
        <f t="array" ref="A572:J572">[1]!'2355.TW-ID,Name,MarketValue,Capital,NetIncomeGrowthRate,OperIncomeGrowthRate,FinancialStatementsTime,TFXRatio,MonthlyNetSalesYoY,RevenueMonth'</f>
        <v>2355</v>
      </c>
      <c r="B572" t="str">
        <v>敬鵬</v>
      </c>
      <c r="C572" t="str">
        <v>115.5</v>
      </c>
      <c r="D572" t="str">
        <v>39.75</v>
      </c>
      <c r="E572" t="str">
        <v>-6.95</v>
      </c>
      <c r="F572" t="str">
        <v>48.14</v>
      </c>
      <c r="G572" t="str">
        <v>2022/09</v>
      </c>
      <c r="H572" t="str">
        <v>-8.20</v>
      </c>
      <c r="I572" t="str">
        <v>-6.29</v>
      </c>
      <c r="J572" t="str">
        <v>2022/11</v>
      </c>
      <c r="K572" t="str">
        <f t="array" ref="K572:T572">[1]!'2355.TW-OperatingProfitRatio,Price,PriceChangeRatio,InOutRatioNumber,Value,YearReturn,MonthReturn,WeekReturn,FinanceBalanceDif,ChipsField2'</f>
        <v>-0.45</v>
      </c>
      <c r="L572">
        <v>29.05</v>
      </c>
      <c r="M572">
        <v>0.87</v>
      </c>
      <c r="N572" t="str">
        <v>49.48%</v>
      </c>
      <c r="O572" t="str">
        <v>1148萬</v>
      </c>
      <c r="P572" t="str">
        <v>-18.90</v>
      </c>
      <c r="Q572" t="str">
        <v>-8.21</v>
      </c>
      <c r="R572" t="str">
        <v>-5.83</v>
      </c>
      <c r="S572">
        <v>-11</v>
      </c>
      <c r="T572">
        <v>0</v>
      </c>
      <c r="U572">
        <f t="array" ref="U572:AD572">[1]!'2355.TW-ChipsField3,ChipsField1,ChipsField25,CashAndStockDividend,CashDividendYieldRate,ProfitFourSeason,ProfitSingle,CName,ExchangeIndustry,CompanyPos'</f>
        <v>-38</v>
      </c>
      <c r="V572">
        <v>-148</v>
      </c>
      <c r="W572" t="str">
        <v>2022/07/26</v>
      </c>
      <c r="X572" t="str">
        <v>0.50</v>
      </c>
      <c r="Y572">
        <v>1.72</v>
      </c>
      <c r="Z572" t="str">
        <v>0.79</v>
      </c>
      <c r="AA572" t="str">
        <v>0.52</v>
      </c>
      <c r="AB572" t="str">
        <v>敬鵬</v>
      </c>
      <c r="AC572" t="str">
        <v>上市電子零組件</v>
      </c>
      <c r="AD572" t="str">
        <v>全球車用PCB龍頭廠商</v>
      </c>
      <c r="AE572" t="str">
        <f t="array" ref="AE572:AH572">[1]!'2355.TW-CName,InvestorConferenceDate,DateofMeetingofShareHolders,TradingDate'</f>
        <v>敬鵬</v>
      </c>
      <c r="AF572" t="str">
        <v>2022/11/24</v>
      </c>
      <c r="AG572" t="str">
        <v>2022/06/24</v>
      </c>
      <c r="AH572" t="str">
        <v>2022/12/22</v>
      </c>
    </row>
    <row r="573" spans="1:34" x14ac:dyDescent="0.3">
      <c r="A573" t="str">
        <f t="array" ref="A573:J573">[1]!'2367.TW-ID,Name,MarketValue,Capital,NetIncomeGrowthRate,OperIncomeGrowthRate,FinancialStatementsTime,TFXRatio,MonthlyNetSalesYoY,RevenueMonth'</f>
        <v>2367</v>
      </c>
      <c r="B573" t="str">
        <v>燿華</v>
      </c>
      <c r="C573" t="str">
        <v>117.8</v>
      </c>
      <c r="D573" t="str">
        <v>66.94</v>
      </c>
      <c r="E573" t="str">
        <v>901.34</v>
      </c>
      <c r="F573" t="str">
        <v>124.49</v>
      </c>
      <c r="G573" t="str">
        <v>2022/09</v>
      </c>
      <c r="H573" t="str">
        <v>-13.17</v>
      </c>
      <c r="I573" t="str">
        <v>-2.86</v>
      </c>
      <c r="J573" t="str">
        <v>2022/11</v>
      </c>
      <c r="K573" t="str">
        <f t="array" ref="K573:T573">[1]!'2367.TW-OperatingProfitRatio,Price,PriceChangeRatio,InOutRatioNumber,Value,YearReturn,MonthReturn,WeekReturn,FinanceBalanceDif,ChipsField2'</f>
        <v>2.77</v>
      </c>
      <c r="L573">
        <v>17.600000000000001</v>
      </c>
      <c r="M573">
        <v>0.56999999999999995</v>
      </c>
      <c r="N573" t="str">
        <v>41.53%</v>
      </c>
      <c r="O573" t="str">
        <v>4857萬</v>
      </c>
      <c r="P573" t="str">
        <v>-6.63</v>
      </c>
      <c r="Q573" t="str">
        <v>-4.86</v>
      </c>
      <c r="R573" t="str">
        <v>-4.09</v>
      </c>
      <c r="S573">
        <v>-24</v>
      </c>
      <c r="T573">
        <v>0</v>
      </c>
      <c r="U573">
        <f t="array" ref="U573:AD573">[1]!'2367.TW-ChipsField3,ChipsField1,ChipsField25,CashAndStockDividend,CashDividendYieldRate,ProfitFourSeason,ProfitSingle,CName,ExchangeIndustry,CompanyPos'</f>
        <v>-41</v>
      </c>
      <c r="V573">
        <v>-817</v>
      </c>
      <c r="W573" t="str">
        <v>--</v>
      </c>
      <c r="X573" t="str">
        <v>0.00</v>
      </c>
      <c r="Y573">
        <v>0</v>
      </c>
      <c r="Z573" t="str">
        <v>0.51</v>
      </c>
      <c r="AA573" t="str">
        <v>0.95</v>
      </c>
      <c r="AB573" t="str">
        <v>燿華</v>
      </c>
      <c r="AC573" t="str">
        <v>上市電子零組件</v>
      </c>
      <c r="AD573" t="str">
        <v>台灣前三大手機印刷電路板廠之一</v>
      </c>
      <c r="AE573" t="str">
        <f t="array" ref="AE573:AH573">[1]!'2367.TW-CName,InvestorConferenceDate,DateofMeetingofShareHolders,TradingDate'</f>
        <v>燿華</v>
      </c>
      <c r="AF573" t="str">
        <v>2021/11/11</v>
      </c>
      <c r="AG573" t="str">
        <v>2022/06/21</v>
      </c>
      <c r="AH573" t="str">
        <v>2022/12/22</v>
      </c>
    </row>
    <row r="574" spans="1:34" x14ac:dyDescent="0.3">
      <c r="A574" t="str">
        <f t="array" ref="A574:J574">[1]!'2368.TW-ID,Name,MarketValue,Capital,NetIncomeGrowthRate,OperIncomeGrowthRate,FinancialStatementsTime,TFXRatio,MonthlyNetSalesYoY,RevenueMonth'</f>
        <v>2368</v>
      </c>
      <c r="B574" t="str">
        <v>金像電</v>
      </c>
      <c r="C574" t="str">
        <v>439.7</v>
      </c>
      <c r="D574" t="str">
        <v>49.18</v>
      </c>
      <c r="E574" t="str">
        <v>71.79</v>
      </c>
      <c r="F574" t="str">
        <v>54.84</v>
      </c>
      <c r="G574" t="str">
        <v>2022/09</v>
      </c>
      <c r="H574" t="str">
        <v>-2.44</v>
      </c>
      <c r="I574" t="str">
        <v>13.00</v>
      </c>
      <c r="J574" t="str">
        <v>2022/11</v>
      </c>
      <c r="K574" t="str">
        <f t="array" ref="K574:T574">[1]!'2368.TW-OperatingProfitRatio,Price,PriceChangeRatio,InOutRatioNumber,Value,YearReturn,MonthReturn,WeekReturn,FinanceBalanceDif,ChipsField2'</f>
        <v>18.58</v>
      </c>
      <c r="L574">
        <v>89.4</v>
      </c>
      <c r="M574">
        <v>-0.89</v>
      </c>
      <c r="N574" t="str">
        <v>33.89%</v>
      </c>
      <c r="O574" t="str">
        <v>4.71億</v>
      </c>
      <c r="P574" t="str">
        <v>+11.94</v>
      </c>
      <c r="Q574" t="str">
        <v>-9.24</v>
      </c>
      <c r="R574" t="str">
        <v>-7.84</v>
      </c>
      <c r="S574">
        <v>95</v>
      </c>
      <c r="T574">
        <v>-377</v>
      </c>
      <c r="U574">
        <f t="array" ref="U574:AD574">[1]!'2368.TW-ChipsField3,ChipsField1,ChipsField25,CashAndStockDividend,CashDividendYieldRate,ProfitFourSeason,ProfitSingle,CName,ExchangeIndustry,CompanyPos'</f>
        <v>-97</v>
      </c>
      <c r="V574">
        <v>-675</v>
      </c>
      <c r="W574" t="str">
        <v>2022/06/27</v>
      </c>
      <c r="X574" t="str">
        <v>2.20</v>
      </c>
      <c r="Y574">
        <v>2.46</v>
      </c>
      <c r="Z574" t="str">
        <v>8.39</v>
      </c>
      <c r="AA574" t="str">
        <v>2.73</v>
      </c>
      <c r="AB574" t="str">
        <v>金像電</v>
      </c>
      <c r="AC574" t="str">
        <v>上市電子零組件</v>
      </c>
      <c r="AD574" t="str">
        <v>全球最大伺服器用板製造商</v>
      </c>
      <c r="AE574" t="str">
        <f t="array" ref="AE574:AH574">[1]!'2368.TW-CName,InvestorConferenceDate,DateofMeetingofShareHolders,TradingDate'</f>
        <v>金像電</v>
      </c>
      <c r="AF574" t="str">
        <v>2022/12/15</v>
      </c>
      <c r="AG574" t="str">
        <v>2022/06/08</v>
      </c>
      <c r="AH574" t="str">
        <v>2022/12/22</v>
      </c>
    </row>
    <row r="575" spans="1:34" x14ac:dyDescent="0.3">
      <c r="A575" t="str">
        <f t="array" ref="A575:J575">[1]!'2375.TW-ID,Name,MarketValue,Capital,NetIncomeGrowthRate,OperIncomeGrowthRate,FinancialStatementsTime,TFXRatio,MonthlyNetSalesYoY,RevenueMonth'</f>
        <v>2375</v>
      </c>
      <c r="B575" t="str">
        <v>凱美</v>
      </c>
      <c r="C575" t="str">
        <v>61.1</v>
      </c>
      <c r="D575" t="str">
        <v>10.87</v>
      </c>
      <c r="E575" t="str">
        <v>-36.66</v>
      </c>
      <c r="F575" t="str">
        <v>-65.90</v>
      </c>
      <c r="G575" t="str">
        <v>2022/09</v>
      </c>
      <c r="H575" t="str">
        <v>2.99</v>
      </c>
      <c r="I575" t="str">
        <v>-26.95</v>
      </c>
      <c r="J575" t="str">
        <v>2022/11</v>
      </c>
      <c r="K575" t="str">
        <f t="array" ref="K575:T575">[1]!'2375.TW-OperatingProfitRatio,Price,PriceChangeRatio,InOutRatioNumber,Value,YearReturn,MonthReturn,WeekReturn,FinanceBalanceDif,ChipsField2'</f>
        <v>5.87</v>
      </c>
      <c r="L575">
        <v>56.2</v>
      </c>
      <c r="M575">
        <v>0.9</v>
      </c>
      <c r="N575" t="str">
        <v>28.57%</v>
      </c>
      <c r="O575" t="str">
        <v>1073萬</v>
      </c>
      <c r="P575" t="str">
        <v>-50.94</v>
      </c>
      <c r="Q575" t="str">
        <v>-0.88</v>
      </c>
      <c r="R575" t="str">
        <v>-6.95</v>
      </c>
      <c r="S575">
        <v>-12</v>
      </c>
      <c r="T575">
        <v>0</v>
      </c>
      <c r="U575">
        <f t="array" ref="U575:AD575">[1]!'2375.TW-ChipsField3,ChipsField1,ChipsField25,CashAndStockDividend,CashDividendYieldRate,ProfitFourSeason,ProfitSingle,CName,ExchangeIndustry,CompanyPos'</f>
        <v>-3</v>
      </c>
      <c r="V575">
        <v>-25</v>
      </c>
      <c r="W575" t="str">
        <v>2022/06/29</v>
      </c>
      <c r="X575" t="str">
        <v>2.00</v>
      </c>
      <c r="Y575">
        <v>3.56</v>
      </c>
      <c r="Z575" t="str">
        <v>6.04</v>
      </c>
      <c r="AA575" t="str">
        <v>1.58</v>
      </c>
      <c r="AB575" t="str">
        <v>凱美</v>
      </c>
      <c r="AC575" t="str">
        <v>上市電子零組件</v>
      </c>
      <c r="AD575" t="str">
        <v>國巨旗下專業鋁質電容廠</v>
      </c>
      <c r="AE575" t="str">
        <f t="array" ref="AE575:AH575">[1]!'2375.TW-CName,InvestorConferenceDate,DateofMeetingofShareHolders,TradingDate'</f>
        <v>凱美</v>
      </c>
      <c r="AF575" t="str">
        <v>2022/11/14</v>
      </c>
      <c r="AG575" t="str">
        <v>2022/06/08</v>
      </c>
      <c r="AH575" t="str">
        <v>2022/12/22</v>
      </c>
    </row>
    <row r="576" spans="1:34" x14ac:dyDescent="0.3">
      <c r="A576" t="str">
        <f t="array" ref="A576:J576">[1]!'2383.TW-ID,Name,MarketValue,Capital,NetIncomeGrowthRate,OperIncomeGrowthRate,FinancialStatementsTime,TFXRatio,MonthlyNetSalesYoY,RevenueMonth'</f>
        <v>2383</v>
      </c>
      <c r="B576" t="str">
        <v>台光電</v>
      </c>
      <c r="C576" t="str">
        <v>592.6</v>
      </c>
      <c r="D576" t="str">
        <v>33.29</v>
      </c>
      <c r="E576" t="str">
        <v>-7.27</v>
      </c>
      <c r="F576" t="str">
        <v>-7.41</v>
      </c>
      <c r="G576" t="str">
        <v>2022/09</v>
      </c>
      <c r="H576" t="str">
        <v>-3.73</v>
      </c>
      <c r="I576" t="str">
        <v>-10.81</v>
      </c>
      <c r="J576" t="str">
        <v>2022/11</v>
      </c>
      <c r="K576" t="str">
        <f t="array" ref="K576:T576">[1]!'2383.TW-OperatingProfitRatio,Price,PriceChangeRatio,InOutRatioNumber,Value,YearReturn,MonthReturn,WeekReturn,FinanceBalanceDif,ChipsField2'</f>
        <v>15.79</v>
      </c>
      <c r="L576">
        <v>178</v>
      </c>
      <c r="M576">
        <v>3.19</v>
      </c>
      <c r="N576" t="str">
        <v>65.21%</v>
      </c>
      <c r="O576" t="str">
        <v>8.69億</v>
      </c>
      <c r="P576" t="str">
        <v>-31.43</v>
      </c>
      <c r="Q576" t="str">
        <v>+3.19</v>
      </c>
      <c r="R576" t="str">
        <v>-5.82</v>
      </c>
      <c r="S576">
        <v>23</v>
      </c>
      <c r="T576">
        <v>2263</v>
      </c>
      <c r="U576">
        <f t="array" ref="U576:AD576">[1]!'2383.TW-ChipsField3,ChipsField1,ChipsField25,CashAndStockDividend,CashDividendYieldRate,ProfitFourSeason,ProfitSingle,CName,ExchangeIndustry,CompanyPos'</f>
        <v>-34</v>
      </c>
      <c r="V576">
        <v>-2681</v>
      </c>
      <c r="W576" t="str">
        <v>2022/08/25</v>
      </c>
      <c r="X576" t="str">
        <v>10.00</v>
      </c>
      <c r="Y576">
        <v>5.62</v>
      </c>
      <c r="Z576" t="str">
        <v>15.63</v>
      </c>
      <c r="AA576" t="str">
        <v>3.93</v>
      </c>
      <c r="AB576" t="str">
        <v>台光電</v>
      </c>
      <c r="AC576" t="str">
        <v>上市電子零組件</v>
      </c>
      <c r="AD576" t="str">
        <v>全球第一大無鹵素板廠、台灣第二大CCL廠</v>
      </c>
      <c r="AE576" t="str">
        <f t="array" ref="AE576:AH576">[1]!'2383.TW-CName,InvestorConferenceDate,DateofMeetingofShareHolders,TradingDate'</f>
        <v>台光電</v>
      </c>
      <c r="AF576" t="str">
        <v>2022/08/18</v>
      </c>
      <c r="AG576" t="str">
        <v>2022/05/26</v>
      </c>
      <c r="AH576" t="str">
        <v>2022/12/22</v>
      </c>
    </row>
    <row r="577" spans="1:34" x14ac:dyDescent="0.3">
      <c r="A577" t="str">
        <f t="array" ref="A577:J577">[1]!'2385.TW-ID,Name,MarketValue,Capital,NetIncomeGrowthRate,OperIncomeGrowthRate,FinancialStatementsTime,TFXRatio,MonthlyNetSalesYoY,RevenueMonth'</f>
        <v>2385</v>
      </c>
      <c r="B577" t="str">
        <v>群光</v>
      </c>
      <c r="C577" t="str">
        <v>654.9</v>
      </c>
      <c r="D577" t="str">
        <v>75.18</v>
      </c>
      <c r="E577" t="str">
        <v>24.88</v>
      </c>
      <c r="F577" t="str">
        <v>31.70</v>
      </c>
      <c r="G577" t="str">
        <v>2022/09</v>
      </c>
      <c r="H577" t="str">
        <v>2.67</v>
      </c>
      <c r="I577" t="str">
        <v>-6.53</v>
      </c>
      <c r="J577" t="str">
        <v>2022/11</v>
      </c>
      <c r="K577" t="str">
        <f t="array" ref="K577:T577">[1]!'2385.TW-OperatingProfitRatio,Price,PriceChangeRatio,InOutRatioNumber,Value,YearReturn,MonthReturn,WeekReturn,FinanceBalanceDif,ChipsField2'</f>
        <v>9.18</v>
      </c>
      <c r="L577">
        <v>87.1</v>
      </c>
      <c r="M577">
        <v>0.93</v>
      </c>
      <c r="N577" t="str">
        <v>29.20%</v>
      </c>
      <c r="O577" t="str">
        <v>3.33億</v>
      </c>
      <c r="P577" t="str">
        <v>+15.02</v>
      </c>
      <c r="Q577" t="str">
        <v>+7.40</v>
      </c>
      <c r="R577" t="str">
        <v>+3.57</v>
      </c>
      <c r="S577">
        <v>-28</v>
      </c>
      <c r="T577">
        <v>-2202</v>
      </c>
      <c r="U577">
        <f t="array" ref="U577:AD577">[1]!'2385.TW-ChipsField3,ChipsField1,ChipsField25,CashAndStockDividend,CashDividendYieldRate,ProfitFourSeason,ProfitSingle,CName,ExchangeIndustry,CompanyPos'</f>
        <v>-1</v>
      </c>
      <c r="V577">
        <v>2041</v>
      </c>
      <c r="W577" t="str">
        <v>2022/06/16</v>
      </c>
      <c r="X577" t="str">
        <v>6.10</v>
      </c>
      <c r="Y577">
        <v>7</v>
      </c>
      <c r="Z577" t="str">
        <v>10.24</v>
      </c>
      <c r="AA577" t="str">
        <v>2.97</v>
      </c>
      <c r="AB577" t="str">
        <v>群光</v>
      </c>
      <c r="AC577" t="str">
        <v>上市電子零組件</v>
      </c>
      <c r="AD577" t="str">
        <v>全球PC鍵盤排名前三大之電腦週邊廠</v>
      </c>
      <c r="AE577" t="str">
        <f t="array" ref="AE577:AH577">[1]!'2385.TW-CName,InvestorConferenceDate,DateofMeetingofShareHolders,TradingDate'</f>
        <v>群光</v>
      </c>
      <c r="AF577" t="str">
        <v>2022/11/03</v>
      </c>
      <c r="AG577" t="str">
        <v>2022/06/10</v>
      </c>
      <c r="AH577" t="str">
        <v>2022/12/22</v>
      </c>
    </row>
    <row r="578" spans="1:34" x14ac:dyDescent="0.3">
      <c r="A578" t="str">
        <f t="array" ref="A578:J578">[1]!'2392.TW-ID,Name,MarketValue,Capital,NetIncomeGrowthRate,OperIncomeGrowthRate,FinancialStatementsTime,TFXRatio,MonthlyNetSalesYoY,RevenueMonth'</f>
        <v>2392</v>
      </c>
      <c r="B578" t="str">
        <v>正崴</v>
      </c>
      <c r="C578" t="str">
        <v>190.6</v>
      </c>
      <c r="D578" t="str">
        <v>51.23</v>
      </c>
      <c r="E578" t="str">
        <v>67.87</v>
      </c>
      <c r="F578" t="str">
        <v>95.47</v>
      </c>
      <c r="G578" t="str">
        <v>2022/09</v>
      </c>
      <c r="H578" t="str">
        <v>-10.90</v>
      </c>
      <c r="I578" t="str">
        <v>-5.53</v>
      </c>
      <c r="J578" t="str">
        <v>2022/11</v>
      </c>
      <c r="K578" t="str">
        <f t="array" ref="K578:T578">[1]!'2392.TW-OperatingProfitRatio,Price,PriceChangeRatio,InOutRatioNumber,Value,YearReturn,MonthReturn,WeekReturn,FinanceBalanceDif,ChipsField2'</f>
        <v>3.67</v>
      </c>
      <c r="L578">
        <v>37.200000000000003</v>
      </c>
      <c r="M578">
        <v>1.5</v>
      </c>
      <c r="N578" t="str">
        <v>52.51%</v>
      </c>
      <c r="O578" t="str">
        <v>1883萬</v>
      </c>
      <c r="P578" t="str">
        <v>+1.01</v>
      </c>
      <c r="Q578" t="str">
        <v>+4.64</v>
      </c>
      <c r="R578" t="str">
        <v>-3.00</v>
      </c>
      <c r="S578">
        <v>-661</v>
      </c>
      <c r="T578">
        <v>0</v>
      </c>
      <c r="U578">
        <f t="array" ref="U578:AD578">[1]!'2392.TW-ChipsField3,ChipsField1,ChipsField25,CashAndStockDividend,CashDividendYieldRate,ProfitFourSeason,ProfitSingle,CName,ExchangeIndustry,CompanyPos'</f>
        <v>-12</v>
      </c>
      <c r="V578">
        <v>-37</v>
      </c>
      <c r="W578" t="str">
        <v>2022/07/19</v>
      </c>
      <c r="X578" t="str">
        <v>1.50</v>
      </c>
      <c r="Y578">
        <v>4.03</v>
      </c>
      <c r="Z578" t="str">
        <v>2.98</v>
      </c>
      <c r="AA578" t="str">
        <v>1.51</v>
      </c>
      <c r="AB578" t="str">
        <v>正崴</v>
      </c>
      <c r="AC578" t="str">
        <v>上市電子零組件</v>
      </c>
      <c r="AD578" t="str">
        <v>生產3C產品連接器、電池模組、電源管理模組之廠商</v>
      </c>
      <c r="AE578" t="str">
        <f t="array" ref="AE578:AH578">[1]!'2392.TW-CName,InvestorConferenceDate,DateofMeetingofShareHolders,TradingDate'</f>
        <v>正崴</v>
      </c>
      <c r="AF578" t="str">
        <v>2022/11/24</v>
      </c>
      <c r="AG578" t="str">
        <v>2022/06/21</v>
      </c>
      <c r="AH578" t="str">
        <v>2022/12/22</v>
      </c>
    </row>
    <row r="579" spans="1:34" x14ac:dyDescent="0.3">
      <c r="A579" t="str">
        <f t="array" ref="A579:J579">[1]!'2402.TW-ID,Name,MarketValue,Capital,NetIncomeGrowthRate,OperIncomeGrowthRate,FinancialStatementsTime,TFXRatio,MonthlyNetSalesYoY,RevenueMonth'</f>
        <v>2402</v>
      </c>
      <c r="B579" t="str">
        <v>毅嘉</v>
      </c>
      <c r="C579" t="str">
        <v>55.5</v>
      </c>
      <c r="D579" t="str">
        <v>30.75</v>
      </c>
      <c r="E579" t="str">
        <v>29.45</v>
      </c>
      <c r="F579" t="str">
        <v>25.51</v>
      </c>
      <c r="G579" t="str">
        <v>2022/09</v>
      </c>
      <c r="H579" t="str">
        <v>1.36</v>
      </c>
      <c r="I579" t="str">
        <v>40.42</v>
      </c>
      <c r="J579" t="str">
        <v>2022/11</v>
      </c>
      <c r="K579" t="str">
        <f t="array" ref="K579:T579">[1]!'2402.TW-OperatingProfitRatio,Price,PriceChangeRatio,InOutRatioNumber,Value,YearReturn,MonthReturn,WeekReturn,FinanceBalanceDif,ChipsField2'</f>
        <v>3.82</v>
      </c>
      <c r="L579">
        <v>18.05</v>
      </c>
      <c r="M579">
        <v>1.1200000000000001</v>
      </c>
      <c r="N579" t="str">
        <v>43.25%</v>
      </c>
      <c r="O579" t="str">
        <v>2508萬</v>
      </c>
      <c r="P579" t="str">
        <v>+11.17</v>
      </c>
      <c r="Q579" t="str">
        <v>-1.63</v>
      </c>
      <c r="R579" t="str">
        <v>-5.25</v>
      </c>
      <c r="S579">
        <v>-81</v>
      </c>
      <c r="T579">
        <v>0</v>
      </c>
      <c r="U579">
        <f t="array" ref="U579:AD579">[1]!'2402.TW-ChipsField3,ChipsField1,ChipsField25,CashAndStockDividend,CashDividendYieldRate,ProfitFourSeason,ProfitSingle,CName,ExchangeIndustry,CompanyPos'</f>
        <v>-13</v>
      </c>
      <c r="V579">
        <v>-105</v>
      </c>
      <c r="W579" t="str">
        <v>2022/07/29</v>
      </c>
      <c r="X579" t="str">
        <v>0.50</v>
      </c>
      <c r="Y579">
        <v>2.77</v>
      </c>
      <c r="Z579" t="str">
        <v>0.92</v>
      </c>
      <c r="AA579" t="str">
        <v>0.30</v>
      </c>
      <c r="AB579" t="str">
        <v>毅嘉</v>
      </c>
      <c r="AC579" t="str">
        <v>上市電子零組件</v>
      </c>
      <c r="AD579" t="str">
        <v>主業從手機按鍵轉型為軟板廠</v>
      </c>
      <c r="AE579" t="str">
        <f t="array" ref="AE579:AH579">[1]!'2402.TW-CName,InvestorConferenceDate,DateofMeetingofShareHolders,TradingDate'</f>
        <v>毅嘉</v>
      </c>
      <c r="AF579" t="str">
        <v>2022/10/04</v>
      </c>
      <c r="AG579" t="str">
        <v>2022/06/16</v>
      </c>
      <c r="AH579" t="str">
        <v>2022/12/22</v>
      </c>
    </row>
    <row r="580" spans="1:34" x14ac:dyDescent="0.3">
      <c r="A580" t="str">
        <f t="array" ref="A580:J580">[1]!'2413.TW-ID,Name,MarketValue,Capital,NetIncomeGrowthRate,OperIncomeGrowthRate,FinancialStatementsTime,TFXRatio,MonthlyNetSalesYoY,RevenueMonth'</f>
        <v>2413</v>
      </c>
      <c r="B580" t="str">
        <v>環科</v>
      </c>
      <c r="C580" t="str">
        <v>33.5</v>
      </c>
      <c r="D580" t="str">
        <v>12.74</v>
      </c>
      <c r="E580" t="str">
        <v>1445.42</v>
      </c>
      <c r="F580" t="str">
        <v>183.51</v>
      </c>
      <c r="G580" t="str">
        <v>2022/09</v>
      </c>
      <c r="H580" t="str">
        <v>5.09</v>
      </c>
      <c r="I580" t="str">
        <v>57.55</v>
      </c>
      <c r="J580" t="str">
        <v>2022/11</v>
      </c>
      <c r="K580" t="str">
        <f t="array" ref="K580:T580">[1]!'2413.TW-OperatingProfitRatio,Price,PriceChangeRatio,InOutRatioNumber,Value,YearReturn,MonthReturn,WeekReturn,FinanceBalanceDif,ChipsField2'</f>
        <v>4.10</v>
      </c>
      <c r="L580">
        <v>26.3</v>
      </c>
      <c r="M580">
        <v>0.56999999999999995</v>
      </c>
      <c r="N580" t="str">
        <v>38.28%</v>
      </c>
      <c r="O580" t="str">
        <v>1969萬</v>
      </c>
      <c r="P580" t="str">
        <v>+16.89</v>
      </c>
      <c r="Q580" t="str">
        <v>-8.84</v>
      </c>
      <c r="R580" t="str">
        <v>-8.04</v>
      </c>
      <c r="S580">
        <v>-6</v>
      </c>
      <c r="T580">
        <v>0</v>
      </c>
      <c r="U580">
        <f t="array" ref="U580:AD580">[1]!'2413.TW-ChipsField3,ChipsField1,ChipsField25,CashAndStockDividend,CashDividendYieldRate,ProfitFourSeason,ProfitSingle,CName,ExchangeIndustry,CompanyPos'</f>
        <v>2</v>
      </c>
      <c r="V580">
        <v>-95</v>
      </c>
      <c r="W580" t="str">
        <v>--</v>
      </c>
      <c r="X580" t="str">
        <v>0.00</v>
      </c>
      <c r="Y580">
        <v>0</v>
      </c>
      <c r="Z580" t="str">
        <v>1.83</v>
      </c>
      <c r="AA580" t="str">
        <v>0.81</v>
      </c>
      <c r="AB580" t="str">
        <v>環科</v>
      </c>
      <c r="AC580" t="str">
        <v>上市電子零組件</v>
      </c>
      <c r="AD580" t="str">
        <v>通訊用變壓器、電源供應器與網通產品供應商</v>
      </c>
      <c r="AE580" t="str">
        <f t="array" ref="AE580:AH580">[1]!'2413.TW-CName,InvestorConferenceDate,DateofMeetingofShareHolders,TradingDate'</f>
        <v>環科</v>
      </c>
      <c r="AF580" t="str">
        <v>2022/12/14</v>
      </c>
      <c r="AG580" t="str">
        <v>2022/06/20</v>
      </c>
      <c r="AH580" t="str">
        <v>2022/12/22</v>
      </c>
    </row>
    <row r="581" spans="1:34" x14ac:dyDescent="0.3">
      <c r="A581" t="str">
        <f t="array" ref="A581:J581">[1]!'2415.TW-ID,Name,MarketValue,Capital,NetIncomeGrowthRate,OperIncomeGrowthRate,FinancialStatementsTime,TFXRatio,MonthlyNetSalesYoY,RevenueMonth'</f>
        <v>2415</v>
      </c>
      <c r="B581" t="str">
        <v>錩新</v>
      </c>
      <c r="C581" t="str">
        <v>19.1</v>
      </c>
      <c r="D581" t="str">
        <v>9.00</v>
      </c>
      <c r="E581" t="str">
        <v>-84.68</v>
      </c>
      <c r="F581" t="str">
        <v>-68.53</v>
      </c>
      <c r="G581" t="str">
        <v>2022/09</v>
      </c>
      <c r="H581" t="str">
        <v>-12.67</v>
      </c>
      <c r="I581" t="str">
        <v>-43.55</v>
      </c>
      <c r="J581" t="str">
        <v>2022/11</v>
      </c>
      <c r="K581" t="str">
        <f t="array" ref="K581:T581">[1]!'2415.TW-OperatingProfitRatio,Price,PriceChangeRatio,InOutRatioNumber,Value,YearReturn,MonthReturn,WeekReturn,FinanceBalanceDif,ChipsField2'</f>
        <v>5.72</v>
      </c>
      <c r="L581">
        <v>21.2</v>
      </c>
      <c r="M581">
        <v>0.95</v>
      </c>
      <c r="N581" t="str">
        <v>39.53%</v>
      </c>
      <c r="O581" t="str">
        <v>91.2萬</v>
      </c>
      <c r="P581" t="str">
        <v>-43.10</v>
      </c>
      <c r="Q581" t="str">
        <v>-8.23</v>
      </c>
      <c r="R581" t="str">
        <v>-7.22</v>
      </c>
      <c r="S581">
        <v>-6</v>
      </c>
      <c r="T581">
        <v>0</v>
      </c>
      <c r="U581">
        <f t="array" ref="U581:AD581">[1]!'2415.TW-ChipsField3,ChipsField1,ChipsField25,CashAndStockDividend,CashDividendYieldRate,ProfitFourSeason,ProfitSingle,CName,ExchangeIndustry,CompanyPos'</f>
        <v>-1</v>
      </c>
      <c r="V581">
        <v>0</v>
      </c>
      <c r="W581" t="str">
        <v>2022/08/31</v>
      </c>
      <c r="X581" t="str">
        <v>2.10</v>
      </c>
      <c r="Y581">
        <v>9.91</v>
      </c>
      <c r="Z581" t="str">
        <v>0.70</v>
      </c>
      <c r="AA581" t="str">
        <v>-0.62</v>
      </c>
      <c r="AB581" t="str">
        <v>錩新</v>
      </c>
      <c r="AC581" t="str">
        <v>上市電子零組件</v>
      </c>
      <c r="AD581" t="str">
        <v>全球最大揚聲器鍛造零組件廠</v>
      </c>
      <c r="AE581" t="str">
        <f t="array" ref="AE581:AH581">[1]!'2415.TW-CName,InvestorConferenceDate,DateofMeetingofShareHolders,TradingDate'</f>
        <v>錩新</v>
      </c>
      <c r="AF581" t="str">
        <v>2022/12/22</v>
      </c>
      <c r="AG581" t="str">
        <v>2022/06/27</v>
      </c>
      <c r="AH581" t="str">
        <v>2022/12/22</v>
      </c>
    </row>
    <row r="582" spans="1:34" x14ac:dyDescent="0.3">
      <c r="A582" t="str">
        <f t="array" ref="A582:J582">[1]!'2420.TW-ID,Name,MarketValue,Capital,NetIncomeGrowthRate,OperIncomeGrowthRate,FinancialStatementsTime,TFXRatio,MonthlyNetSalesYoY,RevenueMonth'</f>
        <v>2420</v>
      </c>
      <c r="B582" t="str">
        <v>新巨</v>
      </c>
      <c r="C582" t="str">
        <v>60.2</v>
      </c>
      <c r="D582" t="str">
        <v>15.26</v>
      </c>
      <c r="E582" t="str">
        <v>24.65</v>
      </c>
      <c r="F582" t="str">
        <v>14.15</v>
      </c>
      <c r="G582" t="str">
        <v>2022/09</v>
      </c>
      <c r="H582" t="str">
        <v>10.39</v>
      </c>
      <c r="I582" t="str">
        <v>-10.64</v>
      </c>
      <c r="J582" t="str">
        <v>2022/11</v>
      </c>
      <c r="K582" t="str">
        <f t="array" ref="K582:T582">[1]!'2420.TW-OperatingProfitRatio,Price,PriceChangeRatio,InOutRatioNumber,Value,YearReturn,MonthReturn,WeekReturn,FinanceBalanceDif,ChipsField2'</f>
        <v>26.69</v>
      </c>
      <c r="L582">
        <v>39.450000000000003</v>
      </c>
      <c r="M582">
        <v>0.38</v>
      </c>
      <c r="N582" t="str">
        <v>33.33%</v>
      </c>
      <c r="O582" t="str">
        <v>261萬</v>
      </c>
      <c r="P582" t="str">
        <v>-5.60</v>
      </c>
      <c r="Q582" t="str">
        <v>+1.41</v>
      </c>
      <c r="R582" t="str">
        <v>-1.13</v>
      </c>
      <c r="S582">
        <v>-5</v>
      </c>
      <c r="T582">
        <v>0</v>
      </c>
      <c r="U582">
        <f t="array" ref="U582:AD582">[1]!'2420.TW-ChipsField3,ChipsField1,ChipsField25,CashAndStockDividend,CashDividendYieldRate,ProfitFourSeason,ProfitSingle,CName,ExchangeIndustry,CompanyPos'</f>
        <v>-8</v>
      </c>
      <c r="V582">
        <v>-15</v>
      </c>
      <c r="W582" t="str">
        <v>2022/08/29</v>
      </c>
      <c r="X582" t="str">
        <v>3.00</v>
      </c>
      <c r="Y582">
        <v>7.6</v>
      </c>
      <c r="Z582" t="str">
        <v>4.50</v>
      </c>
      <c r="AA582" t="str">
        <v>1.33</v>
      </c>
      <c r="AB582" t="str">
        <v>新巨</v>
      </c>
      <c r="AC582" t="str">
        <v>上市電子零組件</v>
      </c>
      <c r="AD582" t="str">
        <v>台灣聚焦高階電源供應器與知名微動開關廠</v>
      </c>
      <c r="AE582" t="str">
        <f t="array" ref="AE582:AH582">[1]!'2420.TW-CName,InvestorConferenceDate,DateofMeetingofShareHolders,TradingDate'</f>
        <v>新巨</v>
      </c>
      <c r="AF582" t="str">
        <v>2022/12/06</v>
      </c>
      <c r="AG582" t="str">
        <v>2022/05/27</v>
      </c>
      <c r="AH582" t="str">
        <v>2022/12/22</v>
      </c>
    </row>
    <row r="583" spans="1:34" x14ac:dyDescent="0.3">
      <c r="A583" t="str">
        <f t="array" ref="A583:J583">[1]!'2421.TW-ID,Name,MarketValue,Capital,NetIncomeGrowthRate,OperIncomeGrowthRate,FinancialStatementsTime,TFXRatio,MonthlyNetSalesYoY,RevenueMonth'</f>
        <v>2421</v>
      </c>
      <c r="B583" t="str">
        <v>建準</v>
      </c>
      <c r="C583" t="str">
        <v>115.8</v>
      </c>
      <c r="D583" t="str">
        <v>25.09</v>
      </c>
      <c r="E583" t="str">
        <v>216.48</v>
      </c>
      <c r="F583" t="str">
        <v>209.70</v>
      </c>
      <c r="G583" t="str">
        <v>2022/09</v>
      </c>
      <c r="H583" t="str">
        <v>-2.68</v>
      </c>
      <c r="I583" t="str">
        <v>-0.67</v>
      </c>
      <c r="J583" t="str">
        <v>2022/11</v>
      </c>
      <c r="K583" t="str">
        <f t="array" ref="K583:T583">[1]!'2421.TW-OperatingProfitRatio,Price,PriceChangeRatio,InOutRatioNumber,Value,YearReturn,MonthReturn,WeekReturn,FinanceBalanceDif,ChipsField2'</f>
        <v>7.35</v>
      </c>
      <c r="L583">
        <v>46.15</v>
      </c>
      <c r="M583">
        <v>0.76</v>
      </c>
      <c r="N583" t="str">
        <v>47.94%</v>
      </c>
      <c r="O583" t="str">
        <v>4727萬</v>
      </c>
      <c r="P583" t="str">
        <v>+19.17</v>
      </c>
      <c r="Q583" t="str">
        <v>+3.36</v>
      </c>
      <c r="R583" t="str">
        <v>+0.33</v>
      </c>
      <c r="S583">
        <v>-50</v>
      </c>
      <c r="T583">
        <v>0</v>
      </c>
      <c r="U583">
        <f t="array" ref="U583:AD583">[1]!'2421.TW-ChipsField3,ChipsField1,ChipsField25,CashAndStockDividend,CashDividendYieldRate,ProfitFourSeason,ProfitSingle,CName,ExchangeIndustry,CompanyPos'</f>
        <v>-9</v>
      </c>
      <c r="V583">
        <v>306</v>
      </c>
      <c r="W583" t="str">
        <v>2022/06/28</v>
      </c>
      <c r="X583" t="str">
        <v>1.20</v>
      </c>
      <c r="Y583">
        <v>2.6</v>
      </c>
      <c r="Z583" t="str">
        <v>3.92</v>
      </c>
      <c r="AA583" t="str">
        <v>1.42</v>
      </c>
      <c r="AB583" t="str">
        <v>建準</v>
      </c>
      <c r="AC583" t="str">
        <v>上市電子零組件</v>
      </c>
      <c r="AD583" t="str">
        <v>PC散熱風扇知名廠商</v>
      </c>
      <c r="AE583" t="str">
        <f t="array" ref="AE583:AH583">[1]!'2421.TW-CName,InvestorConferenceDate,DateofMeetingofShareHolders,TradingDate'</f>
        <v>建準</v>
      </c>
      <c r="AF583" t="str">
        <v>2021/12/21</v>
      </c>
      <c r="AG583" t="str">
        <v>2022/06/10</v>
      </c>
      <c r="AH583" t="str">
        <v>2022/12/22</v>
      </c>
    </row>
    <row r="584" spans="1:34" x14ac:dyDescent="0.3">
      <c r="A584" t="str">
        <f t="array" ref="A584:J584">[1]!'2428.TW-ID,Name,MarketValue,Capital,NetIncomeGrowthRate,OperIncomeGrowthRate,FinancialStatementsTime,TFXRatio,MonthlyNetSalesYoY,RevenueMonth'</f>
        <v>2428</v>
      </c>
      <c r="B584" t="str">
        <v>興勤</v>
      </c>
      <c r="C584" t="str">
        <v>153.1</v>
      </c>
      <c r="D584" t="str">
        <v>12.81</v>
      </c>
      <c r="E584" t="str">
        <v>-0.99</v>
      </c>
      <c r="F584" t="str">
        <v>-30.41</v>
      </c>
      <c r="G584" t="str">
        <v>2022/09</v>
      </c>
      <c r="H584" t="str">
        <v>-0.85</v>
      </c>
      <c r="I584" t="str">
        <v>-0.48</v>
      </c>
      <c r="J584" t="str">
        <v>2022/11</v>
      </c>
      <c r="K584" t="str">
        <f t="array" ref="K584:T584">[1]!'2428.TW-OperatingProfitRatio,Price,PriceChangeRatio,InOutRatioNumber,Value,YearReturn,MonthReturn,WeekReturn,FinanceBalanceDif,ChipsField2'</f>
        <v>21.03</v>
      </c>
      <c r="L584">
        <v>119.5</v>
      </c>
      <c r="M584">
        <v>0.84</v>
      </c>
      <c r="N584" t="str">
        <v>37.76%</v>
      </c>
      <c r="O584" t="str">
        <v>1765萬</v>
      </c>
      <c r="P584" t="str">
        <v>-20.63</v>
      </c>
      <c r="Q584" t="str">
        <v>+3.02</v>
      </c>
      <c r="R584" t="str">
        <v>-4.02</v>
      </c>
      <c r="S584">
        <v>-17</v>
      </c>
      <c r="T584">
        <v>0</v>
      </c>
      <c r="U584">
        <f t="array" ref="U584:AD584">[1]!'2428.TW-ChipsField3,ChipsField1,ChipsField25,CashAndStockDividend,CashDividendYieldRate,ProfitFourSeason,ProfitSingle,CName,ExchangeIndustry,CompanyPos'</f>
        <v>-6</v>
      </c>
      <c r="V584">
        <v>-36</v>
      </c>
      <c r="W584" t="str">
        <v>2022/08/24</v>
      </c>
      <c r="X584" t="str">
        <v>6.30</v>
      </c>
      <c r="Y584">
        <v>5.27</v>
      </c>
      <c r="Z584" t="str">
        <v>12.20</v>
      </c>
      <c r="AA584" t="str">
        <v>3.13</v>
      </c>
      <c r="AB584" t="str">
        <v>興勤</v>
      </c>
      <c r="AC584" t="str">
        <v>上市電子零組件</v>
      </c>
      <c r="AD584" t="str">
        <v>全球知名熱敏電阻廠</v>
      </c>
      <c r="AE584" t="str">
        <f t="array" ref="AE584:AH584">[1]!'2428.TW-CName,InvestorConferenceDate,DateofMeetingofShareHolders,TradingDate'</f>
        <v>興勤</v>
      </c>
      <c r="AF584" t="str">
        <v>2022/12/28</v>
      </c>
      <c r="AG584" t="str">
        <v>2022/06/16</v>
      </c>
      <c r="AH584" t="str">
        <v>2022/12/22</v>
      </c>
    </row>
    <row r="585" spans="1:34" x14ac:dyDescent="0.3">
      <c r="A585" t="str">
        <f t="array" ref="A585:J585">[1]!'2431.TW-ID,Name,MarketValue,Capital,NetIncomeGrowthRate,OperIncomeGrowthRate,FinancialStatementsTime,TFXRatio,MonthlyNetSalesYoY,RevenueMonth'</f>
        <v>2431</v>
      </c>
      <c r="B585" t="str">
        <v>聯昌</v>
      </c>
      <c r="C585" t="str">
        <v>11.4</v>
      </c>
      <c r="D585" t="str">
        <v>11.09</v>
      </c>
      <c r="E585" t="str">
        <v>-103.49</v>
      </c>
      <c r="F585" t="str">
        <v>-2.47</v>
      </c>
      <c r="G585" t="str">
        <v>2022/09</v>
      </c>
      <c r="H585" t="str">
        <v>-9.53</v>
      </c>
      <c r="I585" t="str">
        <v>-56.02</v>
      </c>
      <c r="J585" t="str">
        <v>2022/11</v>
      </c>
      <c r="K585" t="str">
        <f t="array" ref="K585:T585">[1]!'2431.TW-OperatingProfitRatio,Price,PriceChangeRatio,InOutRatioNumber,Value,YearReturn,MonthReturn,WeekReturn,FinanceBalanceDif,ChipsField2'</f>
        <v>-8.22</v>
      </c>
      <c r="L585">
        <v>10.25</v>
      </c>
      <c r="M585">
        <v>1.49</v>
      </c>
      <c r="N585" t="str">
        <v>66.67%</v>
      </c>
      <c r="O585" t="str">
        <v>97.3萬</v>
      </c>
      <c r="P585" t="str">
        <v>-19.48</v>
      </c>
      <c r="Q585" t="str">
        <v>0.00</v>
      </c>
      <c r="R585" t="str">
        <v>+0.49</v>
      </c>
      <c r="S585">
        <v>12</v>
      </c>
      <c r="T585">
        <v>0</v>
      </c>
      <c r="U585">
        <f t="array" ref="U585:AD585">[1]!'2431.TW-ChipsField3,ChipsField1,ChipsField25,CashAndStockDividend,CashDividendYieldRate,ProfitFourSeason,ProfitSingle,CName,ExchangeIndustry,CompanyPos'</f>
        <v>0</v>
      </c>
      <c r="V585">
        <v>-27</v>
      </c>
      <c r="W585" t="str">
        <v>2022/07/28</v>
      </c>
      <c r="X585" t="str">
        <v>0.45</v>
      </c>
      <c r="Y585">
        <v>4.3899999999999997</v>
      </c>
      <c r="Z585" t="str">
        <v>-0.22</v>
      </c>
      <c r="AA585" t="str">
        <v>0.01</v>
      </c>
      <c r="AB585" t="str">
        <v>聯昌</v>
      </c>
      <c r="AC585" t="str">
        <v>上市電子零組件</v>
      </c>
      <c r="AD585" t="str">
        <v>東元轉投資，專注於LCD顯示器電源供應器製造商</v>
      </c>
      <c r="AE585" t="str">
        <f t="array" ref="AE585:AH585">[1]!'2431.TW-CName,InvestorConferenceDate,DateofMeetingofShareHolders,TradingDate'</f>
        <v>聯昌</v>
      </c>
      <c r="AF585" t="str">
        <v>2022/08/31</v>
      </c>
      <c r="AG585" t="str">
        <v>2022/06/24</v>
      </c>
      <c r="AH585" t="str">
        <v>2022/12/22</v>
      </c>
    </row>
    <row r="586" spans="1:34" x14ac:dyDescent="0.3">
      <c r="A586" t="str">
        <f t="array" ref="A586:J586">[1]!'2440.TW-ID,Name,MarketValue,Capital,NetIncomeGrowthRate,OperIncomeGrowthRate,FinancialStatementsTime,TFXRatio,MonthlyNetSalesYoY,RevenueMonth'</f>
        <v>2440</v>
      </c>
      <c r="B586" t="str">
        <v>太空梭</v>
      </c>
      <c r="C586" t="str">
        <v>16.8</v>
      </c>
      <c r="D586" t="str">
        <v>13.91</v>
      </c>
      <c r="E586" t="str">
        <v>-127.76</v>
      </c>
      <c r="F586" t="str">
        <v>-85.45</v>
      </c>
      <c r="G586" t="str">
        <v>2022/09</v>
      </c>
      <c r="H586" t="str">
        <v>14.95</v>
      </c>
      <c r="I586" t="str">
        <v>-25.63</v>
      </c>
      <c r="J586" t="str">
        <v>2022/11</v>
      </c>
      <c r="K586" t="str">
        <f t="array" ref="K586:T586">[1]!'2440.TW-OperatingProfitRatio,Price,PriceChangeRatio,InOutRatioNumber,Value,YearReturn,MonthReturn,WeekReturn,FinanceBalanceDif,ChipsField2'</f>
        <v>0.80</v>
      </c>
      <c r="L586">
        <v>12.1</v>
      </c>
      <c r="M586">
        <v>0</v>
      </c>
      <c r="N586" t="str">
        <v>28.99%</v>
      </c>
      <c r="O586" t="str">
        <v>83.9萬</v>
      </c>
      <c r="P586" t="str">
        <v>-27.54</v>
      </c>
      <c r="Q586" t="str">
        <v>-4.35</v>
      </c>
      <c r="R586" t="str">
        <v>-4.35</v>
      </c>
      <c r="S586">
        <v>10</v>
      </c>
      <c r="T586">
        <v>0</v>
      </c>
      <c r="U586">
        <f t="array" ref="U586:AD586">[1]!'2440.TW-ChipsField3,ChipsField1,ChipsField25,CashAndStockDividend,CashDividendYieldRate,ProfitFourSeason,ProfitSingle,CName,ExchangeIndustry,CompanyPos'</f>
        <v>0</v>
      </c>
      <c r="V586">
        <v>-2</v>
      </c>
      <c r="W586" t="str">
        <v>--</v>
      </c>
      <c r="X586" t="str">
        <v>0.00</v>
      </c>
      <c r="Y586">
        <v>0</v>
      </c>
      <c r="Z586" t="str">
        <v>-0.01</v>
      </c>
      <c r="AA586" t="str">
        <v>0.03</v>
      </c>
      <c r="AB586" t="str">
        <v>太空梭</v>
      </c>
      <c r="AC586" t="str">
        <v>上市電子零組件</v>
      </c>
      <c r="AD586" t="str">
        <v>跨入上游絞銅線製造銷售業務</v>
      </c>
      <c r="AE586" t="str">
        <f t="array" ref="AE586:AH586">[1]!'2440.TW-CName,InvestorConferenceDate,DateofMeetingofShareHolders,TradingDate'</f>
        <v>太空梭</v>
      </c>
      <c r="AF586" t="str">
        <v>2022/09/26</v>
      </c>
      <c r="AG586" t="str">
        <v>2022/06/24</v>
      </c>
      <c r="AH586" t="str">
        <v>2022/12/22</v>
      </c>
    </row>
    <row r="587" spans="1:34" x14ac:dyDescent="0.3">
      <c r="A587" t="str">
        <f t="array" ref="A587:J587">[1]!'2457.TW-ID,Name,MarketValue,Capital,NetIncomeGrowthRate,OperIncomeGrowthRate,FinancialStatementsTime,TFXRatio,MonthlyNetSalesYoY,RevenueMonth'</f>
        <v>2457</v>
      </c>
      <c r="B587" t="str">
        <v>飛宏</v>
      </c>
      <c r="C587" t="str">
        <v>140.1</v>
      </c>
      <c r="D587" t="str">
        <v>37.52</v>
      </c>
      <c r="E587" t="str">
        <v>104.63</v>
      </c>
      <c r="F587" t="str">
        <v>46.05</v>
      </c>
      <c r="G587" t="str">
        <v>2022/09</v>
      </c>
      <c r="H587" t="str">
        <v>14.01</v>
      </c>
      <c r="I587" t="str">
        <v>7.84</v>
      </c>
      <c r="J587" t="str">
        <v>2022/11</v>
      </c>
      <c r="K587" t="str">
        <f t="array" ref="K587:T587">[1]!'2457.TW-OperatingProfitRatio,Price,PriceChangeRatio,InOutRatioNumber,Value,YearReturn,MonthReturn,WeekReturn,FinanceBalanceDif,ChipsField2'</f>
        <v>-1.76</v>
      </c>
      <c r="L587">
        <v>41.5</v>
      </c>
      <c r="M587">
        <v>-2.12</v>
      </c>
      <c r="N587" t="str">
        <v>40.59%</v>
      </c>
      <c r="O587" t="str">
        <v>7.57億</v>
      </c>
      <c r="P587" t="str">
        <v>-3.60</v>
      </c>
      <c r="Q587" t="str">
        <v>+11.86</v>
      </c>
      <c r="R587" t="str">
        <v>+4.53</v>
      </c>
      <c r="S587">
        <v>1500</v>
      </c>
      <c r="T587">
        <v>0</v>
      </c>
      <c r="U587">
        <f t="array" ref="U587:AD587">[1]!'2457.TW-ChipsField3,ChipsField1,ChipsField25,CashAndStockDividend,CashDividendYieldRate,ProfitFourSeason,ProfitSingle,CName,ExchangeIndustry,CompanyPos'</f>
        <v>-357</v>
      </c>
      <c r="V587">
        <v>2431</v>
      </c>
      <c r="W587" t="str">
        <v>--</v>
      </c>
      <c r="X587" t="str">
        <v>0.00</v>
      </c>
      <c r="Y587">
        <v>0</v>
      </c>
      <c r="Z587" t="str">
        <v>0.00</v>
      </c>
      <c r="AA587" t="str">
        <v>0.06</v>
      </c>
      <c r="AB587" t="str">
        <v>飛宏</v>
      </c>
      <c r="AC587" t="str">
        <v>上市電子零組件</v>
      </c>
      <c r="AD587" t="str">
        <v>全球手機電源供應器知名廠商，並切入LED照明市場</v>
      </c>
      <c r="AE587" t="str">
        <f t="array" ref="AE587:AH587">[1]!'2457.TW-CName,InvestorConferenceDate,DateofMeetingofShareHolders,TradingDate'</f>
        <v>飛宏</v>
      </c>
      <c r="AF587" t="str">
        <v>2022/11/23</v>
      </c>
      <c r="AG587" t="str">
        <v>2022/06/08</v>
      </c>
      <c r="AH587" t="str">
        <v>2022/12/22</v>
      </c>
    </row>
    <row r="588" spans="1:34" x14ac:dyDescent="0.3">
      <c r="A588" t="str">
        <f t="array" ref="A588:J588">[1]!'2460.TW-ID,Name,MarketValue,Capital,NetIncomeGrowthRate,OperIncomeGrowthRate,FinancialStatementsTime,TFXRatio,MonthlyNetSalesYoY,RevenueMonth'</f>
        <v>2460</v>
      </c>
      <c r="B588" t="str">
        <v>建通</v>
      </c>
      <c r="C588" t="str">
        <v>28.7</v>
      </c>
      <c r="D588" t="str">
        <v>16.92</v>
      </c>
      <c r="E588" t="str">
        <v>-117.81</v>
      </c>
      <c r="F588" t="str">
        <v>-142.19</v>
      </c>
      <c r="G588" t="str">
        <v>2022/09</v>
      </c>
      <c r="H588" t="str">
        <v>19.34</v>
      </c>
      <c r="I588" t="str">
        <v>-31.30</v>
      </c>
      <c r="J588" t="str">
        <v>2022/11</v>
      </c>
      <c r="K588" t="str">
        <f t="array" ref="K588:T588">[1]!'2460.TW-OperatingProfitRatio,Price,PriceChangeRatio,InOutRatioNumber,Value,YearReturn,MonthReturn,WeekReturn,FinanceBalanceDif,ChipsField2'</f>
        <v>-7.25</v>
      </c>
      <c r="L588">
        <v>16.95</v>
      </c>
      <c r="M588">
        <v>1.5</v>
      </c>
      <c r="N588" t="str">
        <v>44.68%</v>
      </c>
      <c r="O588" t="str">
        <v>169萬</v>
      </c>
      <c r="P588" t="str">
        <v>-39.17</v>
      </c>
      <c r="Q588" t="str">
        <v>+3.67</v>
      </c>
      <c r="R588" t="str">
        <v>-4.78</v>
      </c>
      <c r="S588">
        <v>8</v>
      </c>
      <c r="T588">
        <v>0</v>
      </c>
      <c r="U588">
        <f t="array" ref="U588:AD588">[1]!'2460.TW-ChipsField3,ChipsField1,ChipsField25,CashAndStockDividend,CashDividendYieldRate,ProfitFourSeason,ProfitSingle,CName,ExchangeIndustry,CompanyPos'</f>
        <v>-6</v>
      </c>
      <c r="V588">
        <v>35</v>
      </c>
      <c r="W588" t="str">
        <v>2022/08/25</v>
      </c>
      <c r="X588" t="str">
        <v>0.30</v>
      </c>
      <c r="Y588">
        <v>1.77</v>
      </c>
      <c r="Z588" t="str">
        <v>-0.04</v>
      </c>
      <c r="AA588" t="str">
        <v>-0.24</v>
      </c>
      <c r="AB588" t="str">
        <v>建通</v>
      </c>
      <c r="AC588" t="str">
        <v>上市電子零組件</v>
      </c>
      <c r="AD588" t="str">
        <v>亞洲最大電器類端子製造廠</v>
      </c>
      <c r="AE588" t="str">
        <f t="array" ref="AE588:AH588">[1]!'2460.TW-CName,InvestorConferenceDate,DateofMeetingofShareHolders,TradingDate'</f>
        <v>建通</v>
      </c>
      <c r="AF588" t="str">
        <v>2022/11/30</v>
      </c>
      <c r="AG588" t="str">
        <v>2022/06/24</v>
      </c>
      <c r="AH588" t="str">
        <v>2022/12/22</v>
      </c>
    </row>
    <row r="589" spans="1:34" x14ac:dyDescent="0.3">
      <c r="A589" t="str">
        <f t="array" ref="A589:J589">[1]!'2462.TW-ID,Name,MarketValue,Capital,NetIncomeGrowthRate,OperIncomeGrowthRate,FinancialStatementsTime,TFXRatio,MonthlyNetSalesYoY,RevenueMonth'</f>
        <v>2462</v>
      </c>
      <c r="B589" t="str">
        <v>良得電</v>
      </c>
      <c r="C589" t="str">
        <v>33.5</v>
      </c>
      <c r="D589" t="str">
        <v>14.19</v>
      </c>
      <c r="E589" t="str">
        <v>-15.74</v>
      </c>
      <c r="F589" t="str">
        <v>68.28</v>
      </c>
      <c r="G589" t="str">
        <v>2022/09</v>
      </c>
      <c r="H589" t="str">
        <v>9.57</v>
      </c>
      <c r="I589" t="str">
        <v>-18.09</v>
      </c>
      <c r="J589" t="str">
        <v>2022/11</v>
      </c>
      <c r="K589" t="str">
        <f t="array" ref="K589:T589">[1]!'2462.TW-OperatingProfitRatio,Price,PriceChangeRatio,InOutRatioNumber,Value,YearReturn,MonthReturn,WeekReturn,FinanceBalanceDif,ChipsField2'</f>
        <v>-0.92</v>
      </c>
      <c r="L589">
        <v>29.4</v>
      </c>
      <c r="M589">
        <v>1.91</v>
      </c>
      <c r="N589" t="str">
        <v>65.13%</v>
      </c>
      <c r="O589" t="str">
        <v>2037萬</v>
      </c>
      <c r="P589" t="str">
        <v>+8.39</v>
      </c>
      <c r="Q589" t="str">
        <v>+16.44</v>
      </c>
      <c r="R589" t="str">
        <v>+5.57</v>
      </c>
      <c r="S589">
        <v>-103</v>
      </c>
      <c r="T589">
        <v>0</v>
      </c>
      <c r="U589">
        <f t="array" ref="U589:AD589">[1]!'2462.TW-ChipsField3,ChipsField1,ChipsField25,CashAndStockDividend,CashDividendYieldRate,ProfitFourSeason,ProfitSingle,CName,ExchangeIndustry,CompanyPos'</f>
        <v>0</v>
      </c>
      <c r="V589">
        <v>87</v>
      </c>
      <c r="W589" t="str">
        <v>2022/07/14</v>
      </c>
      <c r="X589" t="str">
        <v>0.60</v>
      </c>
      <c r="Y589">
        <v>2.04</v>
      </c>
      <c r="Z589" t="str">
        <v>0.70</v>
      </c>
      <c r="AA589" t="str">
        <v>0.54</v>
      </c>
      <c r="AB589" t="str">
        <v>良得電</v>
      </c>
      <c r="AC589" t="str">
        <v>上市電子零組件</v>
      </c>
      <c r="AD589" t="str">
        <v>台灣三大電源線供應商之一</v>
      </c>
      <c r="AE589" t="str">
        <f t="array" ref="AE589:AH589">[1]!'2462.TW-CName,InvestorConferenceDate,DateofMeetingofShareHolders,TradingDate'</f>
        <v>良得電</v>
      </c>
      <c r="AF589" t="str">
        <v>2021/12/13</v>
      </c>
      <c r="AG589" t="str">
        <v>2022/06/17</v>
      </c>
      <c r="AH589" t="str">
        <v>2022/12/22</v>
      </c>
    </row>
    <row r="590" spans="1:34" x14ac:dyDescent="0.3">
      <c r="A590" t="str">
        <f t="array" ref="A590:J590">[1]!'2467.TW-ID,Name,MarketValue,Capital,NetIncomeGrowthRate,OperIncomeGrowthRate,FinancialStatementsTime,TFXRatio,MonthlyNetSalesYoY,RevenueMonth'</f>
        <v>2467</v>
      </c>
      <c r="B590" t="str">
        <v>志聖</v>
      </c>
      <c r="C590" t="str">
        <v>68.4</v>
      </c>
      <c r="D590" t="str">
        <v>15.68</v>
      </c>
      <c r="E590" t="str">
        <v>15.81</v>
      </c>
      <c r="F590" t="str">
        <v>-4.06</v>
      </c>
      <c r="G590" t="str">
        <v>2022/09</v>
      </c>
      <c r="H590" t="str">
        <v>-10.99</v>
      </c>
      <c r="I590" t="str">
        <v>-22.25</v>
      </c>
      <c r="J590" t="str">
        <v>2022/11</v>
      </c>
      <c r="K590" t="str">
        <f t="array" ref="K590:T590">[1]!'2467.TW-OperatingProfitRatio,Price,PriceChangeRatio,InOutRatioNumber,Value,YearReturn,MonthReturn,WeekReturn,FinanceBalanceDif,ChipsField2'</f>
        <v>12.81</v>
      </c>
      <c r="L590">
        <v>43.65</v>
      </c>
      <c r="M590">
        <v>1.04</v>
      </c>
      <c r="N590" t="str">
        <v>21.95%</v>
      </c>
      <c r="O590" t="str">
        <v>178萬</v>
      </c>
      <c r="P590" t="str">
        <v>-2.04</v>
      </c>
      <c r="Q590" t="str">
        <v>-3.43</v>
      </c>
      <c r="R590" t="str">
        <v>-0.46</v>
      </c>
      <c r="S590">
        <v>0</v>
      </c>
      <c r="T590">
        <v>0</v>
      </c>
      <c r="U590">
        <f t="array" ref="U590:AD590">[1]!'2467.TW-ChipsField3,ChipsField1,ChipsField25,CashAndStockDividend,CashDividendYieldRate,ProfitFourSeason,ProfitSingle,CName,ExchangeIndustry,CompanyPos'</f>
        <v>-7</v>
      </c>
      <c r="V590">
        <v>9</v>
      </c>
      <c r="W590" t="str">
        <v>2022/07/07</v>
      </c>
      <c r="X590" t="str">
        <v>3.30</v>
      </c>
      <c r="Y590">
        <v>7.56</v>
      </c>
      <c r="Z590" t="str">
        <v>4.86</v>
      </c>
      <c r="AA590" t="str">
        <v>1.44</v>
      </c>
      <c r="AB590" t="str">
        <v>志聖</v>
      </c>
      <c r="AC590" t="str">
        <v>上市電子零組件</v>
      </c>
      <c r="AD590" t="str">
        <v>全球知名紫外線立體照射機製造商</v>
      </c>
      <c r="AE590" t="str">
        <f t="array" ref="AE590:AH590">[1]!'2467.TW-CName,InvestorConferenceDate,DateofMeetingofShareHolders,TradingDate'</f>
        <v>志聖</v>
      </c>
      <c r="AF590" t="str">
        <v>2022/11/03</v>
      </c>
      <c r="AG590" t="str">
        <v>2022/06/09</v>
      </c>
      <c r="AH590" t="str">
        <v>2022/12/22</v>
      </c>
    </row>
    <row r="591" spans="1:34" x14ac:dyDescent="0.3">
      <c r="A591" t="str">
        <f t="array" ref="A591:J591">[1]!'2472.TW-ID,Name,MarketValue,Capital,NetIncomeGrowthRate,OperIncomeGrowthRate,FinancialStatementsTime,TFXRatio,MonthlyNetSalesYoY,RevenueMonth'</f>
        <v>2472</v>
      </c>
      <c r="B591" t="str">
        <v>立隆電</v>
      </c>
      <c r="C591" t="str">
        <v>90.3</v>
      </c>
      <c r="D591" t="str">
        <v>16.35</v>
      </c>
      <c r="E591" t="str">
        <v>32.94</v>
      </c>
      <c r="F591" t="str">
        <v>19.52</v>
      </c>
      <c r="G591" t="str">
        <v>2022/09</v>
      </c>
      <c r="H591" t="str">
        <v>2.27</v>
      </c>
      <c r="I591" t="str">
        <v>-6.15</v>
      </c>
      <c r="J591" t="str">
        <v>2022/11</v>
      </c>
      <c r="K591" t="str">
        <f t="array" ref="K591:T591">[1]!'2472.TW-OperatingProfitRatio,Price,PriceChangeRatio,InOutRatioNumber,Value,YearReturn,MonthReturn,WeekReturn,FinanceBalanceDif,ChipsField2'</f>
        <v>19.84</v>
      </c>
      <c r="L591">
        <v>55.2</v>
      </c>
      <c r="M591">
        <v>0</v>
      </c>
      <c r="N591" t="str">
        <v>24.68%</v>
      </c>
      <c r="O591" t="str">
        <v>433萬</v>
      </c>
      <c r="P591" t="str">
        <v>-8.97</v>
      </c>
      <c r="Q591" t="str">
        <v>-0.90</v>
      </c>
      <c r="R591" t="str">
        <v>-2.99</v>
      </c>
      <c r="S591">
        <v>-25</v>
      </c>
      <c r="T591">
        <v>0</v>
      </c>
      <c r="U591">
        <f t="array" ref="U591:AD591">[1]!'2472.TW-ChipsField3,ChipsField1,ChipsField25,CashAndStockDividend,CashDividendYieldRate,ProfitFourSeason,ProfitSingle,CName,ExchangeIndustry,CompanyPos'</f>
        <v>-14</v>
      </c>
      <c r="V591">
        <v>10</v>
      </c>
      <c r="W591" t="str">
        <v>2022/08/02</v>
      </c>
      <c r="X591" t="str">
        <v>3.20</v>
      </c>
      <c r="Y591">
        <v>5.8</v>
      </c>
      <c r="Z591" t="str">
        <v>8.00</v>
      </c>
      <c r="AA591" t="str">
        <v>2.40</v>
      </c>
      <c r="AB591" t="str">
        <v>立隆電</v>
      </c>
      <c r="AC591" t="str">
        <v>上市電子零組件</v>
      </c>
      <c r="AD591" t="str">
        <v>台灣第一大鋁電解電容器廠</v>
      </c>
      <c r="AE591" t="str">
        <f t="array" ref="AE591:AH591">[1]!'2472.TW-CName,InvestorConferenceDate,DateofMeetingofShareHolders,TradingDate'</f>
        <v>立隆電</v>
      </c>
      <c r="AF591" t="str">
        <v>2022/10/17</v>
      </c>
      <c r="AG591" t="str">
        <v>2022/06/29</v>
      </c>
      <c r="AH591" t="str">
        <v>2022/12/22</v>
      </c>
    </row>
    <row r="592" spans="1:34" x14ac:dyDescent="0.3">
      <c r="A592" t="str">
        <f t="array" ref="A592:J592">[1]!'2476.TW-ID,Name,MarketValue,Capital,NetIncomeGrowthRate,OperIncomeGrowthRate,FinancialStatementsTime,TFXRatio,MonthlyNetSalesYoY,RevenueMonth'</f>
        <v>2476</v>
      </c>
      <c r="B592" t="str">
        <v>鉅祥</v>
      </c>
      <c r="C592" t="str">
        <v>88.9</v>
      </c>
      <c r="D592" t="str">
        <v>18.98</v>
      </c>
      <c r="E592" t="str">
        <v>33.60</v>
      </c>
      <c r="F592" t="str">
        <v>3.31</v>
      </c>
      <c r="G592" t="str">
        <v>2022/09</v>
      </c>
      <c r="H592" t="str">
        <v>4.09</v>
      </c>
      <c r="I592" t="str">
        <v>5.02</v>
      </c>
      <c r="J592" t="str">
        <v>2022/11</v>
      </c>
      <c r="K592" t="str">
        <f t="array" ref="K592:T592">[1]!'2476.TW-OperatingProfitRatio,Price,PriceChangeRatio,InOutRatioNumber,Value,YearReturn,MonthReturn,WeekReturn,FinanceBalanceDif,ChipsField2'</f>
        <v>15.74</v>
      </c>
      <c r="L592">
        <v>46.85</v>
      </c>
      <c r="M592">
        <v>1.74</v>
      </c>
      <c r="N592" t="str">
        <v>59.00%</v>
      </c>
      <c r="O592" t="str">
        <v>2548萬</v>
      </c>
      <c r="P592" t="str">
        <v>-24.80</v>
      </c>
      <c r="Q592" t="str">
        <v>+1.63</v>
      </c>
      <c r="R592" t="str">
        <v>-4.19</v>
      </c>
      <c r="S592">
        <v>4</v>
      </c>
      <c r="T592">
        <v>0</v>
      </c>
      <c r="U592">
        <f t="array" ref="U592:AD592">[1]!'2476.TW-ChipsField3,ChipsField1,ChipsField25,CashAndStockDividend,CashDividendYieldRate,ProfitFourSeason,ProfitSingle,CName,ExchangeIndustry,CompanyPos'</f>
        <v>-6</v>
      </c>
      <c r="V592">
        <v>87</v>
      </c>
      <c r="W592" t="str">
        <v>2022/08/11</v>
      </c>
      <c r="X592" t="str">
        <v>2.08</v>
      </c>
      <c r="Y592">
        <v>4.4400000000000004</v>
      </c>
      <c r="Z592" t="str">
        <v>4.48</v>
      </c>
      <c r="AA592" t="str">
        <v>1.65</v>
      </c>
      <c r="AB592" t="str">
        <v>鉅祥</v>
      </c>
      <c r="AC592" t="str">
        <v>上市電子零組件</v>
      </c>
      <c r="AD592" t="str">
        <v>台灣第一大金屬沖壓件廠商</v>
      </c>
      <c r="AE592" t="str">
        <f t="array" ref="AE592:AH592">[1]!'2476.TW-CName,InvestorConferenceDate,DateofMeetingofShareHolders,TradingDate'</f>
        <v>鉅祥</v>
      </c>
      <c r="AF592" t="str">
        <v>2022/11/25</v>
      </c>
      <c r="AG592" t="str">
        <v>2022/06/10</v>
      </c>
      <c r="AH592" t="str">
        <v>2022/12/22</v>
      </c>
    </row>
    <row r="593" spans="1:34" x14ac:dyDescent="0.3">
      <c r="A593" t="str">
        <f t="array" ref="A593:J593">[1]!'2478.TW-ID,Name,MarketValue,Capital,NetIncomeGrowthRate,OperIncomeGrowthRate,FinancialStatementsTime,TFXRatio,MonthlyNetSalesYoY,RevenueMonth'</f>
        <v>2478</v>
      </c>
      <c r="B593" t="str">
        <v>大毅</v>
      </c>
      <c r="C593" t="str">
        <v>63.0</v>
      </c>
      <c r="D593" t="str">
        <v>14.47</v>
      </c>
      <c r="E593" t="str">
        <v>-21.91</v>
      </c>
      <c r="F593" t="str">
        <v>-49.34</v>
      </c>
      <c r="G593" t="str">
        <v>2022/09</v>
      </c>
      <c r="H593" t="str">
        <v>0.09</v>
      </c>
      <c r="I593" t="str">
        <v>-22.66</v>
      </c>
      <c r="J593" t="str">
        <v>2022/11</v>
      </c>
      <c r="K593" t="str">
        <f t="array" ref="K593:T593">[1]!'2478.TW-OperatingProfitRatio,Price,PriceChangeRatio,InOutRatioNumber,Value,YearReturn,MonthReturn,WeekReturn,FinanceBalanceDif,ChipsField2'</f>
        <v>12.16</v>
      </c>
      <c r="L593">
        <v>43.55</v>
      </c>
      <c r="M593">
        <v>1.52</v>
      </c>
      <c r="N593" t="str">
        <v>46.67%</v>
      </c>
      <c r="O593" t="str">
        <v>152萬</v>
      </c>
      <c r="P593" t="str">
        <v>-25.98</v>
      </c>
      <c r="Q593" t="str">
        <v>-1.80</v>
      </c>
      <c r="R593" t="str">
        <v>-4.29</v>
      </c>
      <c r="S593">
        <v>-11</v>
      </c>
      <c r="T593">
        <v>0</v>
      </c>
      <c r="U593">
        <f t="array" ref="U593:AD593">[1]!'2478.TW-ChipsField3,ChipsField1,ChipsField25,CashAndStockDividend,CashDividendYieldRate,ProfitFourSeason,ProfitSingle,CName,ExchangeIndustry,CompanyPos'</f>
        <v>-9</v>
      </c>
      <c r="V593">
        <v>-8</v>
      </c>
      <c r="W593" t="str">
        <v>2022/06/30</v>
      </c>
      <c r="X593" t="str">
        <v>4.00</v>
      </c>
      <c r="Y593">
        <v>9.18</v>
      </c>
      <c r="Z593" t="str">
        <v>5.41</v>
      </c>
      <c r="AA593" t="str">
        <v>1.09</v>
      </c>
      <c r="AB593" t="str">
        <v>大毅</v>
      </c>
      <c r="AC593" t="str">
        <v>上市電子零組件</v>
      </c>
      <c r="AD593" t="str">
        <v>台灣知名晶片電阻製造商</v>
      </c>
      <c r="AE593" t="str">
        <f t="array" ref="AE593:AH593">[1]!'2478.TW-CName,InvestorConferenceDate,DateofMeetingofShareHolders,TradingDate'</f>
        <v>大毅</v>
      </c>
      <c r="AF593" t="str">
        <v>2021/11/09</v>
      </c>
      <c r="AG593" t="str">
        <v>2022/06/09</v>
      </c>
      <c r="AH593" t="str">
        <v>2022/12/22</v>
      </c>
    </row>
    <row r="594" spans="1:34" x14ac:dyDescent="0.3">
      <c r="A594" t="str">
        <f t="array" ref="A594:J594">[1]!'2483.TW-ID,Name,MarketValue,Capital,NetIncomeGrowthRate,OperIncomeGrowthRate,FinancialStatementsTime,TFXRatio,MonthlyNetSalesYoY,RevenueMonth'</f>
        <v>2483</v>
      </c>
      <c r="B594" t="str">
        <v>百容</v>
      </c>
      <c r="C594" t="str">
        <v>26.5</v>
      </c>
      <c r="D594" t="str">
        <v>10.91</v>
      </c>
      <c r="E594" t="str">
        <v>20.23</v>
      </c>
      <c r="F594" t="str">
        <v>1368.85</v>
      </c>
      <c r="G594" t="str">
        <v>2022/09</v>
      </c>
      <c r="H594" t="str">
        <v>-0.07</v>
      </c>
      <c r="I594" t="str">
        <v>-11.86</v>
      </c>
      <c r="J594" t="str">
        <v>2022/11</v>
      </c>
      <c r="K594" t="str">
        <f t="array" ref="K594:T594">[1]!'2483.TW-OperatingProfitRatio,Price,PriceChangeRatio,InOutRatioNumber,Value,YearReturn,MonthReturn,WeekReturn,FinanceBalanceDif,ChipsField2'</f>
        <v>5.75</v>
      </c>
      <c r="L594">
        <v>24.3</v>
      </c>
      <c r="M594">
        <v>0.83</v>
      </c>
      <c r="N594" t="str">
        <v>36.14%</v>
      </c>
      <c r="O594" t="str">
        <v>201萬</v>
      </c>
      <c r="P594" t="str">
        <v>+4.27</v>
      </c>
      <c r="Q594" t="str">
        <v>+1.46</v>
      </c>
      <c r="R594" t="str">
        <v>-3.19</v>
      </c>
      <c r="S594">
        <v>-11</v>
      </c>
      <c r="T594">
        <v>0</v>
      </c>
      <c r="U594">
        <f t="array" ref="U594:AD594">[1]!'2483.TW-ChipsField3,ChipsField1,ChipsField25,CashAndStockDividend,CashDividendYieldRate,ProfitFourSeason,ProfitSingle,CName,ExchangeIndustry,CompanyPos'</f>
        <v>-4</v>
      </c>
      <c r="V594">
        <v>20</v>
      </c>
      <c r="W594" t="str">
        <v>2022/03/31</v>
      </c>
      <c r="X594" t="str">
        <v>1.00</v>
      </c>
      <c r="Y594">
        <v>4.12</v>
      </c>
      <c r="Z594" t="str">
        <v>1.66</v>
      </c>
      <c r="AA594" t="str">
        <v>0.42</v>
      </c>
      <c r="AB594" t="str">
        <v>百容</v>
      </c>
      <c r="AC594" t="str">
        <v>上市電子零組件</v>
      </c>
      <c r="AD594" t="str">
        <v>台灣程式開關最大供應商</v>
      </c>
      <c r="AE594" t="str">
        <f t="array" ref="AE594:AH594">[1]!'2483.TW-CName,InvestorConferenceDate,DateofMeetingofShareHolders,TradingDate'</f>
        <v>百容</v>
      </c>
      <c r="AF594" t="str">
        <v>2022/11/04</v>
      </c>
      <c r="AG594" t="str">
        <v>2022/05/31</v>
      </c>
      <c r="AH594" t="str">
        <v>2022/12/22</v>
      </c>
    </row>
    <row r="595" spans="1:34" x14ac:dyDescent="0.3">
      <c r="A595" t="str">
        <f t="array" ref="A595:J595">[1]!'2484.TW-ID,Name,MarketValue,Capital,NetIncomeGrowthRate,OperIncomeGrowthRate,FinancialStatementsTime,TFXRatio,MonthlyNetSalesYoY,RevenueMonth'</f>
        <v>2484</v>
      </c>
      <c r="B595" t="str">
        <v>希華</v>
      </c>
      <c r="C595" t="str">
        <v>54.4</v>
      </c>
      <c r="D595" t="str">
        <v>15.94</v>
      </c>
      <c r="E595" t="str">
        <v>131.98</v>
      </c>
      <c r="F595" t="str">
        <v>75.69</v>
      </c>
      <c r="G595" t="str">
        <v>2022/09</v>
      </c>
      <c r="H595" t="str">
        <v>-5.02</v>
      </c>
      <c r="I595" t="str">
        <v>-9.68</v>
      </c>
      <c r="J595" t="str">
        <v>2022/11</v>
      </c>
      <c r="K595" t="str">
        <f t="array" ref="K595:T595">[1]!'2484.TW-OperatingProfitRatio,Price,PriceChangeRatio,InOutRatioNumber,Value,YearReturn,MonthReturn,WeekReturn,FinanceBalanceDif,ChipsField2'</f>
        <v>24.84</v>
      </c>
      <c r="L595">
        <v>34.15</v>
      </c>
      <c r="M595">
        <v>1.19</v>
      </c>
      <c r="N595" t="str">
        <v>38.15%</v>
      </c>
      <c r="O595" t="str">
        <v>2779萬</v>
      </c>
      <c r="P595" t="str">
        <v>-11.07</v>
      </c>
      <c r="Q595" t="str">
        <v>-3.80</v>
      </c>
      <c r="R595" t="str">
        <v>-7.95</v>
      </c>
      <c r="S595">
        <v>-685</v>
      </c>
      <c r="T595">
        <v>0</v>
      </c>
      <c r="U595">
        <f t="array" ref="U595:AD595">[1]!'2484.TW-ChipsField3,ChipsField1,ChipsField25,CashAndStockDividend,CashDividendYieldRate,ProfitFourSeason,ProfitSingle,CName,ExchangeIndustry,CompanyPos'</f>
        <v>-10</v>
      </c>
      <c r="V595">
        <v>-15</v>
      </c>
      <c r="W595" t="str">
        <v>2022/08/30</v>
      </c>
      <c r="X595" t="str">
        <v>1.50</v>
      </c>
      <c r="Y595">
        <v>4.3899999999999997</v>
      </c>
      <c r="Z595" t="str">
        <v>4.97</v>
      </c>
      <c r="AA595" t="str">
        <v>1.72</v>
      </c>
      <c r="AB595" t="str">
        <v>希華</v>
      </c>
      <c r="AC595" t="str">
        <v>上市電子零組件</v>
      </c>
      <c r="AD595" t="str">
        <v>台灣石英元件大廠</v>
      </c>
      <c r="AE595" t="str">
        <f t="array" ref="AE595:AH595">[1]!'2484.TW-CName,InvestorConferenceDate,DateofMeetingofShareHolders,TradingDate'</f>
        <v>希華</v>
      </c>
      <c r="AF595" t="str">
        <v>2022/12/20</v>
      </c>
      <c r="AG595" t="str">
        <v>2022/06/09</v>
      </c>
      <c r="AH595" t="str">
        <v>2022/12/22</v>
      </c>
    </row>
    <row r="596" spans="1:34" x14ac:dyDescent="0.3">
      <c r="A596" t="str">
        <f t="array" ref="A596:J596">[1]!'2492.TW-ID,Name,MarketValue,Capital,NetIncomeGrowthRate,OperIncomeGrowthRate,FinancialStatementsTime,TFXRatio,MonthlyNetSalesYoY,RevenueMonth'</f>
        <v>2492</v>
      </c>
      <c r="B596" t="str">
        <v>華新科</v>
      </c>
      <c r="C596" t="str">
        <v>387.7</v>
      </c>
      <c r="D596" t="str">
        <v>48.58</v>
      </c>
      <c r="E596" t="str">
        <v>-63.04</v>
      </c>
      <c r="F596" t="str">
        <v>-72.17</v>
      </c>
      <c r="G596" t="str">
        <v>2022/09</v>
      </c>
      <c r="H596" t="str">
        <v>9.33</v>
      </c>
      <c r="I596" t="str">
        <v>-16.13</v>
      </c>
      <c r="J596" t="str">
        <v>2022/11</v>
      </c>
      <c r="K596" t="str">
        <f t="array" ref="K596:T596">[1]!'2492.TW-OperatingProfitRatio,Price,PriceChangeRatio,InOutRatioNumber,Value,YearReturn,MonthReturn,WeekReturn,FinanceBalanceDif,ChipsField2'</f>
        <v>7.60</v>
      </c>
      <c r="L596">
        <v>79.8</v>
      </c>
      <c r="M596">
        <v>2.97</v>
      </c>
      <c r="N596" t="str">
        <v>51.16%</v>
      </c>
      <c r="O596" t="str">
        <v>1.37億</v>
      </c>
      <c r="P596" t="str">
        <v>-49.81</v>
      </c>
      <c r="Q596" t="str">
        <v>-6.34</v>
      </c>
      <c r="R596" t="str">
        <v>-4.09</v>
      </c>
      <c r="S596">
        <v>61</v>
      </c>
      <c r="T596">
        <v>-610</v>
      </c>
      <c r="U596">
        <f t="array" ref="U596:AD596">[1]!'2492.TW-ChipsField3,ChipsField1,ChipsField25,CashAndStockDividend,CashDividendYieldRate,ProfitFourSeason,ProfitSingle,CName,ExchangeIndustry,CompanyPos'</f>
        <v>-71</v>
      </c>
      <c r="V596">
        <v>76</v>
      </c>
      <c r="W596" t="str">
        <v>2022/08/10</v>
      </c>
      <c r="X596" t="str">
        <v>4.51</v>
      </c>
      <c r="Y596">
        <v>5.65</v>
      </c>
      <c r="Z596" t="str">
        <v>6.36</v>
      </c>
      <c r="AA596" t="str">
        <v>1.05</v>
      </c>
      <c r="AB596" t="str">
        <v>華新科</v>
      </c>
      <c r="AC596" t="str">
        <v>上市電子零組件</v>
      </c>
      <c r="AD596" t="str">
        <v>全球前五大MLCC廠</v>
      </c>
      <c r="AE596" t="str">
        <f t="array" ref="AE596:AH596">[1]!'2492.TW-CName,InvestorConferenceDate,DateofMeetingofShareHolders,TradingDate'</f>
        <v>華新科</v>
      </c>
      <c r="AF596" t="str">
        <v>2021/03/24</v>
      </c>
      <c r="AG596" t="str">
        <v>2022/06/15</v>
      </c>
      <c r="AH596" t="str">
        <v>2022/12/22</v>
      </c>
    </row>
    <row r="597" spans="1:34" x14ac:dyDescent="0.3">
      <c r="A597" t="str">
        <f t="array" ref="A597:J597">[1]!'2493.TW-ID,Name,MarketValue,Capital,NetIncomeGrowthRate,OperIncomeGrowthRate,FinancialStatementsTime,TFXRatio,MonthlyNetSalesYoY,RevenueMonth'</f>
        <v>2493</v>
      </c>
      <c r="B597" t="str">
        <v>揚博</v>
      </c>
      <c r="C597" t="str">
        <v>49.4</v>
      </c>
      <c r="D597" t="str">
        <v>11.44</v>
      </c>
      <c r="E597" t="str">
        <v>90.31</v>
      </c>
      <c r="F597" t="str">
        <v>79.79</v>
      </c>
      <c r="G597" t="str">
        <v>2022/09</v>
      </c>
      <c r="H597" t="str">
        <v>-4.23</v>
      </c>
      <c r="I597" t="str">
        <v>-3.74</v>
      </c>
      <c r="J597" t="str">
        <v>2022/11</v>
      </c>
      <c r="K597" t="str">
        <f t="array" ref="K597:T597">[1]!'2493.TW-OperatingProfitRatio,Price,PriceChangeRatio,InOutRatioNumber,Value,YearReturn,MonthReturn,WeekReturn,FinanceBalanceDif,ChipsField2'</f>
        <v>21.48</v>
      </c>
      <c r="L597">
        <v>43.15</v>
      </c>
      <c r="M597">
        <v>0</v>
      </c>
      <c r="N597" t="str">
        <v>28.07%</v>
      </c>
      <c r="O597" t="str">
        <v>246萬</v>
      </c>
      <c r="P597" t="str">
        <v>+21.70</v>
      </c>
      <c r="Q597" t="str">
        <v>+2.62</v>
      </c>
      <c r="R597" t="str">
        <v>-1.03</v>
      </c>
      <c r="S597">
        <v>-5</v>
      </c>
      <c r="T597">
        <v>0</v>
      </c>
      <c r="U597">
        <f t="array" ref="U597:AD597">[1]!'2493.TW-ChipsField3,ChipsField1,ChipsField25,CashAndStockDividend,CashDividendYieldRate,ProfitFourSeason,ProfitSingle,CName,ExchangeIndustry,CompanyPos'</f>
        <v>-3</v>
      </c>
      <c r="V597">
        <v>-1</v>
      </c>
      <c r="W597" t="str">
        <v>2022/07/12</v>
      </c>
      <c r="X597" t="str">
        <v>2.75</v>
      </c>
      <c r="Y597">
        <v>6.37</v>
      </c>
      <c r="Z597" t="str">
        <v>4.83</v>
      </c>
      <c r="AA597" t="str">
        <v>1.36</v>
      </c>
      <c r="AB597" t="str">
        <v>揚博</v>
      </c>
      <c r="AC597" t="str">
        <v>上市電子零組件</v>
      </c>
      <c r="AD597" t="str">
        <v>全球最大的PCB濕製程大廠</v>
      </c>
      <c r="AE597" t="str">
        <f t="array" ref="AE597:AH597">[1]!'2493.TW-CName,InvestorConferenceDate,DateofMeetingofShareHolders,TradingDate'</f>
        <v>揚博</v>
      </c>
      <c r="AF597" t="str">
        <v>2022/09/16</v>
      </c>
      <c r="AG597" t="str">
        <v>2022/06/16</v>
      </c>
      <c r="AH597" t="str">
        <v>2022/12/22</v>
      </c>
    </row>
    <row r="598" spans="1:34" x14ac:dyDescent="0.3">
      <c r="A598" t="str">
        <f t="array" ref="A598:J598">[1]!'3003.TW-ID,Name,MarketValue,Capital,NetIncomeGrowthRate,OperIncomeGrowthRate,FinancialStatementsTime,TFXRatio,MonthlyNetSalesYoY,RevenueMonth'</f>
        <v>3003</v>
      </c>
      <c r="B598" t="str">
        <v>健和興</v>
      </c>
      <c r="C598" t="str">
        <v>109.3</v>
      </c>
      <c r="D598" t="str">
        <v>15.57</v>
      </c>
      <c r="E598" t="str">
        <v>42.13</v>
      </c>
      <c r="F598" t="str">
        <v>-4.39</v>
      </c>
      <c r="G598" t="str">
        <v>2022/09</v>
      </c>
      <c r="H598" t="str">
        <v>6.49</v>
      </c>
      <c r="I598" t="str">
        <v>-5.05</v>
      </c>
      <c r="J598" t="str">
        <v>2022/11</v>
      </c>
      <c r="K598" t="str">
        <f t="array" ref="K598:T598">[1]!'3003.TW-OperatingProfitRatio,Price,PriceChangeRatio,InOutRatioNumber,Value,YearReturn,MonthReturn,WeekReturn,FinanceBalanceDif,ChipsField2'</f>
        <v>20.89</v>
      </c>
      <c r="L598">
        <v>70.2</v>
      </c>
      <c r="M598">
        <v>0.14000000000000001</v>
      </c>
      <c r="N598" t="str">
        <v>20.45%</v>
      </c>
      <c r="O598" t="str">
        <v>936萬</v>
      </c>
      <c r="P598" t="str">
        <v>-21.43</v>
      </c>
      <c r="Q598" t="str">
        <v>-2.64</v>
      </c>
      <c r="R598" t="str">
        <v>-3.17</v>
      </c>
      <c r="S598">
        <v>1</v>
      </c>
      <c r="T598">
        <v>0</v>
      </c>
      <c r="U598">
        <f t="array" ref="U598:AD598">[1]!'3003.TW-ChipsField3,ChipsField1,ChipsField25,CashAndStockDividend,CashDividendYieldRate,ProfitFourSeason,ProfitSingle,CName,ExchangeIndustry,CompanyPos'</f>
        <v>-16</v>
      </c>
      <c r="V598">
        <v>42</v>
      </c>
      <c r="W598" t="str">
        <v>2022/04/08</v>
      </c>
      <c r="X598" t="str">
        <v>2.00</v>
      </c>
      <c r="Y598">
        <v>2.85</v>
      </c>
      <c r="Z598" t="str">
        <v>6.50</v>
      </c>
      <c r="AA598" t="str">
        <v>1.72</v>
      </c>
      <c r="AB598" t="str">
        <v>健和興</v>
      </c>
      <c r="AC598" t="str">
        <v>上市電子零組件</v>
      </c>
      <c r="AD598" t="str">
        <v>台灣電工、3C產品端子製造商</v>
      </c>
      <c r="AE598" t="str">
        <f t="array" ref="AE598:AH598">[1]!'3003.TW-CName,InvestorConferenceDate,DateofMeetingofShareHolders,TradingDate'</f>
        <v>健和興</v>
      </c>
      <c r="AF598" t="str">
        <v>2022/03/24</v>
      </c>
      <c r="AG598" t="str">
        <v>2022/06/10</v>
      </c>
      <c r="AH598" t="str">
        <v>2022/12/22</v>
      </c>
    </row>
    <row r="599" spans="1:34" x14ac:dyDescent="0.3">
      <c r="A599" t="str">
        <f t="array" ref="A599:J599">[1]!'3011.TW-ID,Name,MarketValue,Capital,NetIncomeGrowthRate,OperIncomeGrowthRate,FinancialStatementsTime,TFXRatio,MonthlyNetSalesYoY,RevenueMonth'</f>
        <v>3011</v>
      </c>
      <c r="B599" t="str">
        <v>今皓</v>
      </c>
      <c r="C599" t="str">
        <v>19.6</v>
      </c>
      <c r="D599" t="str">
        <v>11.27</v>
      </c>
      <c r="E599" t="str">
        <v>70.40</v>
      </c>
      <c r="F599" t="str">
        <v>58.60</v>
      </c>
      <c r="G599" t="str">
        <v>2022/09</v>
      </c>
      <c r="H599" t="str">
        <v>-2.73</v>
      </c>
      <c r="I599" t="str">
        <v>-42.38</v>
      </c>
      <c r="J599" t="str">
        <v>2022/11</v>
      </c>
      <c r="K599" t="str">
        <f t="array" ref="K599:T599">[1]!'3011.TW-OperatingProfitRatio,Price,PriceChangeRatio,InOutRatioNumber,Value,YearReturn,MonthReturn,WeekReturn,FinanceBalanceDif,ChipsField2'</f>
        <v>-2.49</v>
      </c>
      <c r="L599">
        <v>17.399999999999999</v>
      </c>
      <c r="M599">
        <v>1.75</v>
      </c>
      <c r="N599" t="str">
        <v>48.32%</v>
      </c>
      <c r="O599" t="str">
        <v>1002萬</v>
      </c>
      <c r="P599" t="str">
        <v>+53.30</v>
      </c>
      <c r="Q599" t="str">
        <v>+9.09</v>
      </c>
      <c r="R599" t="str">
        <v>+14.10</v>
      </c>
      <c r="S599">
        <v>0</v>
      </c>
      <c r="T599">
        <v>0</v>
      </c>
      <c r="U599">
        <f t="array" ref="U599:AD599">[1]!'3011.TW-ChipsField3,ChipsField1,ChipsField25,CashAndStockDividend,CashDividendYieldRate,ProfitFourSeason,ProfitSingle,CName,ExchangeIndustry,CompanyPos'</f>
        <v>0</v>
      </c>
      <c r="V599">
        <v>-82</v>
      </c>
      <c r="W599" t="str">
        <v>--</v>
      </c>
      <c r="X599" t="str">
        <v>0.00</v>
      </c>
      <c r="Y599">
        <v>0</v>
      </c>
      <c r="Z599" t="str">
        <v>0.95</v>
      </c>
      <c r="AA599" t="str">
        <v>0.03</v>
      </c>
      <c r="AB599" t="str">
        <v>今皓</v>
      </c>
      <c r="AC599" t="str">
        <v>上市電子零組件</v>
      </c>
      <c r="AD599" t="str">
        <v>3C產品之電源線供應大廠</v>
      </c>
      <c r="AE599" t="str">
        <f t="array" ref="AE599:AH599">[1]!'3011.TW-CName,InvestorConferenceDate,DateofMeetingofShareHolders,TradingDate'</f>
        <v>今皓</v>
      </c>
      <c r="AF599" t="str">
        <v>2021/12/17</v>
      </c>
      <c r="AG599" t="str">
        <v>2022/06/20</v>
      </c>
      <c r="AH599" t="str">
        <v>2022/12/22</v>
      </c>
    </row>
    <row r="600" spans="1:34" x14ac:dyDescent="0.3">
      <c r="A600" t="str">
        <f t="array" ref="A600:J600">[1]!'3015.TW-ID,Name,MarketValue,Capital,NetIncomeGrowthRate,OperIncomeGrowthRate,FinancialStatementsTime,TFXRatio,MonthlyNetSalesYoY,RevenueMonth'</f>
        <v>3015</v>
      </c>
      <c r="B600" t="str">
        <v>全漢</v>
      </c>
      <c r="C600" t="str">
        <v>71.4</v>
      </c>
      <c r="D600" t="str">
        <v>18.73</v>
      </c>
      <c r="E600" t="str">
        <v>11.86</v>
      </c>
      <c r="F600" t="str">
        <v>-30.71</v>
      </c>
      <c r="G600" t="str">
        <v>2022/09</v>
      </c>
      <c r="H600" t="str">
        <v>3.94</v>
      </c>
      <c r="I600" t="str">
        <v>-13.65</v>
      </c>
      <c r="J600" t="str">
        <v>2022/11</v>
      </c>
      <c r="K600" t="str">
        <f t="array" ref="K600:T600">[1]!'3015.TW-OperatingProfitRatio,Price,PriceChangeRatio,InOutRatioNumber,Value,YearReturn,MonthReturn,WeekReturn,FinanceBalanceDif,ChipsField2'</f>
        <v>3.41</v>
      </c>
      <c r="L600">
        <v>38.15</v>
      </c>
      <c r="M600">
        <v>0.66</v>
      </c>
      <c r="N600" t="str">
        <v>31.58%</v>
      </c>
      <c r="O600" t="str">
        <v>144萬</v>
      </c>
      <c r="P600" t="str">
        <v>-6.99</v>
      </c>
      <c r="Q600" t="str">
        <v>+1.60</v>
      </c>
      <c r="R600" t="str">
        <v>-1.04</v>
      </c>
      <c r="S600">
        <v>-1</v>
      </c>
      <c r="T600">
        <v>0</v>
      </c>
      <c r="U600">
        <f t="array" ref="U600:AD600">[1]!'3015.TW-ChipsField3,ChipsField1,ChipsField25,CashAndStockDividend,CashDividendYieldRate,ProfitFourSeason,ProfitSingle,CName,ExchangeIndustry,CompanyPos'</f>
        <v>-9</v>
      </c>
      <c r="V600">
        <v>-2</v>
      </c>
      <c r="W600" t="str">
        <v>2022/06/27</v>
      </c>
      <c r="X600" t="str">
        <v>3.30</v>
      </c>
      <c r="Y600">
        <v>8.65</v>
      </c>
      <c r="Z600" t="str">
        <v>4.26</v>
      </c>
      <c r="AA600" t="str">
        <v>1.71</v>
      </c>
      <c r="AB600" t="str">
        <v>全漢</v>
      </c>
      <c r="AC600" t="str">
        <v>上市電子零組件</v>
      </c>
      <c r="AD600" t="str">
        <v>全球第十大交換式電源供應器廠商</v>
      </c>
      <c r="AE600" t="str">
        <f t="array" ref="AE600:AH600">[1]!'3015.TW-CName,InvestorConferenceDate,DateofMeetingofShareHolders,TradingDate'</f>
        <v>全漢</v>
      </c>
      <c r="AF600" t="str">
        <v>2022/12/05</v>
      </c>
      <c r="AG600" t="str">
        <v>2022/06/09</v>
      </c>
      <c r="AH600" t="str">
        <v>2022/12/22</v>
      </c>
    </row>
    <row r="601" spans="1:34" x14ac:dyDescent="0.3">
      <c r="A601" t="str">
        <f t="array" ref="A601:J601">[1]!'3021.TW-ID,Name,MarketValue,Capital,NetIncomeGrowthRate,OperIncomeGrowthRate,FinancialStatementsTime,TFXRatio,MonthlyNetSalesYoY,RevenueMonth'</f>
        <v>3021</v>
      </c>
      <c r="B601" t="str">
        <v>鴻名</v>
      </c>
      <c r="C601" t="str">
        <v>19.6</v>
      </c>
      <c r="D601" t="str">
        <v>9.59</v>
      </c>
      <c r="E601" t="str">
        <v>23.22</v>
      </c>
      <c r="F601" t="str">
        <v>13.25</v>
      </c>
      <c r="G601" t="str">
        <v>2022/09</v>
      </c>
      <c r="H601" t="str">
        <v>3.13</v>
      </c>
      <c r="I601" t="str">
        <v>22.83</v>
      </c>
      <c r="J601" t="str">
        <v>2022/11</v>
      </c>
      <c r="K601" t="str">
        <f t="array" ref="K601:T601">[1]!'3021.TW-OperatingProfitRatio,Price,PriceChangeRatio,InOutRatioNumber,Value,YearReturn,MonthReturn,WeekReturn,FinanceBalanceDif,ChipsField2'</f>
        <v>7.29</v>
      </c>
      <c r="L601">
        <v>20.45</v>
      </c>
      <c r="M601">
        <v>3.02</v>
      </c>
      <c r="N601" t="str">
        <v>87.07%</v>
      </c>
      <c r="O601" t="str">
        <v>239萬</v>
      </c>
      <c r="P601" t="str">
        <v>-15.61</v>
      </c>
      <c r="Q601" t="str">
        <v>-2.39</v>
      </c>
      <c r="R601" t="str">
        <v>-2.39</v>
      </c>
      <c r="S601">
        <v>-94</v>
      </c>
      <c r="T601">
        <v>0</v>
      </c>
      <c r="U601">
        <f t="array" ref="U601:AD601">[1]!'3021.TW-ChipsField3,ChipsField1,ChipsField25,CashAndStockDividend,CashDividendYieldRate,ProfitFourSeason,ProfitSingle,CName,ExchangeIndustry,CompanyPos'</f>
        <v>0</v>
      </c>
      <c r="V601">
        <v>11</v>
      </c>
      <c r="W601" t="str">
        <v>2022/08/25</v>
      </c>
      <c r="X601" t="str">
        <v>0.60</v>
      </c>
      <c r="Y601">
        <v>2.93</v>
      </c>
      <c r="Z601" t="str">
        <v>1.70</v>
      </c>
      <c r="AA601" t="str">
        <v>0.59</v>
      </c>
      <c r="AB601" t="str">
        <v>鴻名</v>
      </c>
      <c r="AC601" t="str">
        <v>上市電子零組件</v>
      </c>
      <c r="AD601" t="str">
        <v>提供3C產品線材、連接器及電子元件廠商</v>
      </c>
      <c r="AE601" t="str">
        <f t="array" ref="AE601:AH601">[1]!'3021.TW-CName,InvestorConferenceDate,DateofMeetingofShareHolders,TradingDate'</f>
        <v>鴻名</v>
      </c>
      <c r="AF601" t="str">
        <v>2022/04/15</v>
      </c>
      <c r="AG601" t="str">
        <v>2022/06/14</v>
      </c>
      <c r="AH601" t="str">
        <v>2022/12/22</v>
      </c>
    </row>
    <row r="602" spans="1:34" x14ac:dyDescent="0.3">
      <c r="A602" t="str">
        <f t="array" ref="A602:J602">[1]!'3023.TW-ID,Name,MarketValue,Capital,NetIncomeGrowthRate,OperIncomeGrowthRate,FinancialStatementsTime,TFXRatio,MonthlyNetSalesYoY,RevenueMonth'</f>
        <v>3023</v>
      </c>
      <c r="B602" t="str">
        <v>信邦</v>
      </c>
      <c r="C602" t="str">
        <v>653.0</v>
      </c>
      <c r="D602" t="str">
        <v>23.71</v>
      </c>
      <c r="E602" t="str">
        <v>20.34</v>
      </c>
      <c r="F602" t="str">
        <v>9.70</v>
      </c>
      <c r="G602" t="str">
        <v>2022/09</v>
      </c>
      <c r="H602" t="str">
        <v>0.33</v>
      </c>
      <c r="I602" t="str">
        <v>24.46</v>
      </c>
      <c r="J602" t="str">
        <v>2022/11</v>
      </c>
      <c r="K602" t="str">
        <f t="array" ref="K602:T602">[1]!'3023.TW-OperatingProfitRatio,Price,PriceChangeRatio,InOutRatioNumber,Value,YearReturn,MonthReturn,WeekReturn,FinanceBalanceDif,ChipsField2'</f>
        <v>11.24</v>
      </c>
      <c r="L602">
        <v>276</v>
      </c>
      <c r="M602">
        <v>0.73</v>
      </c>
      <c r="N602" t="str">
        <v>40.30%</v>
      </c>
      <c r="O602" t="str">
        <v>1.30億</v>
      </c>
      <c r="P602" t="str">
        <v>+7.77</v>
      </c>
      <c r="Q602" t="str">
        <v>+0.18</v>
      </c>
      <c r="R602" t="str">
        <v>-2.99</v>
      </c>
      <c r="S602">
        <v>-9</v>
      </c>
      <c r="T602">
        <v>0</v>
      </c>
      <c r="U602">
        <f t="array" ref="U602:AD602">[1]!'3023.TW-ChipsField3,ChipsField1,ChipsField25,CashAndStockDividend,CashDividendYieldRate,ProfitFourSeason,ProfitSingle,CName,ExchangeIndustry,CompanyPos'</f>
        <v>-10</v>
      </c>
      <c r="V602">
        <v>-47</v>
      </c>
      <c r="W602" t="str">
        <v>2022/08/19</v>
      </c>
      <c r="X602" t="str">
        <v>6.96</v>
      </c>
      <c r="Y602">
        <v>2.52</v>
      </c>
      <c r="Z602" t="str">
        <v>11.64</v>
      </c>
      <c r="AA602" t="str">
        <v>3.58</v>
      </c>
      <c r="AB602" t="str">
        <v>信邦</v>
      </c>
      <c r="AC602" t="str">
        <v>上市電子零組件</v>
      </c>
      <c r="AD602" t="str">
        <v>專注客製化連接線組及連接器</v>
      </c>
      <c r="AE602" t="str">
        <f t="array" ref="AE602:AH602">[1]!'3023.TW-CName,InvestorConferenceDate,DateofMeetingofShareHolders,TradingDate'</f>
        <v>信邦</v>
      </c>
      <c r="AF602" t="str">
        <v>2022/12/08</v>
      </c>
      <c r="AG602" t="str">
        <v>2022/05/30</v>
      </c>
      <c r="AH602" t="str">
        <v>2022/12/22</v>
      </c>
    </row>
    <row r="603" spans="1:34" x14ac:dyDescent="0.3">
      <c r="A603" t="str">
        <f t="array" ref="A603:J603">[1]!'3026.TW-ID,Name,MarketValue,Capital,NetIncomeGrowthRate,OperIncomeGrowthRate,FinancialStatementsTime,TFXRatio,MonthlyNetSalesYoY,RevenueMonth'</f>
        <v>3026</v>
      </c>
      <c r="B603" t="str">
        <v>禾伸堂</v>
      </c>
      <c r="C603" t="str">
        <v>142.0</v>
      </c>
      <c r="D603" t="str">
        <v>15.80</v>
      </c>
      <c r="E603" t="str">
        <v>-38.47</v>
      </c>
      <c r="F603" t="str">
        <v>-32.51</v>
      </c>
      <c r="G603" t="str">
        <v>2022/09</v>
      </c>
      <c r="H603" t="str">
        <v>6.36</v>
      </c>
      <c r="I603" t="str">
        <v>-9.97</v>
      </c>
      <c r="J603" t="str">
        <v>2022/11</v>
      </c>
      <c r="K603" t="str">
        <f t="array" ref="K603:T603">[1]!'3026.TW-OperatingProfitRatio,Price,PriceChangeRatio,InOutRatioNumber,Value,YearReturn,MonthReturn,WeekReturn,FinanceBalanceDif,ChipsField2'</f>
        <v>10.01</v>
      </c>
      <c r="L603">
        <v>89.9</v>
      </c>
      <c r="M603">
        <v>0.56000000000000005</v>
      </c>
      <c r="N603" t="str">
        <v>56.14%</v>
      </c>
      <c r="O603" t="str">
        <v>511萬</v>
      </c>
      <c r="P603" t="str">
        <v>-16.71</v>
      </c>
      <c r="Q603" t="str">
        <v>+0.11</v>
      </c>
      <c r="R603" t="str">
        <v>+0.11</v>
      </c>
      <c r="S603">
        <v>1</v>
      </c>
      <c r="T603">
        <v>0</v>
      </c>
      <c r="U603">
        <f t="array" ref="U603:AD603">[1]!'3026.TW-ChipsField3,ChipsField1,ChipsField25,CashAndStockDividend,CashDividendYieldRate,ProfitFourSeason,ProfitSingle,CName,ExchangeIndustry,CompanyPos'</f>
        <v>-3</v>
      </c>
      <c r="V603">
        <v>-42</v>
      </c>
      <c r="W603" t="str">
        <v>2022/07/18</v>
      </c>
      <c r="X603" t="str">
        <v>9.00</v>
      </c>
      <c r="Y603">
        <v>10.01</v>
      </c>
      <c r="Z603" t="str">
        <v>8.56</v>
      </c>
      <c r="AA603" t="str">
        <v>1.16</v>
      </c>
      <c r="AB603" t="str">
        <v>禾伸堂</v>
      </c>
      <c r="AC603" t="str">
        <v>上市電子零組件</v>
      </c>
      <c r="AD603" t="str">
        <v>主要自製MLCC及代理電子元件</v>
      </c>
      <c r="AE603" t="str">
        <f t="array" ref="AE603:AH603">[1]!'3026.TW-CName,InvestorConferenceDate,DateofMeetingofShareHolders,TradingDate'</f>
        <v>禾伸堂</v>
      </c>
      <c r="AF603" t="str">
        <v>2022/12/15</v>
      </c>
      <c r="AG603" t="str">
        <v>2022/05/27</v>
      </c>
      <c r="AH603" t="str">
        <v>2022/12/22</v>
      </c>
    </row>
    <row r="604" spans="1:34" x14ac:dyDescent="0.3">
      <c r="A604" t="str">
        <f t="array" ref="A604:J604">[1]!'3032.TW-ID,Name,MarketValue,Capital,NetIncomeGrowthRate,OperIncomeGrowthRate,FinancialStatementsTime,TFXRatio,MonthlyNetSalesYoY,RevenueMonth'</f>
        <v>3032</v>
      </c>
      <c r="B604" t="str">
        <v>偉訓</v>
      </c>
      <c r="C604" t="str">
        <v>30.8</v>
      </c>
      <c r="D604" t="str">
        <v>11.33</v>
      </c>
      <c r="E604" t="str">
        <v>26.01</v>
      </c>
      <c r="F604" t="str">
        <v>-2.01</v>
      </c>
      <c r="G604" t="str">
        <v>2022/09</v>
      </c>
      <c r="H604" t="str">
        <v>8.44</v>
      </c>
      <c r="I604" t="str">
        <v>4.26</v>
      </c>
      <c r="J604" t="str">
        <v>2022/11</v>
      </c>
      <c r="K604" t="str">
        <f t="array" ref="K604:T604">[1]!'3032.TW-OperatingProfitRatio,Price,PriceChangeRatio,InOutRatioNumber,Value,YearReturn,MonthReturn,WeekReturn,FinanceBalanceDif,ChipsField2'</f>
        <v>6.39</v>
      </c>
      <c r="L604">
        <v>29.8</v>
      </c>
      <c r="M604">
        <v>0</v>
      </c>
      <c r="N604" t="str">
        <v>15.56%</v>
      </c>
      <c r="O604" t="str">
        <v>134萬</v>
      </c>
      <c r="P604" t="str">
        <v>+1.63</v>
      </c>
      <c r="Q604" t="str">
        <v>+5.86</v>
      </c>
      <c r="R604" t="str">
        <v>-2.13</v>
      </c>
      <c r="S604">
        <v>-1</v>
      </c>
      <c r="T604">
        <v>0</v>
      </c>
      <c r="U604">
        <f t="array" ref="U604:AD604">[1]!'3032.TW-ChipsField3,ChipsField1,ChipsField25,CashAndStockDividend,CashDividendYieldRate,ProfitFourSeason,ProfitSingle,CName,ExchangeIndustry,CompanyPos'</f>
        <v>0</v>
      </c>
      <c r="V604">
        <v>-3</v>
      </c>
      <c r="W604" t="str">
        <v>2022/07/14</v>
      </c>
      <c r="X604" t="str">
        <v>2.00</v>
      </c>
      <c r="Y604">
        <v>6.71</v>
      </c>
      <c r="Z604" t="str">
        <v>2.94</v>
      </c>
      <c r="AA604" t="str">
        <v>0.89</v>
      </c>
      <c r="AB604" t="str">
        <v>偉訓</v>
      </c>
      <c r="AC604" t="str">
        <v>上市電子零組件</v>
      </c>
      <c r="AD604" t="str">
        <v>台灣PC電源供應器及機殼製造廠，並跨入電競領域</v>
      </c>
      <c r="AE604" t="str">
        <f t="array" ref="AE604:AH604">[1]!'3032.TW-CName,InvestorConferenceDate,DateofMeetingofShareHolders,TradingDate'</f>
        <v>偉訓</v>
      </c>
      <c r="AF604" t="str">
        <v>2022/11/23</v>
      </c>
      <c r="AG604" t="str">
        <v>2022/06/23</v>
      </c>
      <c r="AH604" t="str">
        <v>2022/12/22</v>
      </c>
    </row>
    <row r="605" spans="1:34" x14ac:dyDescent="0.3">
      <c r="A605" t="str">
        <f t="array" ref="A605:J605">[1]!'3037.TW-ID,Name,MarketValue,Capital,NetIncomeGrowthRate,OperIncomeGrowthRate,FinancialStatementsTime,TFXRatio,MonthlyNetSalesYoY,RevenueMonth'</f>
        <v>3037</v>
      </c>
      <c r="B605" t="str">
        <v>欣興</v>
      </c>
      <c r="C605" t="str">
        <v>1803.6</v>
      </c>
      <c r="D605" t="str">
        <v>147.84</v>
      </c>
      <c r="E605" t="str">
        <v>178.95</v>
      </c>
      <c r="F605" t="str">
        <v>283.39</v>
      </c>
      <c r="G605" t="str">
        <v>2022/09</v>
      </c>
      <c r="H605" t="str">
        <v>-5.32</v>
      </c>
      <c r="I605" t="str">
        <v>23.24</v>
      </c>
      <c r="J605" t="str">
        <v>2022/11</v>
      </c>
      <c r="K605" t="str">
        <f t="array" ref="K605:T605">[1]!'3037.TW-OperatingProfitRatio,Price,PriceChangeRatio,InOutRatioNumber,Value,YearReturn,MonthReturn,WeekReturn,FinanceBalanceDif,ChipsField2'</f>
        <v>27.53</v>
      </c>
      <c r="L605">
        <v>122</v>
      </c>
      <c r="M605">
        <v>1.24</v>
      </c>
      <c r="N605" t="str">
        <v>51.08%</v>
      </c>
      <c r="O605" t="str">
        <v>43.0億</v>
      </c>
      <c r="P605" t="str">
        <v>-43.93</v>
      </c>
      <c r="Q605" t="str">
        <v>-22.29</v>
      </c>
      <c r="R605" t="str">
        <v>-17.29</v>
      </c>
      <c r="S605">
        <v>1289</v>
      </c>
      <c r="T605">
        <v>-5204</v>
      </c>
      <c r="U605">
        <f t="array" ref="U605:AD605">[1]!'3037.TW-ChipsField3,ChipsField1,ChipsField25,CashAndStockDividend,CashDividendYieldRate,ProfitFourSeason,ProfitSingle,CName,ExchangeIndustry,CompanyPos'</f>
        <v>572</v>
      </c>
      <c r="V605">
        <v>-8931</v>
      </c>
      <c r="W605" t="str">
        <v>2022/07/15</v>
      </c>
      <c r="X605" t="str">
        <v>3.40</v>
      </c>
      <c r="Y605">
        <v>2.79</v>
      </c>
      <c r="Z605" t="str">
        <v>18.49</v>
      </c>
      <c r="AA605" t="str">
        <v>5.80</v>
      </c>
      <c r="AB605" t="str">
        <v>欣興</v>
      </c>
      <c r="AC605" t="str">
        <v>上市電子零組件</v>
      </c>
      <c r="AD605" t="str">
        <v>全球印刷電路板龍頭廠之一</v>
      </c>
      <c r="AE605" t="str">
        <f t="array" ref="AE605:AH605">[1]!'3037.TW-CName,InvestorConferenceDate,DateofMeetingofShareHolders,TradingDate'</f>
        <v>欣興</v>
      </c>
      <c r="AF605" t="str">
        <v>2022/11/14</v>
      </c>
      <c r="AG605" t="str">
        <v>2022/06/15</v>
      </c>
      <c r="AH605" t="str">
        <v>2022/12/22</v>
      </c>
    </row>
    <row r="606" spans="1:34" x14ac:dyDescent="0.3">
      <c r="A606" t="str">
        <f t="array" ref="A606:J606">[1]!'3042.TW-ID,Name,MarketValue,Capital,NetIncomeGrowthRate,OperIncomeGrowthRate,FinancialStatementsTime,TFXRatio,MonthlyNetSalesYoY,RevenueMonth'</f>
        <v>3042</v>
      </c>
      <c r="B606" t="str">
        <v>晶技</v>
      </c>
      <c r="C606" t="str">
        <v>255.2</v>
      </c>
      <c r="D606" t="str">
        <v>30.98</v>
      </c>
      <c r="E606" t="str">
        <v>-2.79</v>
      </c>
      <c r="F606" t="str">
        <v>-20.65</v>
      </c>
      <c r="G606" t="str">
        <v>2022/09</v>
      </c>
      <c r="H606" t="str">
        <v>-12.34</v>
      </c>
      <c r="I606" t="str">
        <v>-12.14</v>
      </c>
      <c r="J606" t="str">
        <v>2022/11</v>
      </c>
      <c r="K606" t="str">
        <f t="array" ref="K606:T606">[1]!'3042.TW-OperatingProfitRatio,Price,PriceChangeRatio,InOutRatioNumber,Value,YearReturn,MonthReturn,WeekReturn,FinanceBalanceDif,ChipsField2'</f>
        <v>21.53</v>
      </c>
      <c r="L606">
        <v>82.4</v>
      </c>
      <c r="M606">
        <v>0.73</v>
      </c>
      <c r="N606" t="str">
        <v>57.64%</v>
      </c>
      <c r="O606" t="str">
        <v>4664萬</v>
      </c>
      <c r="P606" t="str">
        <v>-16.46</v>
      </c>
      <c r="Q606" t="str">
        <v>+0.98</v>
      </c>
      <c r="R606" t="str">
        <v>-3.51</v>
      </c>
      <c r="S606">
        <v>0</v>
      </c>
      <c r="T606">
        <v>24</v>
      </c>
      <c r="U606">
        <f t="array" ref="U606:AD606">[1]!'3042.TW-ChipsField3,ChipsField1,ChipsField25,CashAndStockDividend,CashDividendYieldRate,ProfitFourSeason,ProfitSingle,CName,ExchangeIndustry,CompanyPos'</f>
        <v>103</v>
      </c>
      <c r="V606">
        <v>-483</v>
      </c>
      <c r="W606" t="str">
        <v>2022/07/15</v>
      </c>
      <c r="X606" t="str">
        <v>7.50</v>
      </c>
      <c r="Y606">
        <v>9.1</v>
      </c>
      <c r="Z606" t="str">
        <v>9.84</v>
      </c>
      <c r="AA606" t="str">
        <v>2.75</v>
      </c>
      <c r="AB606" t="str">
        <v>晶技</v>
      </c>
      <c r="AC606" t="str">
        <v>上市電子零組件</v>
      </c>
      <c r="AD606" t="str">
        <v>台灣最大石英元件、頻率控制元件廠商</v>
      </c>
      <c r="AE606" t="str">
        <f t="array" ref="AE606:AH606">[1]!'3042.TW-CName,InvestorConferenceDate,DateofMeetingofShareHolders,TradingDate'</f>
        <v>晶技</v>
      </c>
      <c r="AF606" t="str">
        <v>2022/12/13</v>
      </c>
      <c r="AG606" t="str">
        <v>2022/05/31</v>
      </c>
      <c r="AH606" t="str">
        <v>2022/12/22</v>
      </c>
    </row>
    <row r="607" spans="1:34" x14ac:dyDescent="0.3">
      <c r="A607" t="str">
        <f t="array" ref="A607:J607">[1]!'3044.TW-ID,Name,MarketValue,Capital,NetIncomeGrowthRate,OperIncomeGrowthRate,FinancialStatementsTime,TFXRatio,MonthlyNetSalesYoY,RevenueMonth'</f>
        <v>3044</v>
      </c>
      <c r="B607" t="str">
        <v>健鼎</v>
      </c>
      <c r="C607" t="str">
        <v>496.7</v>
      </c>
      <c r="D607" t="str">
        <v>52.56</v>
      </c>
      <c r="E607" t="str">
        <v>4.70</v>
      </c>
      <c r="F607" t="str">
        <v>4.12</v>
      </c>
      <c r="G607" t="str">
        <v>2022/09</v>
      </c>
      <c r="H607" t="str">
        <v>7.21</v>
      </c>
      <c r="I607" t="str">
        <v>-9.27</v>
      </c>
      <c r="J607" t="str">
        <v>2022/11</v>
      </c>
      <c r="K607" t="str">
        <f t="array" ref="K607:T607">[1]!'3044.TW-OperatingProfitRatio,Price,PriceChangeRatio,InOutRatioNumber,Value,YearReturn,MonthReturn,WeekReturn,FinanceBalanceDif,ChipsField2'</f>
        <v>9.88</v>
      </c>
      <c r="L607">
        <v>94.5</v>
      </c>
      <c r="M607">
        <v>2.94</v>
      </c>
      <c r="N607" t="str">
        <v>34.03%</v>
      </c>
      <c r="O607" t="str">
        <v>3.12億</v>
      </c>
      <c r="P607" t="str">
        <v>-16.43</v>
      </c>
      <c r="Q607" t="str">
        <v>-1.15</v>
      </c>
      <c r="R607" t="str">
        <v>-3.96</v>
      </c>
      <c r="S607">
        <v>13</v>
      </c>
      <c r="T607">
        <v>-1558</v>
      </c>
      <c r="U607">
        <f t="array" ref="U607:AD607">[1]!'3044.TW-ChipsField3,ChipsField1,ChipsField25,CashAndStockDividend,CashDividendYieldRate,ProfitFourSeason,ProfitSingle,CName,ExchangeIndustry,CompanyPos'</f>
        <v>21</v>
      </c>
      <c r="V607">
        <v>925</v>
      </c>
      <c r="W607" t="str">
        <v>2022/07/14</v>
      </c>
      <c r="X607" t="str">
        <v>7.00</v>
      </c>
      <c r="Y607">
        <v>7.41</v>
      </c>
      <c r="Z607" t="str">
        <v>11.53</v>
      </c>
      <c r="AA607" t="str">
        <v>3.09</v>
      </c>
      <c r="AB607" t="str">
        <v>健鼎</v>
      </c>
      <c r="AC607" t="str">
        <v>上市電子零組件</v>
      </c>
      <c r="AD607" t="str">
        <v>全球前十大印刷電路板廠之一</v>
      </c>
      <c r="AE607" t="str">
        <f t="array" ref="AE607:AH607">[1]!'3044.TW-CName,InvestorConferenceDate,DateofMeetingofShareHolders,TradingDate'</f>
        <v>健鼎</v>
      </c>
      <c r="AF607" t="str">
        <v>2021/03/18</v>
      </c>
      <c r="AG607" t="str">
        <v>2022/06/21</v>
      </c>
      <c r="AH607" t="str">
        <v>2022/12/22</v>
      </c>
    </row>
    <row r="608" spans="1:34" x14ac:dyDescent="0.3">
      <c r="A608" t="str">
        <f t="array" ref="A608:J608">[1]!'3058.TW-ID,Name,MarketValue,Capital,NetIncomeGrowthRate,OperIncomeGrowthRate,FinancialStatementsTime,TFXRatio,MonthlyNetSalesYoY,RevenueMonth'</f>
        <v>3058</v>
      </c>
      <c r="B608" t="str">
        <v>立德</v>
      </c>
      <c r="C608" t="str">
        <v>15.9</v>
      </c>
      <c r="D608" t="str">
        <v>15.86</v>
      </c>
      <c r="E608" t="str">
        <v>28.92</v>
      </c>
      <c r="F608" t="str">
        <v>52.57</v>
      </c>
      <c r="G608" t="str">
        <v>2022/09</v>
      </c>
      <c r="H608" t="str">
        <v>10.48</v>
      </c>
      <c r="I608" t="str">
        <v>-10.24</v>
      </c>
      <c r="J608" t="str">
        <v>2022/11</v>
      </c>
      <c r="K608" t="str">
        <f t="array" ref="K608:T608">[1]!'3058.TW-OperatingProfitRatio,Price,PriceChangeRatio,InOutRatioNumber,Value,YearReturn,MonthReturn,WeekReturn,FinanceBalanceDif,ChipsField2'</f>
        <v>-3.15</v>
      </c>
      <c r="L608">
        <v>10</v>
      </c>
      <c r="M608">
        <v>0.5</v>
      </c>
      <c r="N608" t="str">
        <v>42.48%</v>
      </c>
      <c r="O608" t="str">
        <v>113萬</v>
      </c>
      <c r="P608" t="str">
        <v>-37.69</v>
      </c>
      <c r="Q608" t="str">
        <v>+4.28</v>
      </c>
      <c r="R608" t="str">
        <v>-0.50</v>
      </c>
      <c r="S608">
        <v>0</v>
      </c>
      <c r="T608">
        <v>0</v>
      </c>
      <c r="U608">
        <f t="array" ref="U608:AD608">[1]!'3058.TW-ChipsField3,ChipsField1,ChipsField25,CashAndStockDividend,CashDividendYieldRate,ProfitFourSeason,ProfitSingle,CName,ExchangeIndustry,CompanyPos'</f>
        <v>0</v>
      </c>
      <c r="V608">
        <v>-9</v>
      </c>
      <c r="W608" t="str">
        <v>--</v>
      </c>
      <c r="X608" t="str">
        <v>0.00</v>
      </c>
      <c r="Y608">
        <v>0</v>
      </c>
      <c r="Z608" t="str">
        <v>-1.62</v>
      </c>
      <c r="AA608" t="str">
        <v>-0.07</v>
      </c>
      <c r="AB608" t="str">
        <v>立德</v>
      </c>
      <c r="AC608" t="str">
        <v>上市電子零組件</v>
      </c>
      <c r="AD608" t="str">
        <v>以消費性網通應用為主的電源供應器廠</v>
      </c>
      <c r="AE608" t="str">
        <f t="array" ref="AE608:AH608">[1]!'3058.TW-CName,InvestorConferenceDate,DateofMeetingofShareHolders,TradingDate'</f>
        <v>立德</v>
      </c>
      <c r="AF608" t="str">
        <v>2022/12/09</v>
      </c>
      <c r="AG608" t="str">
        <v>2022/06/24</v>
      </c>
      <c r="AH608" t="str">
        <v>2022/12/22</v>
      </c>
    </row>
    <row r="609" spans="1:34" x14ac:dyDescent="0.3">
      <c r="A609" t="str">
        <f t="array" ref="A609:J609">[1]!'3090.TW-ID,Name,MarketValue,Capital,NetIncomeGrowthRate,OperIncomeGrowthRate,FinancialStatementsTime,TFXRatio,MonthlyNetSalesYoY,RevenueMonth'</f>
        <v>3090</v>
      </c>
      <c r="B609" t="str">
        <v>日電貿</v>
      </c>
      <c r="C609" t="str">
        <v>97.2</v>
      </c>
      <c r="D609" t="str">
        <v>21.27</v>
      </c>
      <c r="E609" t="str">
        <v>98.76</v>
      </c>
      <c r="F609" t="str">
        <v>-27.14</v>
      </c>
      <c r="G609" t="str">
        <v>2022/09</v>
      </c>
      <c r="H609" t="str">
        <v>5.60</v>
      </c>
      <c r="I609" t="str">
        <v>9.02</v>
      </c>
      <c r="J609" t="str">
        <v>2022/11</v>
      </c>
      <c r="K609" t="str">
        <f t="array" ref="K609:T609">[1]!'3090.TW-OperatingProfitRatio,Price,PriceChangeRatio,InOutRatioNumber,Value,YearReturn,MonthReturn,WeekReturn,FinanceBalanceDif,ChipsField2'</f>
        <v>8.49</v>
      </c>
      <c r="L609">
        <v>53.2</v>
      </c>
      <c r="M609">
        <v>1.1399999999999999</v>
      </c>
      <c r="N609" t="str">
        <v>58.70%</v>
      </c>
      <c r="O609" t="str">
        <v>1485萬</v>
      </c>
      <c r="P609" t="str">
        <v>+9.59</v>
      </c>
      <c r="Q609" t="str">
        <v>+2.90</v>
      </c>
      <c r="R609" t="str">
        <v>-1.12</v>
      </c>
      <c r="S609">
        <v>-25</v>
      </c>
      <c r="T609">
        <v>0</v>
      </c>
      <c r="U609">
        <f t="array" ref="U609:AD609">[1]!'3090.TW-ChipsField3,ChipsField1,ChipsField25,CashAndStockDividend,CashDividendYieldRate,ProfitFourSeason,ProfitSingle,CName,ExchangeIndustry,CompanyPos'</f>
        <v>-14</v>
      </c>
      <c r="V609">
        <v>8</v>
      </c>
      <c r="W609" t="str">
        <v>2022/07/04</v>
      </c>
      <c r="X609" t="str">
        <v>4.00</v>
      </c>
      <c r="Y609">
        <v>7.52</v>
      </c>
      <c r="Z609" t="str">
        <v>8.41</v>
      </c>
      <c r="AA609" t="str">
        <v>4.57</v>
      </c>
      <c r="AB609" t="str">
        <v>日電貿</v>
      </c>
      <c r="AC609" t="str">
        <v>上市電子零組件</v>
      </c>
      <c r="AD609" t="str">
        <v>台灣最大的被動元件代理商</v>
      </c>
      <c r="AE609" t="str">
        <f t="array" ref="AE609:AH609">[1]!'3090.TW-CName,InvestorConferenceDate,DateofMeetingofShareHolders,TradingDate'</f>
        <v>日電貿</v>
      </c>
      <c r="AF609" t="str">
        <v>2022/11/15</v>
      </c>
      <c r="AG609" t="str">
        <v>2022/06/15</v>
      </c>
      <c r="AH609" t="str">
        <v>2022/12/22</v>
      </c>
    </row>
    <row r="610" spans="1:34" x14ac:dyDescent="0.3">
      <c r="A610" t="str">
        <f t="array" ref="A610:J610">[1]!'3092.TW-ID,Name,MarketValue,Capital,NetIncomeGrowthRate,OperIncomeGrowthRate,FinancialStatementsTime,TFXRatio,MonthlyNetSalesYoY,RevenueMonth'</f>
        <v>3092</v>
      </c>
      <c r="B610" t="str">
        <v>鴻碩</v>
      </c>
      <c r="C610" t="str">
        <v>31.8</v>
      </c>
      <c r="D610" t="str">
        <v>9.32</v>
      </c>
      <c r="E610" t="str">
        <v>2479.27</v>
      </c>
      <c r="F610" t="str">
        <v>521.36</v>
      </c>
      <c r="G610" t="str">
        <v>2022/09</v>
      </c>
      <c r="H610" t="str">
        <v>-13.37</v>
      </c>
      <c r="I610" t="str">
        <v>-39.83</v>
      </c>
      <c r="J610" t="str">
        <v>2022/11</v>
      </c>
      <c r="K610" t="str">
        <f t="array" ref="K610:T610">[1]!'3092.TW-OperatingProfitRatio,Price,PriceChangeRatio,InOutRatioNumber,Value,YearReturn,MonthReturn,WeekReturn,FinanceBalanceDif,ChipsField2'</f>
        <v>5.49</v>
      </c>
      <c r="L610">
        <v>34.1</v>
      </c>
      <c r="M610">
        <v>0.59</v>
      </c>
      <c r="N610" t="str">
        <v>44.58%</v>
      </c>
      <c r="O610" t="str">
        <v>568萬</v>
      </c>
      <c r="P610" t="str">
        <v>-34.42</v>
      </c>
      <c r="Q610" t="str">
        <v>-4.88</v>
      </c>
      <c r="R610" t="str">
        <v>-7.46</v>
      </c>
      <c r="S610">
        <v>-18</v>
      </c>
      <c r="T610">
        <v>0</v>
      </c>
      <c r="U610">
        <f t="array" ref="U610:AD610">[1]!'3092.TW-ChipsField3,ChipsField1,ChipsField25,CashAndStockDividend,CashDividendYieldRate,ProfitFourSeason,ProfitSingle,CName,ExchangeIndustry,CompanyPos'</f>
        <v>-10</v>
      </c>
      <c r="V610">
        <v>-8</v>
      </c>
      <c r="W610" t="str">
        <v>--</v>
      </c>
      <c r="X610" t="str">
        <v>0.00</v>
      </c>
      <c r="Y610">
        <v>0</v>
      </c>
      <c r="Z610" t="str">
        <v>1.53</v>
      </c>
      <c r="AA610" t="str">
        <v>0.59</v>
      </c>
      <c r="AB610" t="str">
        <v>鴻碩</v>
      </c>
      <c r="AC610" t="str">
        <v>上市電子零組件</v>
      </c>
      <c r="AD610" t="str">
        <v>全球最大監視器用連接線供應商</v>
      </c>
      <c r="AE610" t="str">
        <f t="array" ref="AE610:AH610">[1]!'3092.TW-CName,InvestorConferenceDate,DateofMeetingofShareHolders,TradingDate'</f>
        <v>鴻碩</v>
      </c>
      <c r="AF610" t="str">
        <v>2022/11/25</v>
      </c>
      <c r="AG610" t="str">
        <v>2022/05/26</v>
      </c>
      <c r="AH610" t="str">
        <v>2022/12/22</v>
      </c>
    </row>
    <row r="611" spans="1:34" x14ac:dyDescent="0.3">
      <c r="A611" t="str">
        <f t="array" ref="A611:J611">[1]!'3229.TW-ID,Name,MarketValue,Capital,NetIncomeGrowthRate,OperIncomeGrowthRate,FinancialStatementsTime,TFXRatio,MonthlyNetSalesYoY,RevenueMonth'</f>
        <v>3229</v>
      </c>
      <c r="B611" t="str">
        <v>晟鈦</v>
      </c>
      <c r="C611" t="str">
        <v>6.4</v>
      </c>
      <c r="D611" t="str">
        <v>6.43</v>
      </c>
      <c r="E611" t="str">
        <v>47.22</v>
      </c>
      <c r="F611" t="str">
        <v>19.63</v>
      </c>
      <c r="G611" t="str">
        <v>2022/09</v>
      </c>
      <c r="H611" t="str">
        <v>-12.20</v>
      </c>
      <c r="I611" t="str">
        <v>124.86</v>
      </c>
      <c r="J611" t="str">
        <v>2022/11</v>
      </c>
      <c r="K611" t="str">
        <f t="array" ref="K611:T611">[1]!'3229.TW-OperatingProfitRatio,Price,PriceChangeRatio,InOutRatioNumber,Value,YearReturn,MonthReturn,WeekReturn,FinanceBalanceDif,ChipsField2'</f>
        <v>-7.31</v>
      </c>
      <c r="L611">
        <v>19.8</v>
      </c>
      <c r="M611">
        <v>0</v>
      </c>
      <c r="N611" t="str">
        <v>30.77%</v>
      </c>
      <c r="O611" t="str">
        <v>25.6萬</v>
      </c>
      <c r="P611" t="str">
        <v>+9.47</v>
      </c>
      <c r="Q611" t="str">
        <v>0.00</v>
      </c>
      <c r="R611" t="str">
        <v>-2.46</v>
      </c>
      <c r="S611">
        <v>-4</v>
      </c>
      <c r="T611">
        <v>0</v>
      </c>
      <c r="U611">
        <f t="array" ref="U611:AD611">[1]!'3229.TW-ChipsField3,ChipsField1,ChipsField25,CashAndStockDividend,CashDividendYieldRate,ProfitFourSeason,ProfitSingle,CName,ExchangeIndustry,CompanyPos'</f>
        <v>0</v>
      </c>
      <c r="V611">
        <v>4</v>
      </c>
      <c r="W611" t="str">
        <v>--</v>
      </c>
      <c r="X611" t="str">
        <v>0.00</v>
      </c>
      <c r="Y611">
        <v>0</v>
      </c>
      <c r="Z611" t="str">
        <v>-1.01</v>
      </c>
      <c r="AA611" t="str">
        <v>-0.09</v>
      </c>
      <c r="AB611" t="str">
        <v>晟鈦</v>
      </c>
      <c r="AC611" t="str">
        <v>上市電子零組件</v>
      </c>
      <c r="AD611" t="str">
        <v>以小量多樣為主PCB廠</v>
      </c>
      <c r="AE611" t="str">
        <f t="array" ref="AE611:AH611">[1]!'3229.TW-CName,InvestorConferenceDate,DateofMeetingofShareHolders,TradingDate'</f>
        <v>晟鈦</v>
      </c>
      <c r="AF611" t="str">
        <v>2021/11/29</v>
      </c>
      <c r="AG611" t="str">
        <v>2022/06/01</v>
      </c>
      <c r="AH611" t="str">
        <v>2022/12/22</v>
      </c>
    </row>
    <row r="612" spans="1:34" x14ac:dyDescent="0.3">
      <c r="A612" t="str">
        <f t="array" ref="A612:J612">[1]!'3296.TW-ID,Name,MarketValue,Capital,NetIncomeGrowthRate,OperIncomeGrowthRate,FinancialStatementsTime,TFXRatio,MonthlyNetSalesYoY,RevenueMonth'</f>
        <v>3296</v>
      </c>
      <c r="B612" t="str">
        <v>勝德</v>
      </c>
      <c r="C612" t="str">
        <v>15.5</v>
      </c>
      <c r="D612" t="str">
        <v>9.67</v>
      </c>
      <c r="E612" t="str">
        <v>66.28</v>
      </c>
      <c r="F612" t="str">
        <v>0.67</v>
      </c>
      <c r="G612" t="str">
        <v>2022/09</v>
      </c>
      <c r="H612" t="str">
        <v>-2.21</v>
      </c>
      <c r="I612" t="str">
        <v>-25.03</v>
      </c>
      <c r="J612" t="str">
        <v>2022/11</v>
      </c>
      <c r="K612" t="str">
        <f t="array" ref="K612:T612">[1]!'3296.TW-OperatingProfitRatio,Price,PriceChangeRatio,InOutRatioNumber,Value,YearReturn,MonthReturn,WeekReturn,FinanceBalanceDif,ChipsField2'</f>
        <v>-5.49</v>
      </c>
      <c r="L612">
        <v>16</v>
      </c>
      <c r="M612">
        <v>1.27</v>
      </c>
      <c r="N612" t="str">
        <v>58.33%</v>
      </c>
      <c r="O612" t="str">
        <v>288萬</v>
      </c>
      <c r="P612" t="str">
        <v>-12.81</v>
      </c>
      <c r="Q612" t="str">
        <v>-7.51</v>
      </c>
      <c r="R612" t="str">
        <v>-1.23</v>
      </c>
      <c r="S612">
        <v>-19</v>
      </c>
      <c r="T612">
        <v>0</v>
      </c>
      <c r="U612">
        <f t="array" ref="U612:AD612">[1]!'3296.TW-ChipsField3,ChipsField1,ChipsField25,CashAndStockDividend,CashDividendYieldRate,ProfitFourSeason,ProfitSingle,CName,ExchangeIndustry,CompanyPos'</f>
        <v>0</v>
      </c>
      <c r="V612">
        <v>11</v>
      </c>
      <c r="W612" t="str">
        <v>--</v>
      </c>
      <c r="X612" t="str">
        <v>0.00</v>
      </c>
      <c r="Y612">
        <v>0</v>
      </c>
      <c r="Z612" t="str">
        <v>-1.10</v>
      </c>
      <c r="AA612" t="str">
        <v>0.28</v>
      </c>
      <c r="AB612" t="str">
        <v>勝德</v>
      </c>
      <c r="AC612" t="str">
        <v>上市電子零組件</v>
      </c>
      <c r="AD612" t="str">
        <v>以PC應用為主的電源保護器廠</v>
      </c>
      <c r="AE612" t="str">
        <f t="array" ref="AE612:AH612">[1]!'3296.TW-CName,InvestorConferenceDate,DateofMeetingofShareHolders,TradingDate'</f>
        <v>勝德</v>
      </c>
      <c r="AF612" t="str">
        <v>2022/12/07</v>
      </c>
      <c r="AG612" t="str">
        <v>2022/06/14</v>
      </c>
      <c r="AH612" t="str">
        <v>2022/12/22</v>
      </c>
    </row>
    <row r="613" spans="1:34" x14ac:dyDescent="0.3">
      <c r="A613" t="str">
        <f t="array" ref="A613:J613">[1]!'3308.TW-ID,Name,MarketValue,Capital,NetIncomeGrowthRate,OperIncomeGrowthRate,FinancialStatementsTime,TFXRatio,MonthlyNetSalesYoY,RevenueMonth'</f>
        <v>3308</v>
      </c>
      <c r="B613" t="str">
        <v>聯德</v>
      </c>
      <c r="C613" t="str">
        <v>10.4</v>
      </c>
      <c r="D613" t="str">
        <v>7.07</v>
      </c>
      <c r="E613" t="str">
        <v>64.68</v>
      </c>
      <c r="F613" t="str">
        <v>65.47</v>
      </c>
      <c r="G613" t="str">
        <v>2022/09</v>
      </c>
      <c r="H613" t="str">
        <v>-4.61</v>
      </c>
      <c r="I613" t="str">
        <v>112.22</v>
      </c>
      <c r="J613" t="str">
        <v>2022/11</v>
      </c>
      <c r="K613" t="str">
        <f t="array" ref="K613:T613">[1]!'3308.TW-OperatingProfitRatio,Price,PriceChangeRatio,InOutRatioNumber,Value,YearReturn,MonthReturn,WeekReturn,FinanceBalanceDif,ChipsField2'</f>
        <v>-11.63</v>
      </c>
      <c r="L613">
        <v>14.75</v>
      </c>
      <c r="M613">
        <v>0.68</v>
      </c>
      <c r="N613" t="str">
        <v>42.86%</v>
      </c>
      <c r="O613" t="str">
        <v>20.6萬</v>
      </c>
      <c r="P613" t="str">
        <v>-1.44</v>
      </c>
      <c r="Q613" t="str">
        <v>+8.46</v>
      </c>
      <c r="R613" t="str">
        <v>+2.43</v>
      </c>
      <c r="S613">
        <v>0</v>
      </c>
      <c r="T613">
        <v>0</v>
      </c>
      <c r="U613">
        <f t="array" ref="U613:AD613">[1]!'3308.TW-ChipsField3,ChipsField1,ChipsField25,CashAndStockDividend,CashDividendYieldRate,ProfitFourSeason,ProfitSingle,CName,ExchangeIndustry,CompanyPos'</f>
        <v>0</v>
      </c>
      <c r="V613">
        <v>0</v>
      </c>
      <c r="W613" t="str">
        <v>--</v>
      </c>
      <c r="X613" t="str">
        <v>0.00</v>
      </c>
      <c r="Y613">
        <v>0</v>
      </c>
      <c r="Z613" t="str">
        <v>-0.10</v>
      </c>
      <c r="AA613" t="str">
        <v>0.26</v>
      </c>
      <c r="AB613" t="str">
        <v>聯德</v>
      </c>
      <c r="AC613" t="str">
        <v>上市電子零組件</v>
      </c>
      <c r="AD613" t="str">
        <v>台灣PC電源供應器供應商</v>
      </c>
      <c r="AE613" t="str">
        <f t="array" ref="AE613:AH613">[1]!'3308.TW-CName,InvestorConferenceDate,DateofMeetingofShareHolders,TradingDate'</f>
        <v>聯德</v>
      </c>
      <c r="AF613" t="str">
        <v>2021/12/29</v>
      </c>
      <c r="AG613" t="str">
        <v>2022/06/29</v>
      </c>
      <c r="AH613" t="str">
        <v>2022/12/22</v>
      </c>
    </row>
    <row r="614" spans="1:34" x14ac:dyDescent="0.3">
      <c r="A614" t="str">
        <f t="array" ref="A614:J614">[1]!'3321.TW-ID,Name,MarketValue,Capital,NetIncomeGrowthRate,OperIncomeGrowthRate,FinancialStatementsTime,TFXRatio,MonthlyNetSalesYoY,RevenueMonth'</f>
        <v>3321</v>
      </c>
      <c r="B614" t="str">
        <v>同泰</v>
      </c>
      <c r="C614" t="str">
        <v>13.0</v>
      </c>
      <c r="D614" t="str">
        <v>15.61</v>
      </c>
      <c r="E614" t="str">
        <v>-2.71</v>
      </c>
      <c r="F614" t="str">
        <v>-285.18</v>
      </c>
      <c r="G614" t="str">
        <v>2022/09</v>
      </c>
      <c r="H614" t="str">
        <v>10.51</v>
      </c>
      <c r="I614" t="str">
        <v>-53.92</v>
      </c>
      <c r="J614" t="str">
        <v>2022/11</v>
      </c>
      <c r="K614" t="str">
        <f t="array" ref="K614:T614">[1]!'3321.TW-OperatingProfitRatio,Price,PriceChangeRatio,InOutRatioNumber,Value,YearReturn,MonthReturn,WeekReturn,FinanceBalanceDif,ChipsField2'</f>
        <v>-11.06</v>
      </c>
      <c r="L614">
        <v>8.35</v>
      </c>
      <c r="M614">
        <v>0</v>
      </c>
      <c r="N614" t="str">
        <v>66.18%</v>
      </c>
      <c r="O614" t="str">
        <v>57.9萬</v>
      </c>
      <c r="P614" t="str">
        <v>-39.27</v>
      </c>
      <c r="Q614" t="str">
        <v>-2.91</v>
      </c>
      <c r="R614" t="str">
        <v>-2.00</v>
      </c>
      <c r="S614">
        <v>0</v>
      </c>
      <c r="T614">
        <v>0</v>
      </c>
      <c r="U614">
        <f t="array" ref="U614:AD614">[1]!'3321.TW-ChipsField3,ChipsField1,ChipsField25,CashAndStockDividend,CashDividendYieldRate,ProfitFourSeason,ProfitSingle,CName,ExchangeIndustry,CompanyPos'</f>
        <v>0</v>
      </c>
      <c r="V614">
        <v>0</v>
      </c>
      <c r="W614" t="str">
        <v>--</v>
      </c>
      <c r="X614" t="str">
        <v>0.00</v>
      </c>
      <c r="Y614">
        <v>0</v>
      </c>
      <c r="Z614" t="str">
        <v>-0.56</v>
      </c>
      <c r="AA614" t="str">
        <v>-0.42</v>
      </c>
      <c r="AB614" t="str">
        <v>同泰</v>
      </c>
      <c r="AC614" t="str">
        <v>上市電子零組件</v>
      </c>
      <c r="AD614" t="str">
        <v>欣興、台表科轉投資的軟板公司</v>
      </c>
      <c r="AE614" t="str">
        <f t="array" ref="AE614:AH614">[1]!'3321.TW-CName,InvestorConferenceDate,DateofMeetingofShareHolders,TradingDate'</f>
        <v>同泰</v>
      </c>
      <c r="AF614" t="str">
        <v>2021/12/24</v>
      </c>
      <c r="AG614" t="str">
        <v>2022/06/17</v>
      </c>
      <c r="AH614" t="str">
        <v>2022/12/22</v>
      </c>
    </row>
    <row r="615" spans="1:34" x14ac:dyDescent="0.3">
      <c r="A615" t="str">
        <f t="array" ref="A615:J615">[1]!'3338.TW-ID,Name,MarketValue,Capital,NetIncomeGrowthRate,OperIncomeGrowthRate,FinancialStatementsTime,TFXRatio,MonthlyNetSalesYoY,RevenueMonth'</f>
        <v>3338</v>
      </c>
      <c r="B615" t="str">
        <v>泰碩</v>
      </c>
      <c r="C615" t="str">
        <v>27.9</v>
      </c>
      <c r="D615" t="str">
        <v>8.79</v>
      </c>
      <c r="E615" t="str">
        <v>92.09</v>
      </c>
      <c r="F615" t="str">
        <v>6.59</v>
      </c>
      <c r="G615" t="str">
        <v>2022/09</v>
      </c>
      <c r="H615" t="str">
        <v>-3.45</v>
      </c>
      <c r="I615" t="str">
        <v>-32.35</v>
      </c>
      <c r="J615" t="str">
        <v>2022/11</v>
      </c>
      <c r="K615" t="str">
        <f t="array" ref="K615:T615">[1]!'3338.TW-OperatingProfitRatio,Price,PriceChangeRatio,InOutRatioNumber,Value,YearReturn,MonthReturn,WeekReturn,FinanceBalanceDif,ChipsField2'</f>
        <v>5.25</v>
      </c>
      <c r="L615">
        <v>31.7</v>
      </c>
      <c r="M615">
        <v>0.63</v>
      </c>
      <c r="N615" t="str">
        <v>22.89%</v>
      </c>
      <c r="O615" t="str">
        <v>270萬</v>
      </c>
      <c r="P615" t="str">
        <v>-37.22</v>
      </c>
      <c r="Q615" t="str">
        <v>-5.93</v>
      </c>
      <c r="R615" t="str">
        <v>-7.17</v>
      </c>
      <c r="S615">
        <v>-24</v>
      </c>
      <c r="T615">
        <v>0</v>
      </c>
      <c r="U615">
        <f t="array" ref="U615:AD615">[1]!'3338.TW-ChipsField3,ChipsField1,ChipsField25,CashAndStockDividend,CashDividendYieldRate,ProfitFourSeason,ProfitSingle,CName,ExchangeIndustry,CompanyPos'</f>
        <v>-3</v>
      </c>
      <c r="V615">
        <v>27</v>
      </c>
      <c r="W615" t="str">
        <v>2022/06/20</v>
      </c>
      <c r="X615" t="str">
        <v>1.50</v>
      </c>
      <c r="Y615">
        <v>4.7300000000000004</v>
      </c>
      <c r="Z615" t="str">
        <v>3.34</v>
      </c>
      <c r="AA615" t="str">
        <v>0.91</v>
      </c>
      <c r="AB615" t="str">
        <v>泰碩</v>
      </c>
      <c r="AC615" t="str">
        <v>上市電子零組件</v>
      </c>
      <c r="AD615" t="str">
        <v>台灣生產散熱器及PC用連接器廠</v>
      </c>
      <c r="AE615" t="str">
        <f t="array" ref="AE615:AH615">[1]!'3338.TW-CName,InvestorConferenceDate,DateofMeetingofShareHolders,TradingDate'</f>
        <v>泰碩</v>
      </c>
      <c r="AF615" t="str">
        <v>2022/12/16</v>
      </c>
      <c r="AG615" t="str">
        <v>2022/05/20</v>
      </c>
      <c r="AH615" t="str">
        <v>2022/12/22</v>
      </c>
    </row>
    <row r="616" spans="1:34" x14ac:dyDescent="0.3">
      <c r="A616" t="str">
        <f t="array" ref="A616:J616">[1]!'3376.TW-ID,Name,MarketValue,Capital,NetIncomeGrowthRate,OperIncomeGrowthRate,FinancialStatementsTime,TFXRatio,MonthlyNetSalesYoY,RevenueMonth'</f>
        <v>3376</v>
      </c>
      <c r="B616" t="str">
        <v>新日興</v>
      </c>
      <c r="C616" t="str">
        <v>155.7</v>
      </c>
      <c r="D616" t="str">
        <v>18.77</v>
      </c>
      <c r="E616" t="str">
        <v>73.67</v>
      </c>
      <c r="F616" t="str">
        <v>7.18</v>
      </c>
      <c r="G616" t="str">
        <v>2022/09</v>
      </c>
      <c r="H616" t="str">
        <v>-4.64</v>
      </c>
      <c r="I616" t="str">
        <v>-29.81</v>
      </c>
      <c r="J616" t="str">
        <v>2022/11</v>
      </c>
      <c r="K616" t="str">
        <f t="array" ref="K616:T616">[1]!'3376.TW-OperatingProfitRatio,Price,PriceChangeRatio,InOutRatioNumber,Value,YearReturn,MonthReturn,WeekReturn,FinanceBalanceDif,ChipsField2'</f>
        <v>13.29</v>
      </c>
      <c r="L616">
        <v>80.900000000000006</v>
      </c>
      <c r="M616">
        <v>0.5</v>
      </c>
      <c r="N616" t="str">
        <v>61.05%</v>
      </c>
      <c r="O616" t="str">
        <v>795萬</v>
      </c>
      <c r="P616" t="str">
        <v>-5.69</v>
      </c>
      <c r="Q616" t="str">
        <v>-2.41</v>
      </c>
      <c r="R616" t="str">
        <v>-4.26</v>
      </c>
      <c r="S616">
        <v>-12</v>
      </c>
      <c r="T616">
        <v>0</v>
      </c>
      <c r="U616">
        <f t="array" ref="U616:AD616">[1]!'3376.TW-ChipsField3,ChipsField1,ChipsField25,CashAndStockDividend,CashDividendYieldRate,ProfitFourSeason,ProfitSingle,CName,ExchangeIndustry,CompanyPos'</f>
        <v>-17</v>
      </c>
      <c r="V616">
        <v>19</v>
      </c>
      <c r="W616" t="str">
        <v>2022/07/14</v>
      </c>
      <c r="X616" t="str">
        <v>5.00</v>
      </c>
      <c r="Y616">
        <v>6.18</v>
      </c>
      <c r="Z616" t="str">
        <v>9.40</v>
      </c>
      <c r="AA616" t="str">
        <v>3.91</v>
      </c>
      <c r="AB616" t="str">
        <v>新日興</v>
      </c>
      <c r="AC616" t="str">
        <v>上市電子零組件</v>
      </c>
      <c r="AD616" t="str">
        <v>全球第一大NB樞紐供應商</v>
      </c>
      <c r="AE616" t="str">
        <f t="array" ref="AE616:AH616">[1]!'3376.TW-CName,InvestorConferenceDate,DateofMeetingofShareHolders,TradingDate'</f>
        <v>新日興</v>
      </c>
      <c r="AF616" t="str">
        <v>2022/08/11</v>
      </c>
      <c r="AG616" t="str">
        <v>2022/06/16</v>
      </c>
      <c r="AH616" t="str">
        <v>2022/12/22</v>
      </c>
    </row>
    <row r="617" spans="1:34" x14ac:dyDescent="0.3">
      <c r="A617" t="str">
        <f t="array" ref="A617:J617">[1]!'3432.TW-ID,Name,MarketValue,Capital,NetIncomeGrowthRate,OperIncomeGrowthRate,FinancialStatementsTime,TFXRatio,MonthlyNetSalesYoY,RevenueMonth'</f>
        <v>3432</v>
      </c>
      <c r="B617" t="str">
        <v>台端</v>
      </c>
      <c r="C617" t="str">
        <v>12.5</v>
      </c>
      <c r="D617" t="str">
        <v>6.66</v>
      </c>
      <c r="E617" t="str">
        <v>251.02</v>
      </c>
      <c r="F617" t="str">
        <v>-62.17</v>
      </c>
      <c r="G617" t="str">
        <v>2022/09</v>
      </c>
      <c r="H617" t="str">
        <v>2.53</v>
      </c>
      <c r="I617" t="str">
        <v>-52.70</v>
      </c>
      <c r="J617" t="str">
        <v>2022/11</v>
      </c>
      <c r="K617" t="str">
        <f t="array" ref="K617:T617">[1]!'3432.TW-OperatingProfitRatio,Price,PriceChangeRatio,InOutRatioNumber,Value,YearReturn,MonthReturn,WeekReturn,FinanceBalanceDif,ChipsField2'</f>
        <v>-168.45</v>
      </c>
      <c r="L617">
        <v>18.8</v>
      </c>
      <c r="M617">
        <v>0.27</v>
      </c>
      <c r="N617" t="str">
        <v>29.75%</v>
      </c>
      <c r="O617" t="str">
        <v>310萬</v>
      </c>
      <c r="P617" t="str">
        <v>+30.53</v>
      </c>
      <c r="Q617" t="str">
        <v>-17.90</v>
      </c>
      <c r="R617" t="str">
        <v>-8.07</v>
      </c>
      <c r="S617">
        <v>21</v>
      </c>
      <c r="T617">
        <v>0</v>
      </c>
      <c r="U617">
        <f t="array" ref="U617:AD617">[1]!'3432.TW-ChipsField3,ChipsField1,ChipsField25,CashAndStockDividend,CashDividendYieldRate,ProfitFourSeason,ProfitSingle,CName,ExchangeIndustry,CompanyPos'</f>
        <v>5</v>
      </c>
      <c r="V617">
        <v>-27</v>
      </c>
      <c r="W617" t="str">
        <v>2022/07/29</v>
      </c>
      <c r="X617" t="str">
        <v>0.50</v>
      </c>
      <c r="Y617">
        <v>2.66</v>
      </c>
      <c r="Z617" t="str">
        <v>2.49</v>
      </c>
      <c r="AA617" t="str">
        <v>1.11</v>
      </c>
      <c r="AB617" t="str">
        <v>台端</v>
      </c>
      <c r="AC617" t="str">
        <v>上市電子零組件</v>
      </c>
      <c r="AD617" t="str">
        <v>國內連接器製造商</v>
      </c>
      <c r="AE617" t="str">
        <f t="array" ref="AE617:AH617">[1]!'3432.TW-CName,InvestorConferenceDate,DateofMeetingofShareHolders,TradingDate'</f>
        <v>台端</v>
      </c>
      <c r="AF617" t="str">
        <v>2021/12/29</v>
      </c>
      <c r="AG617" t="str">
        <v>2022/06/27</v>
      </c>
      <c r="AH617" t="str">
        <v>2022/12/22</v>
      </c>
    </row>
    <row r="618" spans="1:34" x14ac:dyDescent="0.3">
      <c r="A618" t="str">
        <f t="array" ref="A618:J618">[1]!'3501.TW-ID,Name,MarketValue,Capital,NetIncomeGrowthRate,OperIncomeGrowthRate,FinancialStatementsTime,TFXRatio,MonthlyNetSalesYoY,RevenueMonth'</f>
        <v>3501</v>
      </c>
      <c r="B618" t="str">
        <v>維熹</v>
      </c>
      <c r="C618" t="str">
        <v>59.4</v>
      </c>
      <c r="D618" t="str">
        <v>11.83</v>
      </c>
      <c r="E618" t="str">
        <v>111.66</v>
      </c>
      <c r="F618" t="str">
        <v>47.71</v>
      </c>
      <c r="G618" t="str">
        <v>2022/09</v>
      </c>
      <c r="H618" t="str">
        <v>-0.92</v>
      </c>
      <c r="I618" t="str">
        <v>1.50</v>
      </c>
      <c r="J618" t="str">
        <v>2022/11</v>
      </c>
      <c r="K618" t="str">
        <f t="array" ref="K618:T618">[1]!'3501.TW-OperatingProfitRatio,Price,PriceChangeRatio,InOutRatioNumber,Value,YearReturn,MonthReturn,WeekReturn,FinanceBalanceDif,ChipsField2'</f>
        <v>11.21</v>
      </c>
      <c r="L618">
        <v>50.2</v>
      </c>
      <c r="M618">
        <v>0.5</v>
      </c>
      <c r="N618" t="str">
        <v>42.57%</v>
      </c>
      <c r="O618" t="str">
        <v>521萬</v>
      </c>
      <c r="P618" t="str">
        <v>+9.92</v>
      </c>
      <c r="Q618" t="str">
        <v>+2.66</v>
      </c>
      <c r="R618" t="str">
        <v>-3.46</v>
      </c>
      <c r="S618">
        <v>0</v>
      </c>
      <c r="T618">
        <v>0</v>
      </c>
      <c r="U618">
        <f t="array" ref="U618:AD618">[1]!'3501.TW-ChipsField3,ChipsField1,ChipsField25,CashAndStockDividend,CashDividendYieldRate,ProfitFourSeason,ProfitSingle,CName,ExchangeIndustry,CompanyPos'</f>
        <v>-4</v>
      </c>
      <c r="V618">
        <v>23</v>
      </c>
      <c r="W618" t="str">
        <v>2022/08/01</v>
      </c>
      <c r="X618" t="str">
        <v>2.00</v>
      </c>
      <c r="Y618">
        <v>3.98</v>
      </c>
      <c r="Z618" t="str">
        <v>5.73</v>
      </c>
      <c r="AA618" t="str">
        <v>2.82</v>
      </c>
      <c r="AB618" t="str">
        <v>維熹</v>
      </c>
      <c r="AC618" t="str">
        <v>上市電子零組件</v>
      </c>
      <c r="AD618" t="str">
        <v>正崴集團之連接線廠</v>
      </c>
      <c r="AE618" t="str">
        <f t="array" ref="AE618:AH618">[1]!'3501.TW-CName,InvestorConferenceDate,DateofMeetingofShareHolders,TradingDate'</f>
        <v>維熹</v>
      </c>
      <c r="AF618" t="str">
        <v>2022/12/06</v>
      </c>
      <c r="AG618" t="str">
        <v>2022/06/24</v>
      </c>
      <c r="AH618" t="str">
        <v>2022/12/22</v>
      </c>
    </row>
    <row r="619" spans="1:34" x14ac:dyDescent="0.3">
      <c r="A619" t="str">
        <f t="array" ref="A619:J619">[1]!'3533.TW-ID,Name,MarketValue,Capital,NetIncomeGrowthRate,OperIncomeGrowthRate,FinancialStatementsTime,TFXRatio,MonthlyNetSalesYoY,RevenueMonth'</f>
        <v>3533</v>
      </c>
      <c r="B619" t="str">
        <v>嘉澤</v>
      </c>
      <c r="C619" t="str">
        <v>879.6</v>
      </c>
      <c r="D619" t="str">
        <v>10.70</v>
      </c>
      <c r="E619" t="str">
        <v>97.86</v>
      </c>
      <c r="F619" t="str">
        <v>65.51</v>
      </c>
      <c r="G619" t="str">
        <v>2022/09</v>
      </c>
      <c r="H619" t="str">
        <v>1.47</v>
      </c>
      <c r="I619" t="str">
        <v>17.57</v>
      </c>
      <c r="J619" t="str">
        <v>2022/11</v>
      </c>
      <c r="K619" t="str">
        <f t="array" ref="K619:T619">[1]!'3533.TW-OperatingProfitRatio,Price,PriceChangeRatio,InOutRatioNumber,Value,YearReturn,MonthReturn,WeekReturn,FinanceBalanceDif,ChipsField2'</f>
        <v>25.36</v>
      </c>
      <c r="L619">
        <v>826</v>
      </c>
      <c r="M619">
        <v>2.35</v>
      </c>
      <c r="N619" t="str">
        <v>42.69%</v>
      </c>
      <c r="O619" t="str">
        <v>4.94億</v>
      </c>
      <c r="P619" t="str">
        <v>+18.92</v>
      </c>
      <c r="Q619" t="str">
        <v>-5.06</v>
      </c>
      <c r="R619" t="str">
        <v>-9.53</v>
      </c>
      <c r="S619">
        <v>19</v>
      </c>
      <c r="T619">
        <v>-137</v>
      </c>
      <c r="U619">
        <f t="array" ref="U619:AD619">[1]!'3533.TW-ChipsField3,ChipsField1,ChipsField25,CashAndStockDividend,CashDividendYieldRate,ProfitFourSeason,ProfitSingle,CName,ExchangeIndustry,CompanyPos'</f>
        <v>-17</v>
      </c>
      <c r="V619">
        <v>109</v>
      </c>
      <c r="W619" t="str">
        <v>2022/08/03</v>
      </c>
      <c r="X619" t="str">
        <v>15.92</v>
      </c>
      <c r="Y619">
        <v>1.93</v>
      </c>
      <c r="Z619" t="str">
        <v>54.89</v>
      </c>
      <c r="AA619" t="str">
        <v>17.91</v>
      </c>
      <c r="AB619" t="str">
        <v>嘉澤</v>
      </c>
      <c r="AC619" t="str">
        <v>上市電子零組件</v>
      </c>
      <c r="AD619" t="str">
        <v>全球前三大CPU Socket製造商</v>
      </c>
      <c r="AE619" t="str">
        <f t="array" ref="AE619:AH619">[1]!'3533.TW-CName,InvestorConferenceDate,DateofMeetingofShareHolders,TradingDate'</f>
        <v>嘉澤</v>
      </c>
      <c r="AF619" t="str">
        <v>2021/04/07</v>
      </c>
      <c r="AG619" t="str">
        <v>2022/06/17</v>
      </c>
      <c r="AH619" t="str">
        <v>2022/12/22</v>
      </c>
    </row>
    <row r="620" spans="1:34" x14ac:dyDescent="0.3">
      <c r="A620" t="str">
        <f t="array" ref="A620:J620">[1]!'3550.TW-ID,Name,MarketValue,Capital,NetIncomeGrowthRate,OperIncomeGrowthRate,FinancialStatementsTime,TFXRatio,MonthlyNetSalesYoY,RevenueMonth'</f>
        <v>3550</v>
      </c>
      <c r="B620" t="str">
        <v>聯穎</v>
      </c>
      <c r="C620" t="str">
        <v>12.2</v>
      </c>
      <c r="D620" t="str">
        <v>8.76</v>
      </c>
      <c r="E620" t="str">
        <v>-121.35</v>
      </c>
      <c r="F620" t="str">
        <v>-139.22</v>
      </c>
      <c r="G620" t="str">
        <v>2022/09</v>
      </c>
      <c r="H620" t="str">
        <v>24.54</v>
      </c>
      <c r="I620" t="str">
        <v>-9.43</v>
      </c>
      <c r="J620" t="str">
        <v>2022/11</v>
      </c>
      <c r="K620" t="str">
        <f t="array" ref="K620:T620">[1]!'3550.TW-OperatingProfitRatio,Price,PriceChangeRatio,InOutRatioNumber,Value,YearReturn,MonthReturn,WeekReturn,FinanceBalanceDif,ChipsField2'</f>
        <v>-1.49</v>
      </c>
      <c r="L620">
        <v>13.9</v>
      </c>
      <c r="M620">
        <v>0.72</v>
      </c>
      <c r="N620" t="str">
        <v>50.00%</v>
      </c>
      <c r="O620" t="str">
        <v>103萬</v>
      </c>
      <c r="P620" t="str">
        <v>-19.01</v>
      </c>
      <c r="Q620" t="str">
        <v>+4.91</v>
      </c>
      <c r="R620" t="str">
        <v>-1.07</v>
      </c>
      <c r="S620">
        <v>12</v>
      </c>
      <c r="T620">
        <v>0</v>
      </c>
      <c r="U620">
        <f t="array" ref="U620:AD620">[1]!'3550.TW-ChipsField3,ChipsField1,ChipsField25,CashAndStockDividend,CashDividendYieldRate,ProfitFourSeason,ProfitSingle,CName,ExchangeIndustry,CompanyPos'</f>
        <v>-3</v>
      </c>
      <c r="V620">
        <v>1</v>
      </c>
      <c r="W620" t="str">
        <v>2022/07/19</v>
      </c>
      <c r="X620" t="str">
        <v>0.60</v>
      </c>
      <c r="Y620">
        <v>4.32</v>
      </c>
      <c r="Z620" t="str">
        <v>-0.19</v>
      </c>
      <c r="AA620" t="str">
        <v>-0.25</v>
      </c>
      <c r="AB620" t="str">
        <v>聯穎</v>
      </c>
      <c r="AC620" t="str">
        <v>上市電子零組件</v>
      </c>
      <c r="AD620" t="str">
        <v>3C影音傳輸線材專業供應商</v>
      </c>
      <c r="AE620" t="str">
        <f t="array" ref="AE620:AH620">[1]!'3550.TW-CName,InvestorConferenceDate,DateofMeetingofShareHolders,TradingDate'</f>
        <v>聯穎</v>
      </c>
      <c r="AF620" t="str">
        <v>2022/10/20</v>
      </c>
      <c r="AG620" t="str">
        <v>2022/06/29</v>
      </c>
      <c r="AH620" t="str">
        <v>2022/12/22</v>
      </c>
    </row>
    <row r="621" spans="1:34" x14ac:dyDescent="0.3">
      <c r="A621" t="str">
        <f t="array" ref="A621:J621">[1]!'3593.TW-ID,Name,MarketValue,Capital,NetIncomeGrowthRate,OperIncomeGrowthRate,FinancialStatementsTime,TFXRatio,MonthlyNetSalesYoY,RevenueMonth'</f>
        <v>3593</v>
      </c>
      <c r="B621" t="str">
        <v>力銘</v>
      </c>
      <c r="C621" t="str">
        <v>8.4</v>
      </c>
      <c r="D621" t="str">
        <v>9.30</v>
      </c>
      <c r="E621" t="str">
        <v>-95.58</v>
      </c>
      <c r="F621" t="str">
        <v>-233.31</v>
      </c>
      <c r="G621" t="str">
        <v>2022/09</v>
      </c>
      <c r="H621" t="str">
        <v>4.31</v>
      </c>
      <c r="I621" t="str">
        <v>-4.69</v>
      </c>
      <c r="J621" t="str">
        <v>2022/11</v>
      </c>
      <c r="K621" t="str">
        <f t="array" ref="K621:T621">[1]!'3593.TW-OperatingProfitRatio,Price,PriceChangeRatio,InOutRatioNumber,Value,YearReturn,MonthReturn,WeekReturn,FinanceBalanceDif,ChipsField2'</f>
        <v>-10.61</v>
      </c>
      <c r="L621">
        <v>13.3</v>
      </c>
      <c r="M621">
        <v>0</v>
      </c>
      <c r="N621" t="str">
        <v>90.91%</v>
      </c>
      <c r="O621" t="str">
        <v>14.6萬</v>
      </c>
      <c r="P621" t="str">
        <v>-15.02</v>
      </c>
      <c r="Q621" t="str">
        <v>-6.67</v>
      </c>
      <c r="R621" t="str">
        <v>-2.92</v>
      </c>
      <c r="S621">
        <v>0</v>
      </c>
      <c r="T621">
        <v>0</v>
      </c>
      <c r="U621">
        <f t="array" ref="U621:AD621">[1]!'3593.TW-ChipsField3,ChipsField1,ChipsField25,CashAndStockDividend,CashDividendYieldRate,ProfitFourSeason,ProfitSingle,CName,ExchangeIndustry,CompanyPos'</f>
        <v>0</v>
      </c>
      <c r="V621">
        <v>-1</v>
      </c>
      <c r="W621" t="str">
        <v>--</v>
      </c>
      <c r="X621" t="str">
        <v>0.00</v>
      </c>
      <c r="Y621">
        <v>0</v>
      </c>
      <c r="Z621" t="str">
        <v>-0.85</v>
      </c>
      <c r="AA621" t="str">
        <v>-0.06</v>
      </c>
      <c r="AB621" t="str">
        <v>力銘</v>
      </c>
      <c r="AC621" t="str">
        <v>上市電子零組件</v>
      </c>
      <c r="AD621" t="str">
        <v>轉型主攻塑膠射出成型零組件領域</v>
      </c>
      <c r="AE621" t="str">
        <f t="array" ref="AE621:AH621">[1]!'3593.TW-CName,InvestorConferenceDate,DateofMeetingofShareHolders,TradingDate'</f>
        <v>力銘</v>
      </c>
      <c r="AF621" t="str">
        <v>2022/11/07</v>
      </c>
      <c r="AG621" t="str">
        <v>2022/06/16</v>
      </c>
      <c r="AH621" t="str">
        <v>2022/12/22</v>
      </c>
    </row>
    <row r="622" spans="1:34" x14ac:dyDescent="0.3">
      <c r="A622" t="str">
        <f t="array" ref="A622:J622">[1]!'3605.TW-ID,Name,MarketValue,Capital,NetIncomeGrowthRate,OperIncomeGrowthRate,FinancialStatementsTime,TFXRatio,MonthlyNetSalesYoY,RevenueMonth'</f>
        <v>3605</v>
      </c>
      <c r="B622" t="str">
        <v>宏致</v>
      </c>
      <c r="C622" t="str">
        <v>43.5</v>
      </c>
      <c r="D622" t="str">
        <v>13.44</v>
      </c>
      <c r="E622" t="str">
        <v>-15.30</v>
      </c>
      <c r="F622" t="str">
        <v>-71.36</v>
      </c>
      <c r="G622" t="str">
        <v>2022/09</v>
      </c>
      <c r="H622" t="str">
        <v>1.37</v>
      </c>
      <c r="I622" t="str">
        <v>-21.84</v>
      </c>
      <c r="J622" t="str">
        <v>2022/11</v>
      </c>
      <c r="K622" t="str">
        <f t="array" ref="K622:T622">[1]!'3605.TW-OperatingProfitRatio,Price,PriceChangeRatio,InOutRatioNumber,Value,YearReturn,MonthReturn,WeekReturn,FinanceBalanceDif,ChipsField2'</f>
        <v>1.67</v>
      </c>
      <c r="L622">
        <v>32.4</v>
      </c>
      <c r="M622">
        <v>0.31</v>
      </c>
      <c r="N622" t="str">
        <v>57.14%</v>
      </c>
      <c r="O622" t="str">
        <v>465萬</v>
      </c>
      <c r="P622" t="str">
        <v>-29.16</v>
      </c>
      <c r="Q622" t="str">
        <v>+5.19</v>
      </c>
      <c r="R622" t="str">
        <v>-3.28</v>
      </c>
      <c r="S622">
        <v>1</v>
      </c>
      <c r="T622">
        <v>0</v>
      </c>
      <c r="U622">
        <f t="array" ref="U622:AD622">[1]!'3605.TW-ChipsField3,ChipsField1,ChipsField25,CashAndStockDividend,CashDividendYieldRate,ProfitFourSeason,ProfitSingle,CName,ExchangeIndustry,CompanyPos'</f>
        <v>-7</v>
      </c>
      <c r="V622">
        <v>58</v>
      </c>
      <c r="W622" t="str">
        <v>2022/08/16</v>
      </c>
      <c r="X622" t="str">
        <v>1.50</v>
      </c>
      <c r="Y622">
        <v>4.63</v>
      </c>
      <c r="Z622" t="str">
        <v>3.35</v>
      </c>
      <c r="AA622" t="str">
        <v>0.80</v>
      </c>
      <c r="AB622" t="str">
        <v>宏致</v>
      </c>
      <c r="AC622" t="str">
        <v>上市電子零組件</v>
      </c>
      <c r="AD622" t="str">
        <v>國內連接器製造</v>
      </c>
      <c r="AE622" t="str">
        <f t="array" ref="AE622:AH622">[1]!'3605.TW-CName,InvestorConferenceDate,DateofMeetingofShareHolders,TradingDate'</f>
        <v>宏致</v>
      </c>
      <c r="AF622" t="str">
        <v>--</v>
      </c>
      <c r="AG622" t="str">
        <v>2022/06/29</v>
      </c>
      <c r="AH622" t="str">
        <v>2022/12/22</v>
      </c>
    </row>
    <row r="623" spans="1:34" x14ac:dyDescent="0.3">
      <c r="A623" t="str">
        <f t="array" ref="A623:J623">[1]!'3607.TW-ID,Name,MarketValue,Capital,NetIncomeGrowthRate,OperIncomeGrowthRate,FinancialStatementsTime,TFXRatio,MonthlyNetSalesYoY,RevenueMonth'</f>
        <v>3607</v>
      </c>
      <c r="B623" t="str">
        <v>谷崧</v>
      </c>
      <c r="C623" t="str">
        <v>14.5</v>
      </c>
      <c r="D623" t="str">
        <v>12.17</v>
      </c>
      <c r="E623" t="str">
        <v>-13.40</v>
      </c>
      <c r="F623" t="str">
        <v>9.74</v>
      </c>
      <c r="G623" t="str">
        <v>2022/09</v>
      </c>
      <c r="H623" t="str">
        <v>-8.37</v>
      </c>
      <c r="I623" t="str">
        <v>-43.28</v>
      </c>
      <c r="J623" t="str">
        <v>2022/11</v>
      </c>
      <c r="K623" t="str">
        <f t="array" ref="K623:T623">[1]!'3607.TW-OperatingProfitRatio,Price,PriceChangeRatio,InOutRatioNumber,Value,YearReturn,MonthReturn,WeekReturn,FinanceBalanceDif,ChipsField2'</f>
        <v>-15.76</v>
      </c>
      <c r="L623">
        <v>11.95</v>
      </c>
      <c r="M623">
        <v>0.42</v>
      </c>
      <c r="N623" t="str">
        <v>31.03%</v>
      </c>
      <c r="O623" t="str">
        <v>69.3萬</v>
      </c>
      <c r="P623" t="str">
        <v>-33.89</v>
      </c>
      <c r="Q623" t="str">
        <v>-0.42</v>
      </c>
      <c r="R623" t="str">
        <v>-3.63</v>
      </c>
      <c r="S623">
        <v>-16</v>
      </c>
      <c r="T623">
        <v>0</v>
      </c>
      <c r="U623">
        <f t="array" ref="U623:AD623">[1]!'3607.TW-ChipsField3,ChipsField1,ChipsField25,CashAndStockDividend,CashDividendYieldRate,ProfitFourSeason,ProfitSingle,CName,ExchangeIndustry,CompanyPos'</f>
        <v>0</v>
      </c>
      <c r="V623">
        <v>-18</v>
      </c>
      <c r="W623" t="str">
        <v>2022/07/13</v>
      </c>
      <c r="X623" t="str">
        <v>1.00</v>
      </c>
      <c r="Y623">
        <v>8.3699999999999992</v>
      </c>
      <c r="Z623" t="str">
        <v>-2.66</v>
      </c>
      <c r="AA623" t="str">
        <v>-0.35</v>
      </c>
      <c r="AB623" t="str">
        <v>谷崧</v>
      </c>
      <c r="AC623" t="str">
        <v>上市電子零組件</v>
      </c>
      <c r="AD623" t="str">
        <v>專營3C塑膠零組件、模具等表面處理廠</v>
      </c>
      <c r="AE623" t="str">
        <f t="array" ref="AE623:AH623">[1]!'3607.TW-CName,InvestorConferenceDate,DateofMeetingofShareHolders,TradingDate'</f>
        <v>谷崧</v>
      </c>
      <c r="AF623" t="str">
        <v>2022/11/29</v>
      </c>
      <c r="AG623" t="str">
        <v>2022/06/14</v>
      </c>
      <c r="AH623" t="str">
        <v>2022/12/22</v>
      </c>
    </row>
    <row r="624" spans="1:34" x14ac:dyDescent="0.3">
      <c r="A624" t="str">
        <f t="array" ref="A624:J624">[1]!'3645.TW-ID,Name,MarketValue,Capital,NetIncomeGrowthRate,OperIncomeGrowthRate,FinancialStatementsTime,TFXRatio,MonthlyNetSalesYoY,RevenueMonth'</f>
        <v>3645</v>
      </c>
      <c r="B624" t="str">
        <v>達邁</v>
      </c>
      <c r="C624" t="str">
        <v>43.4</v>
      </c>
      <c r="D624" t="str">
        <v>13.18</v>
      </c>
      <c r="E624" t="str">
        <v>-26.69</v>
      </c>
      <c r="F624" t="str">
        <v>-40.31</v>
      </c>
      <c r="G624" t="str">
        <v>2022/09</v>
      </c>
      <c r="H624" t="str">
        <v>-18.98</v>
      </c>
      <c r="I624" t="str">
        <v>-39.27</v>
      </c>
      <c r="J624" t="str">
        <v>2022/11</v>
      </c>
      <c r="K624" t="str">
        <f t="array" ref="K624:T624">[1]!'3645.TW-OperatingProfitRatio,Price,PriceChangeRatio,InOutRatioNumber,Value,YearReturn,MonthReturn,WeekReturn,FinanceBalanceDif,ChipsField2'</f>
        <v>11.87</v>
      </c>
      <c r="L624">
        <v>32.950000000000003</v>
      </c>
      <c r="M624">
        <v>0.46</v>
      </c>
      <c r="N624" t="str">
        <v>46.58%</v>
      </c>
      <c r="O624" t="str">
        <v>548萬</v>
      </c>
      <c r="P624" t="str">
        <v>-18.89</v>
      </c>
      <c r="Q624" t="str">
        <v>+6.46</v>
      </c>
      <c r="R624" t="str">
        <v>-3.51</v>
      </c>
      <c r="S624">
        <v>3</v>
      </c>
      <c r="T624">
        <v>0</v>
      </c>
      <c r="U624">
        <f t="array" ref="U624:AD624">[1]!'3645.TW-ChipsField3,ChipsField1,ChipsField25,CashAndStockDividend,CashDividendYieldRate,ProfitFourSeason,ProfitSingle,CName,ExchangeIndustry,CompanyPos'</f>
        <v>-6</v>
      </c>
      <c r="V624">
        <v>1</v>
      </c>
      <c r="W624" t="str">
        <v>2022/07/22</v>
      </c>
      <c r="X624" t="str">
        <v>1.19</v>
      </c>
      <c r="Y624">
        <v>3.61</v>
      </c>
      <c r="Z624" t="str">
        <v>1.84</v>
      </c>
      <c r="AA624" t="str">
        <v>-0.45</v>
      </c>
      <c r="AB624" t="str">
        <v>達邁</v>
      </c>
      <c r="AC624" t="str">
        <v>上市電子零組件</v>
      </c>
      <c r="AD624" t="str">
        <v>全球第四大聚醯亞胺薄膜生產廠商</v>
      </c>
      <c r="AE624" t="str">
        <f t="array" ref="AE624:AH624">[1]!'3645.TW-CName,InvestorConferenceDate,DateofMeetingofShareHolders,TradingDate'</f>
        <v>達邁</v>
      </c>
      <c r="AF624" t="str">
        <v>2022/11/09</v>
      </c>
      <c r="AG624" t="str">
        <v>2022/06/24</v>
      </c>
      <c r="AH624" t="str">
        <v>2022/12/22</v>
      </c>
    </row>
    <row r="625" spans="1:34" x14ac:dyDescent="0.3">
      <c r="A625" t="str">
        <f t="array" ref="A625:J625">[1]!'3653.TW-ID,Name,MarketValue,Capital,NetIncomeGrowthRate,OperIncomeGrowthRate,FinancialStatementsTime,TFXRatio,MonthlyNetSalesYoY,RevenueMonth'</f>
        <v>3653</v>
      </c>
      <c r="B625" t="str">
        <v>健策</v>
      </c>
      <c r="C625" t="str">
        <v>500.9</v>
      </c>
      <c r="D625" t="str">
        <v>13.61</v>
      </c>
      <c r="E625" t="str">
        <v>119.69</v>
      </c>
      <c r="F625" t="str">
        <v>64.45</v>
      </c>
      <c r="G625" t="str">
        <v>2022/09</v>
      </c>
      <c r="H625" t="str">
        <v>8.66</v>
      </c>
      <c r="I625" t="str">
        <v>46.80</v>
      </c>
      <c r="J625" t="str">
        <v>2022/11</v>
      </c>
      <c r="K625" t="str">
        <f t="array" ref="K625:T625">[1]!'3653.TW-OperatingProfitRatio,Price,PriceChangeRatio,InOutRatioNumber,Value,YearReturn,MonthReturn,WeekReturn,FinanceBalanceDif,ChipsField2'</f>
        <v>23.44</v>
      </c>
      <c r="L625">
        <v>372.5</v>
      </c>
      <c r="M625">
        <v>-1.06</v>
      </c>
      <c r="N625" t="str">
        <v>36.22%</v>
      </c>
      <c r="O625" t="str">
        <v>5.02億</v>
      </c>
      <c r="P625" t="str">
        <v>+1.65</v>
      </c>
      <c r="Q625" t="str">
        <v>-2.74</v>
      </c>
      <c r="R625" t="str">
        <v>-6.05</v>
      </c>
      <c r="S625">
        <v>37</v>
      </c>
      <c r="T625">
        <v>51</v>
      </c>
      <c r="U625">
        <f t="array" ref="U625:AD625">[1]!'3653.TW-ChipsField3,ChipsField1,ChipsField25,CashAndStockDividend,CashDividendYieldRate,ProfitFourSeason,ProfitSingle,CName,ExchangeIndustry,CompanyPos'</f>
        <v>41</v>
      </c>
      <c r="V625">
        <v>-82</v>
      </c>
      <c r="W625" t="str">
        <v>2022/07/14</v>
      </c>
      <c r="X625" t="str">
        <v>7.00</v>
      </c>
      <c r="Y625">
        <v>1.88</v>
      </c>
      <c r="Z625" t="str">
        <v>17.69</v>
      </c>
      <c r="AA625" t="str">
        <v>6.03</v>
      </c>
      <c r="AB625" t="str">
        <v>健策</v>
      </c>
      <c r="AC625" t="str">
        <v>上市電子零組件</v>
      </c>
      <c r="AD625" t="str">
        <v>全球最大遊戲抗均熱片供應商</v>
      </c>
      <c r="AE625" t="str">
        <f t="array" ref="AE625:AH625">[1]!'3653.TW-CName,InvestorConferenceDate,DateofMeetingofShareHolders,TradingDate'</f>
        <v>健策</v>
      </c>
      <c r="AF625" t="str">
        <v>2022/12/01</v>
      </c>
      <c r="AG625" t="str">
        <v>2022/06/08</v>
      </c>
      <c r="AH625" t="str">
        <v>2022/12/22</v>
      </c>
    </row>
    <row r="626" spans="1:34" x14ac:dyDescent="0.3">
      <c r="A626" t="str">
        <f t="array" ref="A626:J626">[1]!'3679.TW-ID,Name,MarketValue,Capital,NetIncomeGrowthRate,OperIncomeGrowthRate,FinancialStatementsTime,TFXRatio,MonthlyNetSalesYoY,RevenueMonth'</f>
        <v>3679</v>
      </c>
      <c r="B626" t="str">
        <v>新至陞</v>
      </c>
      <c r="C626" t="str">
        <v>58.1</v>
      </c>
      <c r="D626" t="str">
        <v>6.30</v>
      </c>
      <c r="E626" t="str">
        <v>55.37</v>
      </c>
      <c r="F626" t="str">
        <v>-54.45</v>
      </c>
      <c r="G626" t="str">
        <v>2022/09</v>
      </c>
      <c r="H626" t="str">
        <v>-9.73</v>
      </c>
      <c r="I626" t="str">
        <v>-17.93</v>
      </c>
      <c r="J626" t="str">
        <v>2022/11</v>
      </c>
      <c r="K626" t="str">
        <f t="array" ref="K626:T626">[1]!'3679.TW-OperatingProfitRatio,Price,PriceChangeRatio,InOutRatioNumber,Value,YearReturn,MonthReturn,WeekReturn,FinanceBalanceDif,ChipsField2'</f>
        <v>10.55</v>
      </c>
      <c r="L626">
        <v>92.1</v>
      </c>
      <c r="M626">
        <v>1.88</v>
      </c>
      <c r="N626" t="str">
        <v>63.64%</v>
      </c>
      <c r="O626" t="str">
        <v>302萬</v>
      </c>
      <c r="P626" t="str">
        <v>+15.46</v>
      </c>
      <c r="Q626" t="str">
        <v>-0.75</v>
      </c>
      <c r="R626" t="str">
        <v>-0.97</v>
      </c>
      <c r="S626">
        <v>-11</v>
      </c>
      <c r="T626">
        <v>0</v>
      </c>
      <c r="U626">
        <f t="array" ref="U626:AD626">[1]!'3679.TW-ChipsField3,ChipsField1,ChipsField25,CashAndStockDividend,CashDividendYieldRate,ProfitFourSeason,ProfitSingle,CName,ExchangeIndustry,CompanyPos'</f>
        <v>-3</v>
      </c>
      <c r="V626">
        <v>-2195</v>
      </c>
      <c r="W626" t="str">
        <v>2022/06/15</v>
      </c>
      <c r="X626" t="str">
        <v>9.00</v>
      </c>
      <c r="Y626">
        <v>9.77</v>
      </c>
      <c r="Z626" t="str">
        <v>13.52</v>
      </c>
      <c r="AA626" t="str">
        <v>5.52</v>
      </c>
      <c r="AB626" t="str">
        <v>新至陞</v>
      </c>
      <c r="AC626" t="str">
        <v>上市電子零組件</v>
      </c>
      <c r="AD626" t="str">
        <v>為塑膠模具設計及射出廠商</v>
      </c>
      <c r="AE626" t="str">
        <f t="array" ref="AE626:AH626">[1]!'3679.TW-CName,InvestorConferenceDate,DateofMeetingofShareHolders,TradingDate'</f>
        <v>新至陞</v>
      </c>
      <c r="AF626" t="str">
        <v>2022/03/17</v>
      </c>
      <c r="AG626" t="str">
        <v>2022/06/15</v>
      </c>
      <c r="AH626" t="str">
        <v>2022/12/22</v>
      </c>
    </row>
    <row r="627" spans="1:34" x14ac:dyDescent="0.3">
      <c r="A627" t="str">
        <f t="array" ref="A627:J627">[1]!'3715.TW-ID,Name,MarketValue,Capital,NetIncomeGrowthRate,OperIncomeGrowthRate,FinancialStatementsTime,TFXRatio,MonthlyNetSalesYoY,RevenueMonth'</f>
        <v>3715</v>
      </c>
      <c r="B627" t="str">
        <v>定穎投控</v>
      </c>
      <c r="C627" t="str">
        <v>46.2</v>
      </c>
      <c r="D627" t="str">
        <v>27.75</v>
      </c>
      <c r="E627" t="str">
        <v>42.21</v>
      </c>
      <c r="F627" t="str">
        <v>32.76</v>
      </c>
      <c r="G627" t="str">
        <v>2022/09</v>
      </c>
      <c r="H627" t="str">
        <v>1.76</v>
      </c>
      <c r="I627" t="str">
        <v>--</v>
      </c>
      <c r="J627" t="str">
        <v>2022/11</v>
      </c>
      <c r="K627" t="str">
        <f t="array" ref="K627:T627">[1]!'3715.TW-OperatingProfitRatio,Price,PriceChangeRatio,InOutRatioNumber,Value,YearReturn,MonthReturn,WeekReturn,FinanceBalanceDif,ChipsField2'</f>
        <v>5.04</v>
      </c>
      <c r="L627">
        <v>16.649999999999999</v>
      </c>
      <c r="M627">
        <v>0.3</v>
      </c>
      <c r="N627" t="str">
        <v>36.03%</v>
      </c>
      <c r="O627" t="str">
        <v>1001萬</v>
      </c>
      <c r="P627" t="str">
        <v>--</v>
      </c>
      <c r="Q627" t="str">
        <v>-3.48</v>
      </c>
      <c r="R627" t="str">
        <v>-4.86</v>
      </c>
      <c r="S627">
        <v>-67</v>
      </c>
      <c r="T627">
        <v>0</v>
      </c>
      <c r="U627">
        <f t="array" ref="U627:AD627">[1]!'3715.TW-ChipsField3,ChipsField1,ChipsField25,CashAndStockDividend,CashDividendYieldRate,ProfitFourSeason,ProfitSingle,CName,ExchangeIndustry,CompanyPos'</f>
        <v>-12</v>
      </c>
      <c r="V627">
        <v>-169</v>
      </c>
      <c r="W627" t="str">
        <v>--</v>
      </c>
      <c r="X627" t="str">
        <v>--</v>
      </c>
      <c r="Y627">
        <v>0</v>
      </c>
      <c r="Z627" t="str">
        <v>--</v>
      </c>
      <c r="AA627" t="str">
        <v>0.44</v>
      </c>
      <c r="AB627" t="str">
        <v>定穎投控</v>
      </c>
      <c r="AC627" t="str">
        <v>上市電子零組件</v>
      </c>
      <c r="AD627" t="str">
        <v>台灣專業多層印刷電路板製造廠</v>
      </c>
      <c r="AE627" t="str">
        <f t="array" ref="AE627:AH627">[1]!'3715.TW-CName,InvestorConferenceDate,DateofMeetingofShareHolders,TradingDate'</f>
        <v>定穎投控</v>
      </c>
      <c r="AF627" t="str">
        <v>2022/11/10</v>
      </c>
      <c r="AG627" t="str">
        <v>2022/10/26</v>
      </c>
      <c r="AH627" t="str">
        <v>2022/12/22</v>
      </c>
    </row>
    <row r="628" spans="1:34" x14ac:dyDescent="0.3">
      <c r="A628" t="str">
        <f t="array" ref="A628:J628">[1]!'4545.TW-ID,Name,MarketValue,Capital,NetIncomeGrowthRate,OperIncomeGrowthRate,FinancialStatementsTime,TFXRatio,MonthlyNetSalesYoY,RevenueMonth'</f>
        <v>4545</v>
      </c>
      <c r="B628" t="str">
        <v>銘鈺</v>
      </c>
      <c r="C628" t="str">
        <v>22.7</v>
      </c>
      <c r="D628" t="str">
        <v>7.70</v>
      </c>
      <c r="E628" t="str">
        <v>171.53</v>
      </c>
      <c r="F628" t="str">
        <v>52.90</v>
      </c>
      <c r="G628" t="str">
        <v>2022/09</v>
      </c>
      <c r="H628" t="str">
        <v>32.17</v>
      </c>
      <c r="I628" t="str">
        <v>-0.39</v>
      </c>
      <c r="J628" t="str">
        <v>2022/11</v>
      </c>
      <c r="K628" t="str">
        <f t="array" ref="K628:T628">[1]!'4545.TW-OperatingProfitRatio,Price,PriceChangeRatio,InOutRatioNumber,Value,YearReturn,MonthReturn,WeekReturn,FinanceBalanceDif,ChipsField2'</f>
        <v>7.47</v>
      </c>
      <c r="L628">
        <v>29.45</v>
      </c>
      <c r="M628">
        <v>-0.17</v>
      </c>
      <c r="N628" t="str">
        <v>20.00%</v>
      </c>
      <c r="O628" t="str">
        <v>44.2萬</v>
      </c>
      <c r="P628" t="str">
        <v>+5.32</v>
      </c>
      <c r="Q628" t="str">
        <v>+7.48</v>
      </c>
      <c r="R628" t="str">
        <v>+1.20</v>
      </c>
      <c r="S628">
        <v>12</v>
      </c>
      <c r="T628">
        <v>0</v>
      </c>
      <c r="U628">
        <f t="array" ref="U628:AD628">[1]!'4545.TW-ChipsField3,ChipsField1,ChipsField25,CashAndStockDividend,CashDividendYieldRate,ProfitFourSeason,ProfitSingle,CName,ExchangeIndustry,CompanyPos'</f>
        <v>0</v>
      </c>
      <c r="V628">
        <v>-5</v>
      </c>
      <c r="W628" t="str">
        <v>2022/07/06</v>
      </c>
      <c r="X628" t="str">
        <v>0.70</v>
      </c>
      <c r="Y628">
        <v>2.38</v>
      </c>
      <c r="Z628" t="str">
        <v>2.41</v>
      </c>
      <c r="AA628" t="str">
        <v>0.80</v>
      </c>
      <c r="AB628" t="str">
        <v>銘鈺</v>
      </c>
      <c r="AC628" t="str">
        <v>上市電子零組件</v>
      </c>
      <c r="AD628" t="str">
        <v>銘異轉投資硬碟機音圈馬達廠商</v>
      </c>
      <c r="AE628" t="str">
        <f t="array" ref="AE628:AH628">[1]!'4545.TW-CName,InvestorConferenceDate,DateofMeetingofShareHolders,TradingDate'</f>
        <v>銘鈺</v>
      </c>
      <c r="AF628" t="str">
        <v>2022/11/10</v>
      </c>
      <c r="AG628" t="str">
        <v>2022/05/27</v>
      </c>
      <c r="AH628" t="str">
        <v>2022/12/22</v>
      </c>
    </row>
    <row r="629" spans="1:34" x14ac:dyDescent="0.3">
      <c r="A629" t="str">
        <f t="array" ref="A629:J629">[1]!'4912.TW-ID,Name,MarketValue,Capital,NetIncomeGrowthRate,OperIncomeGrowthRate,FinancialStatementsTime,TFXRatio,MonthlyNetSalesYoY,RevenueMonth'</f>
        <v>4912</v>
      </c>
      <c r="B629" t="str">
        <v>聯德控股-KY</v>
      </c>
      <c r="C629" t="str">
        <v>49.8</v>
      </c>
      <c r="D629" t="str">
        <v>6.22</v>
      </c>
      <c r="E629" t="str">
        <v>-3.92</v>
      </c>
      <c r="F629" t="str">
        <v>-29.87</v>
      </c>
      <c r="G629" t="str">
        <v>2022/09</v>
      </c>
      <c r="H629" t="str">
        <v>-7.07</v>
      </c>
      <c r="I629" t="str">
        <v>-6.18</v>
      </c>
      <c r="J629" t="str">
        <v>2022/11</v>
      </c>
      <c r="K629" t="str">
        <f t="array" ref="K629:T629">[1]!'4912.TW-OperatingProfitRatio,Price,PriceChangeRatio,InOutRatioNumber,Value,YearReturn,MonthReturn,WeekReturn,FinanceBalanceDif,ChipsField2'</f>
        <v>8.01</v>
      </c>
      <c r="L629">
        <v>80.099999999999994</v>
      </c>
      <c r="M629">
        <v>1.1399999999999999</v>
      </c>
      <c r="N629" t="str">
        <v>40.00%</v>
      </c>
      <c r="O629" t="str">
        <v>201萬</v>
      </c>
      <c r="P629" t="str">
        <v>-47.84</v>
      </c>
      <c r="Q629" t="str">
        <v>+1.65</v>
      </c>
      <c r="R629" t="str">
        <v>-3.96</v>
      </c>
      <c r="S629">
        <v>0</v>
      </c>
      <c r="T629">
        <v>0</v>
      </c>
      <c r="U629">
        <f t="array" ref="U629:AD629">[1]!'4912.TW-ChipsField3,ChipsField1,ChipsField25,CashAndStockDividend,CashDividendYieldRate,ProfitFourSeason,ProfitSingle,CName,ExchangeIndustry,CompanyPos'</f>
        <v>0</v>
      </c>
      <c r="V629">
        <v>-10</v>
      </c>
      <c r="W629" t="str">
        <v>2022/12/28</v>
      </c>
      <c r="X629" t="str">
        <v>0.50</v>
      </c>
      <c r="Y629">
        <v>4.83</v>
      </c>
      <c r="Z629" t="str">
        <v>6.72</v>
      </c>
      <c r="AA629" t="str">
        <v>1.97</v>
      </c>
      <c r="AB629" t="str">
        <v>聯德控股-K</v>
      </c>
      <c r="AC629" t="str">
        <v>上市電子零組件</v>
      </c>
      <c r="AD629" t="str">
        <v>主要從事消費性電子零件的模組沖壓廠</v>
      </c>
      <c r="AE629" t="str">
        <f t="array" ref="AE629:AH629">[1]!'4912.TW-CName,InvestorConferenceDate,DateofMeetingofShareHolders,TradingDate'</f>
        <v>聯德控股-K</v>
      </c>
      <c r="AF629" t="str">
        <v>2022/12/08</v>
      </c>
      <c r="AG629" t="str">
        <v>2022/06/30</v>
      </c>
      <c r="AH629" t="str">
        <v>2022/12/22</v>
      </c>
    </row>
    <row r="630" spans="1:34" x14ac:dyDescent="0.3">
      <c r="A630" t="str">
        <f t="array" ref="A630:J630">[1]!'4915.TW-ID,Name,MarketValue,Capital,NetIncomeGrowthRate,OperIncomeGrowthRate,FinancialStatementsTime,TFXRatio,MonthlyNetSalesYoY,RevenueMonth'</f>
        <v>4915</v>
      </c>
      <c r="B630" t="str">
        <v>致伸</v>
      </c>
      <c r="C630" t="str">
        <v>254.8</v>
      </c>
      <c r="D630" t="str">
        <v>45.83</v>
      </c>
      <c r="E630" t="str">
        <v>23.42</v>
      </c>
      <c r="F630" t="str">
        <v>29.76</v>
      </c>
      <c r="G630" t="str">
        <v>2022/09</v>
      </c>
      <c r="H630" t="str">
        <v>5.75</v>
      </c>
      <c r="I630" t="str">
        <v>-2.85</v>
      </c>
      <c r="J630" t="str">
        <v>2022/11</v>
      </c>
      <c r="K630" t="str">
        <f t="array" ref="K630:T630">[1]!'4915.TW-OperatingProfitRatio,Price,PriceChangeRatio,InOutRatioNumber,Value,YearReturn,MonthReturn,WeekReturn,FinanceBalanceDif,ChipsField2'</f>
        <v>4.26</v>
      </c>
      <c r="L630">
        <v>55.6</v>
      </c>
      <c r="M630">
        <v>-0.54</v>
      </c>
      <c r="N630" t="str">
        <v>26.29%</v>
      </c>
      <c r="O630" t="str">
        <v>1.54億</v>
      </c>
      <c r="P630" t="str">
        <v>+7.11</v>
      </c>
      <c r="Q630" t="str">
        <v>-1.07</v>
      </c>
      <c r="R630" t="str">
        <v>-3.81</v>
      </c>
      <c r="S630">
        <v>-267</v>
      </c>
      <c r="T630">
        <v>34</v>
      </c>
      <c r="U630">
        <f t="array" ref="U630:AD630">[1]!'4915.TW-ChipsField3,ChipsField1,ChipsField25,CashAndStockDividend,CashDividendYieldRate,ProfitFourSeason,ProfitSingle,CName,ExchangeIndustry,CompanyPos'</f>
        <v>29</v>
      </c>
      <c r="V630">
        <v>774</v>
      </c>
      <c r="W630" t="str">
        <v>2022/06/23</v>
      </c>
      <c r="X630" t="str">
        <v>3.10</v>
      </c>
      <c r="Y630">
        <v>5.58</v>
      </c>
      <c r="Z630" t="str">
        <v>5.91</v>
      </c>
      <c r="AA630" t="str">
        <v>1.95</v>
      </c>
      <c r="AB630" t="str">
        <v>致伸</v>
      </c>
      <c r="AC630" t="str">
        <v>上市電子零組件</v>
      </c>
      <c r="AD630" t="str">
        <v>台灣電腦週邊及聲學元件製造大廠，並跨入車電領域</v>
      </c>
      <c r="AE630" t="str">
        <f t="array" ref="AE630:AH630">[1]!'4915.TW-CName,InvestorConferenceDate,DateofMeetingofShareHolders,TradingDate'</f>
        <v>致伸</v>
      </c>
      <c r="AF630" t="str">
        <v>2022/10/27</v>
      </c>
      <c r="AG630" t="str">
        <v>2022/05/26</v>
      </c>
      <c r="AH630" t="str">
        <v>2022/12/22</v>
      </c>
    </row>
    <row r="631" spans="1:34" x14ac:dyDescent="0.3">
      <c r="A631" t="str">
        <f t="array" ref="A631:J631">[1]!'4927.TW-ID,Name,MarketValue,Capital,NetIncomeGrowthRate,OperIncomeGrowthRate,FinancialStatementsTime,TFXRatio,MonthlyNetSalesYoY,RevenueMonth'</f>
        <v>4927</v>
      </c>
      <c r="B631" t="str">
        <v>泰鼎-KY</v>
      </c>
      <c r="C631" t="str">
        <v>104.3</v>
      </c>
      <c r="D631" t="str">
        <v>18.99</v>
      </c>
      <c r="E631" t="str">
        <v>0.74</v>
      </c>
      <c r="F631" t="str">
        <v>0.15</v>
      </c>
      <c r="G631" t="str">
        <v>2022/09</v>
      </c>
      <c r="H631" t="str">
        <v>-17.86</v>
      </c>
      <c r="I631" t="str">
        <v>-8.89</v>
      </c>
      <c r="J631" t="str">
        <v>2022/11</v>
      </c>
      <c r="K631" t="str">
        <f t="array" ref="K631:T631">[1]!'4927.TW-OperatingProfitRatio,Price,PriceChangeRatio,InOutRatioNumber,Value,YearReturn,MonthReturn,WeekReturn,FinanceBalanceDif,ChipsField2'</f>
        <v>8.15</v>
      </c>
      <c r="L631">
        <v>54.9</v>
      </c>
      <c r="M631">
        <v>0.55000000000000004</v>
      </c>
      <c r="N631" t="str">
        <v>33.33%</v>
      </c>
      <c r="O631" t="str">
        <v>2312萬</v>
      </c>
      <c r="P631" t="str">
        <v>-50.46</v>
      </c>
      <c r="Q631" t="str">
        <v>+1.10</v>
      </c>
      <c r="R631" t="str">
        <v>-8.19</v>
      </c>
      <c r="S631">
        <v>1</v>
      </c>
      <c r="T631">
        <v>0</v>
      </c>
      <c r="U631">
        <f t="array" ref="U631:AD631">[1]!'4927.TW-ChipsField3,ChipsField1,ChipsField25,CashAndStockDividend,CashDividendYieldRate,ProfitFourSeason,ProfitSingle,CName,ExchangeIndustry,CompanyPos'</f>
        <v>-23</v>
      </c>
      <c r="V631">
        <v>-191</v>
      </c>
      <c r="W631" t="str">
        <v>2022/07/11</v>
      </c>
      <c r="X631" t="str">
        <v>4.00</v>
      </c>
      <c r="Y631">
        <v>7.29</v>
      </c>
      <c r="Z631" t="str">
        <v>7.29</v>
      </c>
      <c r="AA631" t="str">
        <v>0.30</v>
      </c>
      <c r="AB631" t="str">
        <v>泰鼎-KY</v>
      </c>
      <c r="AC631" t="str">
        <v>上市電子零組件</v>
      </c>
      <c r="AD631" t="str">
        <v>泰國台商最大印刷電路板公司</v>
      </c>
      <c r="AE631" t="str">
        <f t="array" ref="AE631:AH631">[1]!'4927.TW-CName,InvestorConferenceDate,DateofMeetingofShareHolders,TradingDate'</f>
        <v>泰鼎-KY</v>
      </c>
      <c r="AF631" t="str">
        <v>2021/08/20</v>
      </c>
      <c r="AG631" t="str">
        <v>2022/05/24</v>
      </c>
      <c r="AH631" t="str">
        <v>2022/12/22</v>
      </c>
    </row>
    <row r="632" spans="1:34" x14ac:dyDescent="0.3">
      <c r="A632" t="str">
        <f t="array" ref="A632:J632">[1]!'4943.TW-ID,Name,MarketValue,Capital,NetIncomeGrowthRate,OperIncomeGrowthRate,FinancialStatementsTime,TFXRatio,MonthlyNetSalesYoY,RevenueMonth'</f>
        <v>4943</v>
      </c>
      <c r="B632" t="str">
        <v>康控-KY</v>
      </c>
      <c r="C632" t="str">
        <v>15.2</v>
      </c>
      <c r="D632" t="str">
        <v>15.64</v>
      </c>
      <c r="E632" t="str">
        <v>70.69</v>
      </c>
      <c r="F632" t="str">
        <v>69.39</v>
      </c>
      <c r="G632" t="str">
        <v>2022/09</v>
      </c>
      <c r="H632" t="str">
        <v>12.78</v>
      </c>
      <c r="I632" t="str">
        <v>-41.23</v>
      </c>
      <c r="J632" t="str">
        <v>2022/11</v>
      </c>
      <c r="K632" t="str">
        <f t="array" ref="K632:T632">[1]!'4943.TW-OperatingProfitRatio,Price,PriceChangeRatio,InOutRatioNumber,Value,YearReturn,MonthReturn,WeekReturn,FinanceBalanceDif,ChipsField2'</f>
        <v>-72.99</v>
      </c>
      <c r="L632">
        <v>9.7100000000000009</v>
      </c>
      <c r="M632">
        <v>9.9700000000000006</v>
      </c>
      <c r="N632" t="str">
        <v>100.00%</v>
      </c>
      <c r="O632" t="str">
        <v>165萬</v>
      </c>
      <c r="P632" t="str">
        <v>-70.75</v>
      </c>
      <c r="Q632" t="str">
        <v>+27.93</v>
      </c>
      <c r="R632" t="str">
        <v>+38.71</v>
      </c>
      <c r="S632">
        <v>0</v>
      </c>
      <c r="T632">
        <v>0</v>
      </c>
      <c r="U632">
        <f t="array" ref="U632:AD632">[1]!'4943.TW-ChipsField3,ChipsField1,ChipsField25,CashAndStockDividend,CashDividendYieldRate,ProfitFourSeason,ProfitSingle,CName,ExchangeIndustry,CompanyPos'</f>
        <v>0</v>
      </c>
      <c r="V632">
        <v>0</v>
      </c>
      <c r="W632" t="str">
        <v>--</v>
      </c>
      <c r="X632" t="str">
        <v>0.00</v>
      </c>
      <c r="Y632">
        <v>0</v>
      </c>
      <c r="Z632" t="str">
        <v>-9.85</v>
      </c>
      <c r="AA632" t="str">
        <v>-1.68</v>
      </c>
      <c r="AB632" t="str">
        <v>康控-KY</v>
      </c>
      <c r="AC632" t="str">
        <v>上市電子零組件</v>
      </c>
      <c r="AD632" t="str">
        <v>轉型以客製化聲學元件及汽車零組件</v>
      </c>
      <c r="AE632" t="str">
        <f t="array" ref="AE632:AH632">[1]!'4943.TW-CName,InvestorConferenceDate,DateofMeetingofShareHolders,TradingDate'</f>
        <v>康控-KY</v>
      </c>
      <c r="AF632" t="str">
        <v>2022/12/19</v>
      </c>
      <c r="AG632" t="str">
        <v>2023/01/09</v>
      </c>
      <c r="AH632" t="str">
        <v>2022/12/22</v>
      </c>
    </row>
    <row r="633" spans="1:34" x14ac:dyDescent="0.3">
      <c r="A633" t="str">
        <f t="array" ref="A633:J633">[1]!'4958.TW-ID,Name,MarketValue,Capital,NetIncomeGrowthRate,OperIncomeGrowthRate,FinancialStatementsTime,TFXRatio,MonthlyNetSalesYoY,RevenueMonth'</f>
        <v>4958</v>
      </c>
      <c r="B633" t="str">
        <v>臻鼎-KY</v>
      </c>
      <c r="C633" t="str">
        <v>1037.0</v>
      </c>
      <c r="D633" t="str">
        <v>94.70</v>
      </c>
      <c r="E633" t="str">
        <v>100.15</v>
      </c>
      <c r="F633" t="str">
        <v>83.92</v>
      </c>
      <c r="G633" t="str">
        <v>2022/09</v>
      </c>
      <c r="H633" t="str">
        <v>-29.11</v>
      </c>
      <c r="I633" t="str">
        <v>-22.39</v>
      </c>
      <c r="J633" t="str">
        <v>2022/11</v>
      </c>
      <c r="K633" t="str">
        <f t="array" ref="K633:T633">[1]!'4958.TW-OperatingProfitRatio,Price,PriceChangeRatio,InOutRatioNumber,Value,YearReturn,MonthReturn,WeekReturn,FinanceBalanceDif,ChipsField2'</f>
        <v>11.61</v>
      </c>
      <c r="L633">
        <v>109.5</v>
      </c>
      <c r="M633">
        <v>0.46</v>
      </c>
      <c r="N633" t="str">
        <v>69.14%</v>
      </c>
      <c r="O633" t="str">
        <v>11.1億</v>
      </c>
      <c r="P633" t="str">
        <v>+17.12</v>
      </c>
      <c r="Q633" t="str">
        <v>-7.98</v>
      </c>
      <c r="R633" t="str">
        <v>-6.01</v>
      </c>
      <c r="S633">
        <v>134</v>
      </c>
      <c r="T633">
        <v>5638</v>
      </c>
      <c r="U633">
        <f t="array" ref="U633:AD633">[1]!'4958.TW-ChipsField3,ChipsField1,ChipsField25,CashAndStockDividend,CashDividendYieldRate,ProfitFourSeason,ProfitSingle,CName,ExchangeIndustry,CompanyPos'</f>
        <v>-375</v>
      </c>
      <c r="V633">
        <v>-5963</v>
      </c>
      <c r="W633" t="str">
        <v>2022/06/20</v>
      </c>
      <c r="X633" t="str">
        <v>5.00</v>
      </c>
      <c r="Y633">
        <v>4.57</v>
      </c>
      <c r="Z633" t="str">
        <v>15.20</v>
      </c>
      <c r="AA633" t="str">
        <v>5.27</v>
      </c>
      <c r="AB633" t="str">
        <v>臻鼎-KY</v>
      </c>
      <c r="AC633" t="str">
        <v>上市電子零組件</v>
      </c>
      <c r="AD633" t="str">
        <v>鴻海轉投資的全球第一大PCB廠</v>
      </c>
      <c r="AE633" t="str">
        <f t="array" ref="AE633:AH633">[1]!'4958.TW-CName,InvestorConferenceDate,DateofMeetingofShareHolders,TradingDate'</f>
        <v>臻鼎-KY</v>
      </c>
      <c r="AF633" t="str">
        <v>2022/08/09</v>
      </c>
      <c r="AG633" t="str">
        <v>2022/05/31</v>
      </c>
      <c r="AH633" t="str">
        <v>2022/12/22</v>
      </c>
    </row>
    <row r="634" spans="1:34" x14ac:dyDescent="0.3">
      <c r="A634" t="str">
        <f t="array" ref="A634:J634">[1]!'4989.TW-ID,Name,MarketValue,Capital,NetIncomeGrowthRate,OperIncomeGrowthRate,FinancialStatementsTime,TFXRatio,MonthlyNetSalesYoY,RevenueMonth'</f>
        <v>4989</v>
      </c>
      <c r="B634" t="str">
        <v>榮科</v>
      </c>
      <c r="C634" t="str">
        <v>34.6</v>
      </c>
      <c r="D634" t="str">
        <v>13.78</v>
      </c>
      <c r="E634" t="str">
        <v>-47.01</v>
      </c>
      <c r="F634" t="str">
        <v>-73.37</v>
      </c>
      <c r="G634" t="str">
        <v>2022/09</v>
      </c>
      <c r="H634" t="str">
        <v>10.67</v>
      </c>
      <c r="I634" t="str">
        <v>-8.33</v>
      </c>
      <c r="J634" t="str">
        <v>2022/11</v>
      </c>
      <c r="K634" t="str">
        <f t="array" ref="K634:T634">[1]!'4989.TW-OperatingProfitRatio,Price,PriceChangeRatio,InOutRatioNumber,Value,YearReturn,MonthReturn,WeekReturn,FinanceBalanceDif,ChipsField2'</f>
        <v>4.65</v>
      </c>
      <c r="L634">
        <v>25.1</v>
      </c>
      <c r="M634">
        <v>0</v>
      </c>
      <c r="N634" t="str">
        <v>26.63%</v>
      </c>
      <c r="O634" t="str">
        <v>428萬</v>
      </c>
      <c r="P634" t="str">
        <v>-38.24</v>
      </c>
      <c r="Q634" t="str">
        <v>-2.71</v>
      </c>
      <c r="R634" t="str">
        <v>-4.38</v>
      </c>
      <c r="S634">
        <v>-7</v>
      </c>
      <c r="T634">
        <v>0</v>
      </c>
      <c r="U634">
        <f t="array" ref="U634:AD634">[1]!'4989.TW-ChipsField3,ChipsField1,ChipsField25,CashAndStockDividend,CashDividendYieldRate,ProfitFourSeason,ProfitSingle,CName,ExchangeIndustry,CompanyPos'</f>
        <v>-3</v>
      </c>
      <c r="V634">
        <v>-26</v>
      </c>
      <c r="W634" t="str">
        <v>2022/07/28</v>
      </c>
      <c r="X634" t="str">
        <v>1.50</v>
      </c>
      <c r="Y634">
        <v>5.98</v>
      </c>
      <c r="Z634" t="str">
        <v>2.59</v>
      </c>
      <c r="AA634" t="str">
        <v>0.03</v>
      </c>
      <c r="AB634" t="str">
        <v>榮科</v>
      </c>
      <c r="AC634" t="str">
        <v>上市電子零組件</v>
      </c>
      <c r="AD634" t="str">
        <v>榮化轉投資的電解銅箔廠</v>
      </c>
      <c r="AE634" t="str">
        <f t="array" ref="AE634:AH634">[1]!'4989.TW-CName,InvestorConferenceDate,DateofMeetingofShareHolders,TradingDate'</f>
        <v>榮科</v>
      </c>
      <c r="AF634" t="str">
        <v>2022/10/28</v>
      </c>
      <c r="AG634" t="str">
        <v>2022/06/23</v>
      </c>
      <c r="AH634" t="str">
        <v>2022/12/22</v>
      </c>
    </row>
    <row r="635" spans="1:34" x14ac:dyDescent="0.3">
      <c r="A635" t="str">
        <f t="array" ref="A635:J635">[1]!'4999.TW-ID,Name,MarketValue,Capital,NetIncomeGrowthRate,OperIncomeGrowthRate,FinancialStatementsTime,TFXRatio,MonthlyNetSalesYoY,RevenueMonth'</f>
        <v>4999</v>
      </c>
      <c r="B635" t="str">
        <v>鑫禾</v>
      </c>
      <c r="C635" t="str">
        <v>27.5</v>
      </c>
      <c r="D635" t="str">
        <v>7.44</v>
      </c>
      <c r="E635" t="str">
        <v>123.66</v>
      </c>
      <c r="F635" t="str">
        <v>-61.81</v>
      </c>
      <c r="G635" t="str">
        <v>2022/09</v>
      </c>
      <c r="H635" t="str">
        <v>-27.07</v>
      </c>
      <c r="I635" t="str">
        <v>-38.79</v>
      </c>
      <c r="J635" t="str">
        <v>2022/11</v>
      </c>
      <c r="K635" t="str">
        <f t="array" ref="K635:T635">[1]!'4999.TW-OperatingProfitRatio,Price,PriceChangeRatio,InOutRatioNumber,Value,YearReturn,MonthReturn,WeekReturn,FinanceBalanceDif,ChipsField2'</f>
        <v>4.38</v>
      </c>
      <c r="L635">
        <v>36.9</v>
      </c>
      <c r="M635">
        <v>0.14000000000000001</v>
      </c>
      <c r="N635" t="str">
        <v>35.29%</v>
      </c>
      <c r="O635" t="str">
        <v>66.4萬</v>
      </c>
      <c r="P635" t="str">
        <v>-3.89</v>
      </c>
      <c r="Q635" t="str">
        <v>+0.54</v>
      </c>
      <c r="R635" t="str">
        <v>-0.27</v>
      </c>
      <c r="S635">
        <v>-3</v>
      </c>
      <c r="T635">
        <v>0</v>
      </c>
      <c r="U635">
        <f t="array" ref="U635:AD635">[1]!'4999.TW-ChipsField3,ChipsField1,ChipsField25,CashAndStockDividend,CashDividendYieldRate,ProfitFourSeason,ProfitSingle,CName,ExchangeIndustry,CompanyPos'</f>
        <v>-2</v>
      </c>
      <c r="V635">
        <v>1</v>
      </c>
      <c r="W635" t="str">
        <v>2022/07/08</v>
      </c>
      <c r="X635" t="str">
        <v>2.00</v>
      </c>
      <c r="Y635">
        <v>5.42</v>
      </c>
      <c r="Z635" t="str">
        <v>4.18</v>
      </c>
      <c r="AA635" t="str">
        <v>1.24</v>
      </c>
      <c r="AB635" t="str">
        <v>鑫禾</v>
      </c>
      <c r="AC635" t="str">
        <v>上市電子零組件</v>
      </c>
      <c r="AD635" t="str">
        <v>全球前三大筆電樞紐製造商</v>
      </c>
      <c r="AE635" t="str">
        <f t="array" ref="AE635:AH635">[1]!'4999.TW-CName,InvestorConferenceDate,DateofMeetingofShareHolders,TradingDate'</f>
        <v>鑫禾</v>
      </c>
      <c r="AF635" t="str">
        <v>2022/11/17</v>
      </c>
      <c r="AG635" t="str">
        <v>2022/06/23</v>
      </c>
      <c r="AH635" t="str">
        <v>2022/12/22</v>
      </c>
    </row>
    <row r="636" spans="1:34" x14ac:dyDescent="0.3">
      <c r="A636" t="str">
        <f t="array" ref="A636:J636">[1]!'5469.TW-ID,Name,MarketValue,Capital,NetIncomeGrowthRate,OperIncomeGrowthRate,FinancialStatementsTime,TFXRatio,MonthlyNetSalesYoY,RevenueMonth'</f>
        <v>5469</v>
      </c>
      <c r="B636" t="str">
        <v>瀚宇博</v>
      </c>
      <c r="C636" t="str">
        <v>168.8</v>
      </c>
      <c r="D636" t="str">
        <v>52.84</v>
      </c>
      <c r="E636" t="str">
        <v>-15.57</v>
      </c>
      <c r="F636" t="str">
        <v>-29.41</v>
      </c>
      <c r="G636" t="str">
        <v>2022/09</v>
      </c>
      <c r="H636" t="str">
        <v>-8.14</v>
      </c>
      <c r="I636" t="str">
        <v>-20.23</v>
      </c>
      <c r="J636" t="str">
        <v>2022/11</v>
      </c>
      <c r="K636" t="str">
        <f t="array" ref="K636:T636">[1]!'5469.TW-OperatingProfitRatio,Price,PriceChangeRatio,InOutRatioNumber,Value,YearReturn,MonthReturn,WeekReturn,FinanceBalanceDif,ChipsField2'</f>
        <v>10.53</v>
      </c>
      <c r="L636">
        <v>31.95</v>
      </c>
      <c r="M636">
        <v>0.95</v>
      </c>
      <c r="N636" t="str">
        <v>43.02%</v>
      </c>
      <c r="O636" t="str">
        <v>2271萬</v>
      </c>
      <c r="P636" t="str">
        <v>-22.26</v>
      </c>
      <c r="Q636" t="str">
        <v>-6.44</v>
      </c>
      <c r="R636" t="str">
        <v>-4.20</v>
      </c>
      <c r="S636">
        <v>49</v>
      </c>
      <c r="T636">
        <v>0</v>
      </c>
      <c r="U636">
        <f t="array" ref="U636:AD636">[1]!'5469.TW-ChipsField3,ChipsField1,ChipsField25,CashAndStockDividend,CashDividendYieldRate,ProfitFourSeason,ProfitSingle,CName,ExchangeIndustry,CompanyPos'</f>
        <v>-34</v>
      </c>
      <c r="V636">
        <v>-164</v>
      </c>
      <c r="W636" t="str">
        <v>2022/08/09</v>
      </c>
      <c r="X636" t="str">
        <v>2.20</v>
      </c>
      <c r="Y636">
        <v>6.89</v>
      </c>
      <c r="Z636" t="str">
        <v>6.72</v>
      </c>
      <c r="AA636" t="str">
        <v>2.57</v>
      </c>
      <c r="AB636" t="str">
        <v>瀚宇博</v>
      </c>
      <c r="AC636" t="str">
        <v>上市電子零組件</v>
      </c>
      <c r="AD636" t="str">
        <v>全球前三大NB板與STB板廠之一</v>
      </c>
      <c r="AE636" t="str">
        <f t="array" ref="AE636:AH636">[1]!'5469.TW-CName,InvestorConferenceDate,DateofMeetingofShareHolders,TradingDate'</f>
        <v>瀚宇博</v>
      </c>
      <c r="AF636" t="str">
        <v>2022/08/16</v>
      </c>
      <c r="AG636" t="str">
        <v>2022/06/14</v>
      </c>
      <c r="AH636" t="str">
        <v>2022/12/22</v>
      </c>
    </row>
    <row r="637" spans="1:34" x14ac:dyDescent="0.3">
      <c r="A637" t="str">
        <f t="array" ref="A637:J637">[1]!'6108.TW-ID,Name,MarketValue,Capital,NetIncomeGrowthRate,OperIncomeGrowthRate,FinancialStatementsTime,TFXRatio,MonthlyNetSalesYoY,RevenueMonth'</f>
        <v>6108</v>
      </c>
      <c r="B637" t="str">
        <v>競國</v>
      </c>
      <c r="C637" t="str">
        <v>26.6</v>
      </c>
      <c r="D637" t="str">
        <v>15.99</v>
      </c>
      <c r="E637" t="str">
        <v>-63.16</v>
      </c>
      <c r="F637" t="str">
        <v>-122.42</v>
      </c>
      <c r="G637" t="str">
        <v>2022/09</v>
      </c>
      <c r="H637" t="str">
        <v>7.01</v>
      </c>
      <c r="I637" t="str">
        <v>-29.85</v>
      </c>
      <c r="J637" t="str">
        <v>2022/11</v>
      </c>
      <c r="K637" t="str">
        <f t="array" ref="K637:T637">[1]!'6108.TW-OperatingProfitRatio,Price,PriceChangeRatio,InOutRatioNumber,Value,YearReturn,MonthReturn,WeekReturn,FinanceBalanceDif,ChipsField2'</f>
        <v>-1.94</v>
      </c>
      <c r="L637">
        <v>16.649999999999999</v>
      </c>
      <c r="M637">
        <v>0.3</v>
      </c>
      <c r="N637" t="str">
        <v>62.07%</v>
      </c>
      <c r="O637" t="str">
        <v>48.3萬</v>
      </c>
      <c r="P637" t="str">
        <v>-16.10</v>
      </c>
      <c r="Q637" t="str">
        <v>-0.60</v>
      </c>
      <c r="R637" t="str">
        <v>-0.30</v>
      </c>
      <c r="S637">
        <v>32</v>
      </c>
      <c r="T637">
        <v>0</v>
      </c>
      <c r="U637">
        <f t="array" ref="U637:AD637">[1]!'6108.TW-ChipsField3,ChipsField1,ChipsField25,CashAndStockDividend,CashDividendYieldRate,ProfitFourSeason,ProfitSingle,CName,ExchangeIndustry,CompanyPos'</f>
        <v>-1</v>
      </c>
      <c r="V637">
        <v>-10</v>
      </c>
      <c r="W637" t="str">
        <v>2022/08/25</v>
      </c>
      <c r="X637" t="str">
        <v>1.05</v>
      </c>
      <c r="Y637">
        <v>6.31</v>
      </c>
      <c r="Z637" t="str">
        <v>0.74</v>
      </c>
      <c r="AA637" t="str">
        <v>0.39</v>
      </c>
      <c r="AB637" t="str">
        <v>競國</v>
      </c>
      <c r="AC637" t="str">
        <v>上市電子零組件</v>
      </c>
      <c r="AD637" t="str">
        <v>台灣CMOS sensor載板最大供應廠</v>
      </c>
      <c r="AE637" t="str">
        <f t="array" ref="AE637:AH637">[1]!'6108.TW-CName,InvestorConferenceDate,DateofMeetingofShareHolders,TradingDate'</f>
        <v>競國</v>
      </c>
      <c r="AF637" t="str">
        <v>2022/09/15</v>
      </c>
      <c r="AG637" t="str">
        <v>2022/06/23</v>
      </c>
      <c r="AH637" t="str">
        <v>2022/12/22</v>
      </c>
    </row>
    <row r="638" spans="1:34" x14ac:dyDescent="0.3">
      <c r="A638" t="str">
        <f t="array" ref="A638:J638">[1]!'6115.TW-ID,Name,MarketValue,Capital,NetIncomeGrowthRate,OperIncomeGrowthRate,FinancialStatementsTime,TFXRatio,MonthlyNetSalesYoY,RevenueMonth'</f>
        <v>6115</v>
      </c>
      <c r="B638" t="str">
        <v>鎰勝</v>
      </c>
      <c r="C638" t="str">
        <v>79.4</v>
      </c>
      <c r="D638" t="str">
        <v>18.77</v>
      </c>
      <c r="E638" t="str">
        <v>82.45</v>
      </c>
      <c r="F638" t="str">
        <v>-5.96</v>
      </c>
      <c r="G638" t="str">
        <v>2022/09</v>
      </c>
      <c r="H638" t="str">
        <v>11.77</v>
      </c>
      <c r="I638" t="str">
        <v>-17.95</v>
      </c>
      <c r="J638" t="str">
        <v>2022/11</v>
      </c>
      <c r="K638" t="str">
        <f t="array" ref="K638:T638">[1]!'6115.TW-OperatingProfitRatio,Price,PriceChangeRatio,InOutRatioNumber,Value,YearReturn,MonthReturn,WeekReturn,FinanceBalanceDif,ChipsField2'</f>
        <v>8.41</v>
      </c>
      <c r="L638">
        <v>42.3</v>
      </c>
      <c r="M638">
        <v>-0.12</v>
      </c>
      <c r="N638" t="str">
        <v>26.47%</v>
      </c>
      <c r="O638" t="str">
        <v>144萬</v>
      </c>
      <c r="P638" t="str">
        <v>+6.43</v>
      </c>
      <c r="Q638" t="str">
        <v>+1.93</v>
      </c>
      <c r="R638" t="str">
        <v>-0.70</v>
      </c>
      <c r="S638">
        <v>1</v>
      </c>
      <c r="T638">
        <v>0</v>
      </c>
      <c r="U638">
        <f t="array" ref="U638:AD638">[1]!'6115.TW-ChipsField3,ChipsField1,ChipsField25,CashAndStockDividend,CashDividendYieldRate,ProfitFourSeason,ProfitSingle,CName,ExchangeIndustry,CompanyPos'</f>
        <v>-9</v>
      </c>
      <c r="V638">
        <v>-6</v>
      </c>
      <c r="W638" t="str">
        <v>2022/07/07</v>
      </c>
      <c r="X638" t="str">
        <v>2.80</v>
      </c>
      <c r="Y638">
        <v>6.62</v>
      </c>
      <c r="Z638" t="str">
        <v>4.30</v>
      </c>
      <c r="AA638" t="str">
        <v>1.67</v>
      </c>
      <c r="AB638" t="str">
        <v>鎰勝</v>
      </c>
      <c r="AC638" t="str">
        <v>上市電子零組件</v>
      </c>
      <c r="AD638" t="str">
        <v>全球IT產品電源線材大廠</v>
      </c>
      <c r="AE638" t="str">
        <f t="array" ref="AE638:AH638">[1]!'6115.TW-CName,InvestorConferenceDate,DateofMeetingofShareHolders,TradingDate'</f>
        <v>鎰勝</v>
      </c>
      <c r="AF638" t="str">
        <v>2022/12/02</v>
      </c>
      <c r="AG638" t="str">
        <v>2022/06/22</v>
      </c>
      <c r="AH638" t="str">
        <v>2022/12/22</v>
      </c>
    </row>
    <row r="639" spans="1:34" x14ac:dyDescent="0.3">
      <c r="A639" t="str">
        <f t="array" ref="A639:J639">[1]!'6133.TW-ID,Name,MarketValue,Capital,NetIncomeGrowthRate,OperIncomeGrowthRate,FinancialStatementsTime,TFXRatio,MonthlyNetSalesYoY,RevenueMonth'</f>
        <v>6133</v>
      </c>
      <c r="B639" t="str">
        <v>金橋</v>
      </c>
      <c r="C639" t="str">
        <v>27.4</v>
      </c>
      <c r="D639" t="str">
        <v>11.70</v>
      </c>
      <c r="E639" t="str">
        <v>267.74</v>
      </c>
      <c r="F639" t="str">
        <v>185.00</v>
      </c>
      <c r="G639" t="str">
        <v>2022/09</v>
      </c>
      <c r="H639" t="str">
        <v>-7.36</v>
      </c>
      <c r="I639" t="str">
        <v>-6.22</v>
      </c>
      <c r="J639" t="str">
        <v>2022/11</v>
      </c>
      <c r="K639" t="str">
        <f t="array" ref="K639:T639">[1]!'6133.TW-OperatingProfitRatio,Price,PriceChangeRatio,InOutRatioNumber,Value,YearReturn,MonthReturn,WeekReturn,FinanceBalanceDif,ChipsField2'</f>
        <v>4.57</v>
      </c>
      <c r="L639">
        <v>23.4</v>
      </c>
      <c r="M639">
        <v>2.1800000000000002</v>
      </c>
      <c r="N639" t="str">
        <v>57.95%</v>
      </c>
      <c r="O639" t="str">
        <v>1.40億</v>
      </c>
      <c r="P639" t="str">
        <v>+125.00</v>
      </c>
      <c r="Q639" t="str">
        <v>-13.97</v>
      </c>
      <c r="R639" t="str">
        <v>-6.40</v>
      </c>
      <c r="S639">
        <v>-121</v>
      </c>
      <c r="T639">
        <v>0</v>
      </c>
      <c r="U639">
        <f t="array" ref="U639:AD639">[1]!'6133.TW-ChipsField3,ChipsField1,ChipsField25,CashAndStockDividend,CashDividendYieldRate,ProfitFourSeason,ProfitSingle,CName,ExchangeIndustry,CompanyPos'</f>
        <v>0</v>
      </c>
      <c r="V639">
        <v>-69</v>
      </c>
      <c r="W639" t="str">
        <v>--</v>
      </c>
      <c r="X639" t="str">
        <v>0.00</v>
      </c>
      <c r="Y639">
        <v>0</v>
      </c>
      <c r="Z639" t="str">
        <v>0.55</v>
      </c>
      <c r="AA639" t="str">
        <v>0.48</v>
      </c>
      <c r="AB639" t="str">
        <v>金橋</v>
      </c>
      <c r="AC639" t="str">
        <v>上市電子零組件</v>
      </c>
      <c r="AD639" t="str">
        <v>經營電腦週邊及高頻通訊為主的連接線廠</v>
      </c>
      <c r="AE639" t="str">
        <f t="array" ref="AE639:AH639">[1]!'6133.TW-CName,InvestorConferenceDate,DateofMeetingofShareHolders,TradingDate'</f>
        <v>金橋</v>
      </c>
      <c r="AF639" t="str">
        <v>2021/12/17</v>
      </c>
      <c r="AG639" t="str">
        <v>2022/06/29</v>
      </c>
      <c r="AH639" t="str">
        <v>2022/12/22</v>
      </c>
    </row>
    <row r="640" spans="1:34" x14ac:dyDescent="0.3">
      <c r="A640" t="str">
        <f t="array" ref="A640:J640">[1]!'6141.TW-ID,Name,MarketValue,Capital,NetIncomeGrowthRate,OperIncomeGrowthRate,FinancialStatementsTime,TFXRatio,MonthlyNetSalesYoY,RevenueMonth'</f>
        <v>6141</v>
      </c>
      <c r="B640" t="str">
        <v>柏承</v>
      </c>
      <c r="C640" t="str">
        <v>22.2</v>
      </c>
      <c r="D640" t="str">
        <v>11.34</v>
      </c>
      <c r="E640" t="str">
        <v>-105.18</v>
      </c>
      <c r="F640" t="str">
        <v>-84.50</v>
      </c>
      <c r="G640" t="str">
        <v>2022/09</v>
      </c>
      <c r="H640" t="str">
        <v>-29.07</v>
      </c>
      <c r="I640" t="str">
        <v>-51.97</v>
      </c>
      <c r="J640" t="str">
        <v>2022/11</v>
      </c>
      <c r="K640" t="str">
        <f t="array" ref="K640:T640">[1]!'6141.TW-OperatingProfitRatio,Price,PriceChangeRatio,InOutRatioNumber,Value,YearReturn,MonthReturn,WeekReturn,FinanceBalanceDif,ChipsField2'</f>
        <v>1.89</v>
      </c>
      <c r="L640">
        <v>19.399999999999999</v>
      </c>
      <c r="M640">
        <v>-0.51</v>
      </c>
      <c r="N640" t="str">
        <v>26.42%</v>
      </c>
      <c r="O640" t="str">
        <v>102萬</v>
      </c>
      <c r="P640" t="str">
        <v>-29.30</v>
      </c>
      <c r="Q640" t="str">
        <v>+2.11</v>
      </c>
      <c r="R640" t="str">
        <v>-7.40</v>
      </c>
      <c r="S640">
        <v>3</v>
      </c>
      <c r="T640">
        <v>0</v>
      </c>
      <c r="U640">
        <f t="array" ref="U640:AD640">[1]!'6141.TW-ChipsField3,ChipsField1,ChipsField25,CashAndStockDividend,CashDividendYieldRate,ProfitFourSeason,ProfitSingle,CName,ExchangeIndustry,CompanyPos'</f>
        <v>-3</v>
      </c>
      <c r="V640">
        <v>4</v>
      </c>
      <c r="W640" t="str">
        <v>2022/07/13</v>
      </c>
      <c r="X640" t="str">
        <v>1.01</v>
      </c>
      <c r="Y640">
        <v>5.21</v>
      </c>
      <c r="Z640" t="str">
        <v>0.94</v>
      </c>
      <c r="AA640" t="str">
        <v>-0.17</v>
      </c>
      <c r="AB640" t="str">
        <v>柏承</v>
      </c>
      <c r="AC640" t="str">
        <v>上市電子零組件</v>
      </c>
      <c r="AD640" t="str">
        <v>少量多樣的利基型PCB廠</v>
      </c>
      <c r="AE640" t="str">
        <f t="array" ref="AE640:AH640">[1]!'6141.TW-CName,InvestorConferenceDate,DateofMeetingofShareHolders,TradingDate'</f>
        <v>柏承</v>
      </c>
      <c r="AF640" t="str">
        <v>2021/12/16</v>
      </c>
      <c r="AG640" t="str">
        <v>2022/06/17</v>
      </c>
      <c r="AH640" t="str">
        <v>2022/12/22</v>
      </c>
    </row>
    <row r="641" spans="1:34" x14ac:dyDescent="0.3">
      <c r="A641" t="str">
        <f t="array" ref="A641:J641">[1]!'6153.TW-ID,Name,MarketValue,Capital,NetIncomeGrowthRate,OperIncomeGrowthRate,FinancialStatementsTime,TFXRatio,MonthlyNetSalesYoY,RevenueMonth'</f>
        <v>6153</v>
      </c>
      <c r="B641" t="str">
        <v>嘉聯益</v>
      </c>
      <c r="C641" t="str">
        <v>135.4</v>
      </c>
      <c r="D641" t="str">
        <v>55.62</v>
      </c>
      <c r="E641" t="str">
        <v>410.73</v>
      </c>
      <c r="F641" t="str">
        <v>177.69</v>
      </c>
      <c r="G641" t="str">
        <v>2022/09</v>
      </c>
      <c r="H641" t="str">
        <v>-23.11</v>
      </c>
      <c r="I641" t="str">
        <v>0.48</v>
      </c>
      <c r="J641" t="str">
        <v>2022/11</v>
      </c>
      <c r="K641" t="str">
        <f t="array" ref="K641:T641">[1]!'6153.TW-OperatingProfitRatio,Price,PriceChangeRatio,InOutRatioNumber,Value,YearReturn,MonthReturn,WeekReturn,FinanceBalanceDif,ChipsField2'</f>
        <v>1.49</v>
      </c>
      <c r="L641">
        <v>24.35</v>
      </c>
      <c r="M641">
        <v>0.62</v>
      </c>
      <c r="N641" t="str">
        <v>53.21%</v>
      </c>
      <c r="O641" t="str">
        <v>6679萬</v>
      </c>
      <c r="P641" t="str">
        <v>-3.56</v>
      </c>
      <c r="Q641" t="str">
        <v>-14.56</v>
      </c>
      <c r="R641" t="str">
        <v>-3.56</v>
      </c>
      <c r="S641">
        <v>-58</v>
      </c>
      <c r="T641">
        <v>0</v>
      </c>
      <c r="U641">
        <f t="array" ref="U641:AD641">[1]!'6153.TW-ChipsField3,ChipsField1,ChipsField25,CashAndStockDividend,CashDividendYieldRate,ProfitFourSeason,ProfitSingle,CName,ExchangeIndustry,CompanyPos'</f>
        <v>-52</v>
      </c>
      <c r="V641">
        <v>-34</v>
      </c>
      <c r="W641" t="str">
        <v>--</v>
      </c>
      <c r="X641" t="str">
        <v>0.00</v>
      </c>
      <c r="Y641">
        <v>0</v>
      </c>
      <c r="Z641" t="str">
        <v>0.25</v>
      </c>
      <c r="AA641" t="str">
        <v>1.35</v>
      </c>
      <c r="AB641" t="str">
        <v>嘉聯益</v>
      </c>
      <c r="AC641" t="str">
        <v>上市電子零組件</v>
      </c>
      <c r="AD641" t="str">
        <v>台灣前三大軟板廠之一</v>
      </c>
      <c r="AE641" t="str">
        <f t="array" ref="AE641:AH641">[1]!'6153.TW-CName,InvestorConferenceDate,DateofMeetingofShareHolders,TradingDate'</f>
        <v>嘉聯益</v>
      </c>
      <c r="AF641" t="str">
        <v>2022/12/08</v>
      </c>
      <c r="AG641" t="str">
        <v>2022/06/14</v>
      </c>
      <c r="AH641" t="str">
        <v>2022/12/22</v>
      </c>
    </row>
    <row r="642" spans="1:34" x14ac:dyDescent="0.3">
      <c r="A642" t="str">
        <f t="array" ref="A642:J642">[1]!'6155.TW-ID,Name,MarketValue,Capital,NetIncomeGrowthRate,OperIncomeGrowthRate,FinancialStatementsTime,TFXRatio,MonthlyNetSalesYoY,RevenueMonth'</f>
        <v>6155</v>
      </c>
      <c r="B642" t="str">
        <v>鈞寶</v>
      </c>
      <c r="C642" t="str">
        <v>21.9</v>
      </c>
      <c r="D642" t="str">
        <v>8.71</v>
      </c>
      <c r="E642" t="str">
        <v>242.95</v>
      </c>
      <c r="F642" t="str">
        <v>-32.31</v>
      </c>
      <c r="G642" t="str">
        <v>2022/09</v>
      </c>
      <c r="H642" t="str">
        <v>-5.69</v>
      </c>
      <c r="I642" t="str">
        <v>-22.49</v>
      </c>
      <c r="J642" t="str">
        <v>2022/11</v>
      </c>
      <c r="K642" t="str">
        <f t="array" ref="K642:T642">[1]!'6155.TW-OperatingProfitRatio,Price,PriceChangeRatio,InOutRatioNumber,Value,YearReturn,MonthReturn,WeekReturn,FinanceBalanceDif,ChipsField2'</f>
        <v>10.99</v>
      </c>
      <c r="L642">
        <v>25.1</v>
      </c>
      <c r="M642">
        <v>7.49</v>
      </c>
      <c r="N642" t="str">
        <v>60.89%</v>
      </c>
      <c r="O642" t="str">
        <v>1853萬</v>
      </c>
      <c r="P642" t="str">
        <v>+7.73</v>
      </c>
      <c r="Q642" t="str">
        <v>+12.56</v>
      </c>
      <c r="R642" t="str">
        <v>0.00</v>
      </c>
      <c r="S642">
        <v>3</v>
      </c>
      <c r="T642">
        <v>0</v>
      </c>
      <c r="U642">
        <f t="array" ref="U642:AD642">[1]!'6155.TW-ChipsField3,ChipsField1,ChipsField25,CashAndStockDividend,CashDividendYieldRate,ProfitFourSeason,ProfitSingle,CName,ExchangeIndustry,CompanyPos'</f>
        <v>0</v>
      </c>
      <c r="V642">
        <v>-7</v>
      </c>
      <c r="W642" t="str">
        <v>2022/06/23</v>
      </c>
      <c r="X642" t="str">
        <v>0.85</v>
      </c>
      <c r="Y642">
        <v>3.39</v>
      </c>
      <c r="Z642" t="str">
        <v>2.40</v>
      </c>
      <c r="AA642" t="str">
        <v>0.92</v>
      </c>
      <c r="AB642" t="str">
        <v>鈞寶</v>
      </c>
      <c r="AC642" t="str">
        <v>上市電子零組件</v>
      </c>
      <c r="AD642" t="str">
        <v>台灣電感及電磁波干擾對策之專業廠商</v>
      </c>
      <c r="AE642" t="str">
        <f t="array" ref="AE642:AH642">[1]!'6155.TW-CName,InvestorConferenceDate,DateofMeetingofShareHolders,TradingDate'</f>
        <v>鈞寶</v>
      </c>
      <c r="AF642" t="str">
        <v>2022/12/06</v>
      </c>
      <c r="AG642" t="str">
        <v>2022/05/26</v>
      </c>
      <c r="AH642" t="str">
        <v>2022/12/22</v>
      </c>
    </row>
    <row r="643" spans="1:34" x14ac:dyDescent="0.3">
      <c r="A643" t="str">
        <f t="array" ref="A643:J643">[1]!'6191.TW-ID,Name,MarketValue,Capital,NetIncomeGrowthRate,OperIncomeGrowthRate,FinancialStatementsTime,TFXRatio,MonthlyNetSalesYoY,RevenueMonth'</f>
        <v>6191</v>
      </c>
      <c r="B643" t="str">
        <v>精成科</v>
      </c>
      <c r="C643" t="str">
        <v>132.3</v>
      </c>
      <c r="D643" t="str">
        <v>47.43</v>
      </c>
      <c r="E643" t="str">
        <v>-13.46</v>
      </c>
      <c r="F643" t="str">
        <v>-22.84</v>
      </c>
      <c r="G643" t="str">
        <v>2022/09</v>
      </c>
      <c r="H643" t="str">
        <v>-6.56</v>
      </c>
      <c r="I643" t="str">
        <v>-17.74</v>
      </c>
      <c r="J643" t="str">
        <v>2022/11</v>
      </c>
      <c r="K643" t="str">
        <f t="array" ref="K643:T643">[1]!'6191.TW-OperatingProfitRatio,Price,PriceChangeRatio,InOutRatioNumber,Value,YearReturn,MonthReturn,WeekReturn,FinanceBalanceDif,ChipsField2'</f>
        <v>10.11</v>
      </c>
      <c r="L643">
        <v>27.9</v>
      </c>
      <c r="M643">
        <v>1.0900000000000001</v>
      </c>
      <c r="N643" t="str">
        <v>47.72%</v>
      </c>
      <c r="O643" t="str">
        <v>673萬</v>
      </c>
      <c r="P643" t="str">
        <v>-20.59</v>
      </c>
      <c r="Q643" t="str">
        <v>-4.12</v>
      </c>
      <c r="R643" t="str">
        <v>-3.63</v>
      </c>
      <c r="S643">
        <v>-32</v>
      </c>
      <c r="T643">
        <v>0</v>
      </c>
      <c r="U643">
        <f t="array" ref="U643:AD643">[1]!'6191.TW-ChipsField3,ChipsField1,ChipsField25,CashAndStockDividend,CashDividendYieldRate,ProfitFourSeason,ProfitSingle,CName,ExchangeIndustry,CompanyPos'</f>
        <v>-6</v>
      </c>
      <c r="V643">
        <v>-68</v>
      </c>
      <c r="W643" t="str">
        <v>2022/08/09</v>
      </c>
      <c r="X643" t="str">
        <v>1.75</v>
      </c>
      <c r="Y643">
        <v>6.27</v>
      </c>
      <c r="Z643" t="str">
        <v>5.47</v>
      </c>
      <c r="AA643" t="str">
        <v>1.54</v>
      </c>
      <c r="AB643" t="str">
        <v>精成科</v>
      </c>
      <c r="AC643" t="str">
        <v>上市電子零組件</v>
      </c>
      <c r="AD643" t="str">
        <v>瀚宇博轉投資印刷電路板暨組裝代工廠</v>
      </c>
      <c r="AE643" t="str">
        <f t="array" ref="AE643:AH643">[1]!'6191.TW-CName,InvestorConferenceDate,DateofMeetingofShareHolders,TradingDate'</f>
        <v>精成科</v>
      </c>
      <c r="AF643" t="str">
        <v>2022/08/16</v>
      </c>
      <c r="AG643" t="str">
        <v>2022/06/08</v>
      </c>
      <c r="AH643" t="str">
        <v>2022/12/22</v>
      </c>
    </row>
    <row r="644" spans="1:34" x14ac:dyDescent="0.3">
      <c r="A644" t="str">
        <f t="array" ref="A644:J644">[1]!'6197.TW-ID,Name,MarketValue,Capital,NetIncomeGrowthRate,OperIncomeGrowthRate,FinancialStatementsTime,TFXRatio,MonthlyNetSalesYoY,RevenueMonth'</f>
        <v>6197</v>
      </c>
      <c r="B644" t="str">
        <v>佳必琪</v>
      </c>
      <c r="C644" t="str">
        <v>49.1</v>
      </c>
      <c r="D644" t="str">
        <v>12.21</v>
      </c>
      <c r="E644" t="str">
        <v>46.88</v>
      </c>
      <c r="F644" t="str">
        <v>18.17</v>
      </c>
      <c r="G644" t="str">
        <v>2022/09</v>
      </c>
      <c r="H644" t="str">
        <v>13.84</v>
      </c>
      <c r="I644" t="str">
        <v>9.37</v>
      </c>
      <c r="J644" t="str">
        <v>2022/11</v>
      </c>
      <c r="K644" t="str">
        <f t="array" ref="K644:T644">[1]!'6197.TW-OperatingProfitRatio,Price,PriceChangeRatio,InOutRatioNumber,Value,YearReturn,MonthReturn,WeekReturn,FinanceBalanceDif,ChipsField2'</f>
        <v>9.13</v>
      </c>
      <c r="L644">
        <v>40.200000000000003</v>
      </c>
      <c r="M644">
        <v>2.16</v>
      </c>
      <c r="N644" t="str">
        <v>54.36%</v>
      </c>
      <c r="O644" t="str">
        <v>1156萬</v>
      </c>
      <c r="P644" t="str">
        <v>+12.96</v>
      </c>
      <c r="Q644" t="str">
        <v>+5.37</v>
      </c>
      <c r="R644" t="str">
        <v>-1.83</v>
      </c>
      <c r="S644">
        <v>8</v>
      </c>
      <c r="T644">
        <v>0</v>
      </c>
      <c r="U644">
        <f t="array" ref="U644:AD644">[1]!'6197.TW-ChipsField3,ChipsField1,ChipsField25,CashAndStockDividend,CashDividendYieldRate,ProfitFourSeason,ProfitSingle,CName,ExchangeIndustry,CompanyPos'</f>
        <v>-2</v>
      </c>
      <c r="V644">
        <v>-22</v>
      </c>
      <c r="W644" t="str">
        <v>2022/07/15</v>
      </c>
      <c r="X644" t="str">
        <v>3.00</v>
      </c>
      <c r="Y644">
        <v>7.46</v>
      </c>
      <c r="Z644" t="str">
        <v>4.15</v>
      </c>
      <c r="AA644" t="str">
        <v>1.79</v>
      </c>
      <c r="AB644" t="str">
        <v>佳必琪</v>
      </c>
      <c r="AC644" t="str">
        <v>上市電子零組件</v>
      </c>
      <c r="AD644" t="str">
        <v>國內連接器及線束廠</v>
      </c>
      <c r="AE644" t="str">
        <f t="array" ref="AE644:AH644">[1]!'6197.TW-CName,InvestorConferenceDate,DateofMeetingofShareHolders,TradingDate'</f>
        <v>佳必琪</v>
      </c>
      <c r="AF644" t="str">
        <v>2022/12/22</v>
      </c>
      <c r="AG644" t="str">
        <v>2022/06/15</v>
      </c>
      <c r="AH644" t="str">
        <v>2022/12/22</v>
      </c>
    </row>
    <row r="645" spans="1:34" x14ac:dyDescent="0.3">
      <c r="A645" t="str">
        <f t="array" ref="A645:J645">[1]!'6205.TW-ID,Name,MarketValue,Capital,NetIncomeGrowthRate,OperIncomeGrowthRate,FinancialStatementsTime,TFXRatio,MonthlyNetSalesYoY,RevenueMonth'</f>
        <v>6205</v>
      </c>
      <c r="B645" t="str">
        <v>詮欣</v>
      </c>
      <c r="C645" t="str">
        <v>56.8</v>
      </c>
      <c r="D645" t="str">
        <v>7.96</v>
      </c>
      <c r="E645" t="str">
        <v>133.29</v>
      </c>
      <c r="F645" t="str">
        <v>91.42</v>
      </c>
      <c r="G645" t="str">
        <v>2022/09</v>
      </c>
      <c r="H645" t="str">
        <v>-5.29</v>
      </c>
      <c r="I645" t="str">
        <v>9.86</v>
      </c>
      <c r="J645" t="str">
        <v>2022/11</v>
      </c>
      <c r="K645" t="str">
        <f t="array" ref="K645:T645">[1]!'6205.TW-OperatingProfitRatio,Price,PriceChangeRatio,InOutRatioNumber,Value,YearReturn,MonthReturn,WeekReturn,FinanceBalanceDif,ChipsField2'</f>
        <v>15.96</v>
      </c>
      <c r="L645">
        <v>71.400000000000006</v>
      </c>
      <c r="M645">
        <v>1.1299999999999999</v>
      </c>
      <c r="N645" t="str">
        <v>37.86%</v>
      </c>
      <c r="O645" t="str">
        <v>5986萬</v>
      </c>
      <c r="P645" t="str">
        <v>+8.43</v>
      </c>
      <c r="Q645" t="str">
        <v>-8.23</v>
      </c>
      <c r="R645" t="str">
        <v>-3.77</v>
      </c>
      <c r="S645">
        <v>4</v>
      </c>
      <c r="T645">
        <v>327</v>
      </c>
      <c r="U645">
        <f t="array" ref="U645:AD645">[1]!'6205.TW-ChipsField3,ChipsField1,ChipsField25,CashAndStockDividend,CashDividendYieldRate,ProfitFourSeason,ProfitSingle,CName,ExchangeIndustry,CompanyPos'</f>
        <v>0</v>
      </c>
      <c r="V645">
        <v>-168</v>
      </c>
      <c r="W645" t="str">
        <v>2022/07/15</v>
      </c>
      <c r="X645" t="str">
        <v>2.00</v>
      </c>
      <c r="Y645">
        <v>2.8</v>
      </c>
      <c r="Z645" t="str">
        <v>3.63</v>
      </c>
      <c r="AA645" t="str">
        <v>1.09</v>
      </c>
      <c r="AB645" t="str">
        <v>詮欣</v>
      </c>
      <c r="AC645" t="str">
        <v>上市電子零組件</v>
      </c>
      <c r="AD645" t="str">
        <v>專業連接器及連接線廠商</v>
      </c>
      <c r="AE645" t="str">
        <f t="array" ref="AE645:AH645">[1]!'6205.TW-CName,InvestorConferenceDate,DateofMeetingofShareHolders,TradingDate'</f>
        <v>詮欣</v>
      </c>
      <c r="AF645" t="str">
        <v>2021/12/21</v>
      </c>
      <c r="AG645" t="str">
        <v>2022/06/15</v>
      </c>
      <c r="AH645" t="str">
        <v>2022/12/22</v>
      </c>
    </row>
    <row r="646" spans="1:34" x14ac:dyDescent="0.3">
      <c r="A646" t="str">
        <f t="array" ref="A646:J646">[1]!'6213.TW-ID,Name,MarketValue,Capital,NetIncomeGrowthRate,OperIncomeGrowthRate,FinancialStatementsTime,TFXRatio,MonthlyNetSalesYoY,RevenueMonth'</f>
        <v>6213</v>
      </c>
      <c r="B646" t="str">
        <v>聯茂</v>
      </c>
      <c r="C646" t="str">
        <v>259.9</v>
      </c>
      <c r="D646" t="str">
        <v>36.30</v>
      </c>
      <c r="E646" t="str">
        <v>-34.93</v>
      </c>
      <c r="F646" t="str">
        <v>-53.70</v>
      </c>
      <c r="G646" t="str">
        <v>2022/09</v>
      </c>
      <c r="H646" t="str">
        <v>14.82</v>
      </c>
      <c r="I646" t="str">
        <v>-7.10</v>
      </c>
      <c r="J646" t="str">
        <v>2022/11</v>
      </c>
      <c r="K646" t="str">
        <f t="array" ref="K646:T646">[1]!'6213.TW-OperatingProfitRatio,Price,PriceChangeRatio,InOutRatioNumber,Value,YearReturn,MonthReturn,WeekReturn,FinanceBalanceDif,ChipsField2'</f>
        <v>6.48</v>
      </c>
      <c r="L646">
        <v>71.599999999999994</v>
      </c>
      <c r="M646">
        <v>0.85</v>
      </c>
      <c r="N646" t="str">
        <v>39.46%</v>
      </c>
      <c r="O646" t="str">
        <v>6766萬</v>
      </c>
      <c r="P646" t="str">
        <v>-41.72</v>
      </c>
      <c r="Q646" t="str">
        <v>-0.97</v>
      </c>
      <c r="R646" t="str">
        <v>-7.13</v>
      </c>
      <c r="S646">
        <v>-2</v>
      </c>
      <c r="T646">
        <v>0</v>
      </c>
      <c r="U646">
        <f t="array" ref="U646:AD646">[1]!'6213.TW-ChipsField3,ChipsField1,ChipsField25,CashAndStockDividend,CashDividendYieldRate,ProfitFourSeason,ProfitSingle,CName,ExchangeIndustry,CompanyPos'</f>
        <v>-93</v>
      </c>
      <c r="V646">
        <v>-409</v>
      </c>
      <c r="W646" t="str">
        <v>2022/06/30</v>
      </c>
      <c r="X646" t="str">
        <v>5.00</v>
      </c>
      <c r="Y646">
        <v>6.98</v>
      </c>
      <c r="Z646" t="str">
        <v>6.26</v>
      </c>
      <c r="AA646" t="str">
        <v>0.74</v>
      </c>
      <c r="AB646" t="str">
        <v>聯茂</v>
      </c>
      <c r="AC646" t="str">
        <v>上市電子零組件</v>
      </c>
      <c r="AD646" t="str">
        <v>全球前十大銅箔基板廠之一</v>
      </c>
      <c r="AE646" t="str">
        <f t="array" ref="AE646:AH646">[1]!'6213.TW-CName,InvestorConferenceDate,DateofMeetingofShareHolders,TradingDate'</f>
        <v>聯茂</v>
      </c>
      <c r="AF646" t="str">
        <v>2022/08/17</v>
      </c>
      <c r="AG646" t="str">
        <v>2022/06/14</v>
      </c>
      <c r="AH646" t="str">
        <v>2022/12/22</v>
      </c>
    </row>
    <row r="647" spans="1:34" x14ac:dyDescent="0.3">
      <c r="A647" t="str">
        <f t="array" ref="A647:J647">[1]!'6224.TW-ID,Name,MarketValue,Capital,NetIncomeGrowthRate,OperIncomeGrowthRate,FinancialStatementsTime,TFXRatio,MonthlyNetSalesYoY,RevenueMonth'</f>
        <v>6224</v>
      </c>
      <c r="B647" t="str">
        <v>聚鼎</v>
      </c>
      <c r="C647" t="str">
        <v>50.2</v>
      </c>
      <c r="D647" t="str">
        <v>8.56</v>
      </c>
      <c r="E647" t="str">
        <v>-115.96</v>
      </c>
      <c r="F647" t="str">
        <v>-127.08</v>
      </c>
      <c r="G647" t="str">
        <v>2022/09</v>
      </c>
      <c r="H647" t="str">
        <v>6.28</v>
      </c>
      <c r="I647" t="str">
        <v>-9.60</v>
      </c>
      <c r="J647" t="str">
        <v>2022/11</v>
      </c>
      <c r="K647" t="str">
        <f t="array" ref="K647:T647">[1]!'6224.TW-OperatingProfitRatio,Price,PriceChangeRatio,InOutRatioNumber,Value,YearReturn,MonthReturn,WeekReturn,FinanceBalanceDif,ChipsField2'</f>
        <v>-5.41</v>
      </c>
      <c r="L647">
        <v>58.6</v>
      </c>
      <c r="M647">
        <v>0.51</v>
      </c>
      <c r="N647" t="str">
        <v>19.02%</v>
      </c>
      <c r="O647" t="str">
        <v>975萬</v>
      </c>
      <c r="P647" t="str">
        <v>-50.81</v>
      </c>
      <c r="Q647" t="str">
        <v>+6.74</v>
      </c>
      <c r="R647" t="str">
        <v>-3.93</v>
      </c>
      <c r="S647">
        <v>-37</v>
      </c>
      <c r="T647">
        <v>0</v>
      </c>
      <c r="U647">
        <f t="array" ref="U647:AD647">[1]!'6224.TW-ChipsField3,ChipsField1,ChipsField25,CashAndStockDividend,CashDividendYieldRate,ProfitFourSeason,ProfitSingle,CName,ExchangeIndustry,CompanyPos'</f>
        <v>0</v>
      </c>
      <c r="V647">
        <v>-14</v>
      </c>
      <c r="W647" t="str">
        <v>2022/04/21</v>
      </c>
      <c r="X647" t="str">
        <v>4.25</v>
      </c>
      <c r="Y647">
        <v>7.25</v>
      </c>
      <c r="Z647" t="str">
        <v>1.98</v>
      </c>
      <c r="AA647" t="str">
        <v>0.50</v>
      </c>
      <c r="AB647" t="str">
        <v>聚鼎</v>
      </c>
      <c r="AC647" t="str">
        <v>上市電子零組件</v>
      </c>
      <c r="AD647" t="str">
        <v>全球第二大PPTC保護元件大廠</v>
      </c>
      <c r="AE647" t="str">
        <f t="array" ref="AE647:AH647">[1]!'6224.TW-CName,InvestorConferenceDate,DateofMeetingofShareHolders,TradingDate'</f>
        <v>聚鼎</v>
      </c>
      <c r="AF647" t="str">
        <v>2022/12/14</v>
      </c>
      <c r="AG647" t="str">
        <v>2022/06/23</v>
      </c>
      <c r="AH647" t="str">
        <v>2022/12/22</v>
      </c>
    </row>
    <row r="648" spans="1:34" x14ac:dyDescent="0.3">
      <c r="A648" t="str">
        <f t="array" ref="A648:J648">[1]!'6269.TW-ID,Name,MarketValue,Capital,NetIncomeGrowthRate,OperIncomeGrowthRate,FinancialStatementsTime,TFXRatio,MonthlyNetSalesYoY,RevenueMonth'</f>
        <v>6269</v>
      </c>
      <c r="B648" t="str">
        <v>台郡</v>
      </c>
      <c r="C648" t="str">
        <v>322.8</v>
      </c>
      <c r="D648" t="str">
        <v>32.28</v>
      </c>
      <c r="E648" t="str">
        <v>89.62</v>
      </c>
      <c r="F648" t="str">
        <v>60.44</v>
      </c>
      <c r="G648" t="str">
        <v>2022/09</v>
      </c>
      <c r="H648" t="str">
        <v>-19.70</v>
      </c>
      <c r="I648" t="str">
        <v>-18.61</v>
      </c>
      <c r="J648" t="str">
        <v>2022/11</v>
      </c>
      <c r="K648" t="str">
        <f t="array" ref="K648:T648">[1]!'6269.TW-OperatingProfitRatio,Price,PriceChangeRatio,InOutRatioNumber,Value,YearReturn,MonthReturn,WeekReturn,FinanceBalanceDif,ChipsField2'</f>
        <v>9.12</v>
      </c>
      <c r="L648">
        <v>100</v>
      </c>
      <c r="M648">
        <v>0</v>
      </c>
      <c r="N648" t="str">
        <v>40.65%</v>
      </c>
      <c r="O648" t="str">
        <v>8247萬</v>
      </c>
      <c r="P648" t="str">
        <v>+0.65</v>
      </c>
      <c r="Q648" t="str">
        <v>-7.41</v>
      </c>
      <c r="R648" t="str">
        <v>-0.50</v>
      </c>
      <c r="S648">
        <v>-27</v>
      </c>
      <c r="T648">
        <v>18</v>
      </c>
      <c r="U648">
        <f t="array" ref="U648:AD648">[1]!'6269.TW-ChipsField3,ChipsField1,ChipsField25,CashAndStockDividend,CashDividendYieldRate,ProfitFourSeason,ProfitSingle,CName,ExchangeIndustry,CompanyPos'</f>
        <v>17</v>
      </c>
      <c r="V648">
        <v>-15</v>
      </c>
      <c r="W648" t="str">
        <v>2022/06/01</v>
      </c>
      <c r="X648" t="str">
        <v>5.00</v>
      </c>
      <c r="Y648">
        <v>5</v>
      </c>
      <c r="Z648" t="str">
        <v>12.86</v>
      </c>
      <c r="AA648" t="str">
        <v>5.98</v>
      </c>
      <c r="AB648" t="str">
        <v>台郡</v>
      </c>
      <c r="AC648" t="str">
        <v>上市電子零組件</v>
      </c>
      <c r="AD648" t="str">
        <v>台灣前三大軟板廠之一</v>
      </c>
      <c r="AE648" t="str">
        <f t="array" ref="AE648:AH648">[1]!'6269.TW-CName,InvestorConferenceDate,DateofMeetingofShareHolders,TradingDate'</f>
        <v>台郡</v>
      </c>
      <c r="AF648" t="str">
        <v>2022/10/31</v>
      </c>
      <c r="AG648" t="str">
        <v>2022/05/31</v>
      </c>
      <c r="AH648" t="str">
        <v>2022/12/22</v>
      </c>
    </row>
    <row r="649" spans="1:34" x14ac:dyDescent="0.3">
      <c r="A649" t="str">
        <f t="array" ref="A649:J649">[1]!'6282.TW-ID,Name,MarketValue,Capital,NetIncomeGrowthRate,OperIncomeGrowthRate,FinancialStatementsTime,TFXRatio,MonthlyNetSalesYoY,RevenueMonth'</f>
        <v>6282</v>
      </c>
      <c r="B649" t="str">
        <v>康舒</v>
      </c>
      <c r="C649" t="str">
        <v>158.7</v>
      </c>
      <c r="D649" t="str">
        <v>52.63</v>
      </c>
      <c r="E649" t="str">
        <v>38.34</v>
      </c>
      <c r="F649" t="str">
        <v>75.22</v>
      </c>
      <c r="G649" t="str">
        <v>2022/09</v>
      </c>
      <c r="H649" t="str">
        <v>-0.80</v>
      </c>
      <c r="I649" t="str">
        <v>-7.08</v>
      </c>
      <c r="J649" t="str">
        <v>2022/11</v>
      </c>
      <c r="K649" t="str">
        <f t="array" ref="K649:T649">[1]!'6282.TW-OperatingProfitRatio,Price,PriceChangeRatio,InOutRatioNumber,Value,YearReturn,MonthReturn,WeekReturn,FinanceBalanceDif,ChipsField2'</f>
        <v>2.51</v>
      </c>
      <c r="L649">
        <v>30.15</v>
      </c>
      <c r="M649">
        <v>0.5</v>
      </c>
      <c r="N649" t="str">
        <v>51.15%</v>
      </c>
      <c r="O649" t="str">
        <v>7073萬</v>
      </c>
      <c r="P649" t="str">
        <v>-11.48</v>
      </c>
      <c r="Q649" t="str">
        <v>+1.69</v>
      </c>
      <c r="R649" t="str">
        <v>-2.27</v>
      </c>
      <c r="S649">
        <v>-13</v>
      </c>
      <c r="T649">
        <v>0</v>
      </c>
      <c r="U649">
        <f t="array" ref="U649:AD649">[1]!'6282.TW-ChipsField3,ChipsField1,ChipsField25,CashAndStockDividend,CashDividendYieldRate,ProfitFourSeason,ProfitSingle,CName,ExchangeIndustry,CompanyPos'</f>
        <v>411</v>
      </c>
      <c r="V649">
        <v>136</v>
      </c>
      <c r="W649" t="str">
        <v>2022/04/21</v>
      </c>
      <c r="X649" t="str">
        <v>1.00</v>
      </c>
      <c r="Y649">
        <v>3.32</v>
      </c>
      <c r="Z649" t="str">
        <v>1.64</v>
      </c>
      <c r="AA649" t="str">
        <v>0.76</v>
      </c>
      <c r="AB649" t="str">
        <v>康舒</v>
      </c>
      <c r="AC649" t="str">
        <v>上市電子零組件</v>
      </c>
      <c r="AD649" t="str">
        <v>金仁寶集團旗下電源供應器廠，全球排名前十大、台灣前三大</v>
      </c>
      <c r="AE649" t="str">
        <f t="array" ref="AE649:AH649">[1]!'6282.TW-CName,InvestorConferenceDate,DateofMeetingofShareHolders,TradingDate'</f>
        <v>康舒</v>
      </c>
      <c r="AF649" t="str">
        <v>2022/08/16</v>
      </c>
      <c r="AG649" t="str">
        <v>2022/06/22</v>
      </c>
      <c r="AH649" t="str">
        <v>2022/12/22</v>
      </c>
    </row>
    <row r="650" spans="1:34" x14ac:dyDescent="0.3">
      <c r="A650" t="str">
        <f t="array" ref="A650:J650">[1]!'6412.TW-ID,Name,MarketValue,Capital,NetIncomeGrowthRate,OperIncomeGrowthRate,FinancialStatementsTime,TFXRatio,MonthlyNetSalesYoY,RevenueMonth'</f>
        <v>6412</v>
      </c>
      <c r="B650" t="str">
        <v>群電</v>
      </c>
      <c r="C650" t="str">
        <v>287.4</v>
      </c>
      <c r="D650" t="str">
        <v>39.54</v>
      </c>
      <c r="E650" t="str">
        <v>21.12</v>
      </c>
      <c r="F650" t="str">
        <v>15.98</v>
      </c>
      <c r="G650" t="str">
        <v>2022/09</v>
      </c>
      <c r="H650" t="str">
        <v>7.63</v>
      </c>
      <c r="I650" t="str">
        <v>-10.72</v>
      </c>
      <c r="J650" t="str">
        <v>2022/11</v>
      </c>
      <c r="K650" t="str">
        <f t="array" ref="K650:T650">[1]!'6412.TW-OperatingProfitRatio,Price,PriceChangeRatio,InOutRatioNumber,Value,YearReturn,MonthReturn,WeekReturn,FinanceBalanceDif,ChipsField2'</f>
        <v>9.36</v>
      </c>
      <c r="L650">
        <v>72.7</v>
      </c>
      <c r="M650">
        <v>1.1100000000000001</v>
      </c>
      <c r="N650" t="str">
        <v>66.18%</v>
      </c>
      <c r="O650" t="str">
        <v>990萬</v>
      </c>
      <c r="P650" t="str">
        <v>+1.43</v>
      </c>
      <c r="Q650" t="str">
        <v>+0.97</v>
      </c>
      <c r="R650" t="str">
        <v>-3.07</v>
      </c>
      <c r="S650">
        <v>0</v>
      </c>
      <c r="T650">
        <v>38</v>
      </c>
      <c r="U650">
        <f t="array" ref="U650:AD650">[1]!'6412.TW-ChipsField3,ChipsField1,ChipsField25,CashAndStockDividend,CashDividendYieldRate,ProfitFourSeason,ProfitSingle,CName,ExchangeIndustry,CompanyPos'</f>
        <v>-14</v>
      </c>
      <c r="V650">
        <v>12</v>
      </c>
      <c r="W650" t="str">
        <v>2022/04/07</v>
      </c>
      <c r="X650" t="str">
        <v>5.20</v>
      </c>
      <c r="Y650">
        <v>7.15</v>
      </c>
      <c r="Z650" t="str">
        <v>8.29</v>
      </c>
      <c r="AA650" t="str">
        <v>2.44</v>
      </c>
      <c r="AB650" t="str">
        <v>群電</v>
      </c>
      <c r="AC650" t="str">
        <v>上市電子零組件</v>
      </c>
      <c r="AD650" t="str">
        <v>群光轉投資，台灣前三大PC電源供應器廠</v>
      </c>
      <c r="AE650" t="str">
        <f t="array" ref="AE650:AH650">[1]!'6412.TW-CName,InvestorConferenceDate,DateofMeetingofShareHolders,TradingDate'</f>
        <v>群電</v>
      </c>
      <c r="AF650" t="str">
        <v>2022/11/02</v>
      </c>
      <c r="AG650" t="str">
        <v>2022/06/08</v>
      </c>
      <c r="AH650" t="str">
        <v>2022/12/22</v>
      </c>
    </row>
    <row r="651" spans="1:34" x14ac:dyDescent="0.3">
      <c r="A651" t="str">
        <f t="array" ref="A651:J651">[1]!'6449.TW-ID,Name,MarketValue,Capital,NetIncomeGrowthRate,OperIncomeGrowthRate,FinancialStatementsTime,TFXRatio,MonthlyNetSalesYoY,RevenueMonth'</f>
        <v>6449</v>
      </c>
      <c r="B651" t="str">
        <v>鈺邦</v>
      </c>
      <c r="C651" t="str">
        <v>38.5</v>
      </c>
      <c r="D651" t="str">
        <v>8.90</v>
      </c>
      <c r="E651" t="str">
        <v>31.42</v>
      </c>
      <c r="F651" t="str">
        <v>-36.66</v>
      </c>
      <c r="G651" t="str">
        <v>2022/09</v>
      </c>
      <c r="H651" t="str">
        <v>-1.31</v>
      </c>
      <c r="I651" t="str">
        <v>-18.67</v>
      </c>
      <c r="J651" t="str">
        <v>2022/11</v>
      </c>
      <c r="K651" t="str">
        <f t="array" ref="K651:T651">[1]!'6449.TW-OperatingProfitRatio,Price,PriceChangeRatio,InOutRatioNumber,Value,YearReturn,MonthReturn,WeekReturn,FinanceBalanceDif,ChipsField2'</f>
        <v>10.27</v>
      </c>
      <c r="L651">
        <v>43.25</v>
      </c>
      <c r="M651">
        <v>-0.12</v>
      </c>
      <c r="N651" t="str">
        <v>7.69%</v>
      </c>
      <c r="O651" t="str">
        <v>56.3萬</v>
      </c>
      <c r="P651" t="str">
        <v>-20.56</v>
      </c>
      <c r="Q651" t="str">
        <v>+4.98</v>
      </c>
      <c r="R651" t="str">
        <v>-1.48</v>
      </c>
      <c r="S651">
        <v>-1</v>
      </c>
      <c r="T651">
        <v>0</v>
      </c>
      <c r="U651">
        <f t="array" ref="U651:AD651">[1]!'6449.TW-ChipsField3,ChipsField1,ChipsField25,CashAndStockDividend,CashDividendYieldRate,ProfitFourSeason,ProfitSingle,CName,ExchangeIndustry,CompanyPos'</f>
        <v>0</v>
      </c>
      <c r="V651">
        <v>1</v>
      </c>
      <c r="W651" t="str">
        <v>2022/07/11</v>
      </c>
      <c r="X651" t="str">
        <v>2.00</v>
      </c>
      <c r="Y651">
        <v>4.62</v>
      </c>
      <c r="Z651" t="str">
        <v>4.27</v>
      </c>
      <c r="AA651" t="str">
        <v>1.17</v>
      </c>
      <c r="AB651" t="str">
        <v>鈺邦</v>
      </c>
      <c r="AC651" t="str">
        <v>上市電子零組件</v>
      </c>
      <c r="AD651" t="str">
        <v>全台最大及全球前三大固態電容廠</v>
      </c>
      <c r="AE651" t="str">
        <f t="array" ref="AE651:AH651">[1]!'6449.TW-CName,InvestorConferenceDate,DateofMeetingofShareHolders,TradingDate'</f>
        <v>鈺邦</v>
      </c>
      <c r="AF651" t="str">
        <v>2022/12/14</v>
      </c>
      <c r="AG651" t="str">
        <v>2022/06/21</v>
      </c>
      <c r="AH651" t="str">
        <v>2022/12/22</v>
      </c>
    </row>
    <row r="652" spans="1:34" x14ac:dyDescent="0.3">
      <c r="A652" t="str">
        <f t="array" ref="A652:J652">[1]!'6672.TW-ID,Name,MarketValue,Capital,NetIncomeGrowthRate,OperIncomeGrowthRate,FinancialStatementsTime,TFXRatio,MonthlyNetSalesYoY,RevenueMonth'</f>
        <v>6672</v>
      </c>
      <c r="B652" t="str">
        <v>騰輝電子-KY</v>
      </c>
      <c r="C652" t="str">
        <v>53.7</v>
      </c>
      <c r="D652" t="str">
        <v>7.15</v>
      </c>
      <c r="E652" t="str">
        <v>-47.47</v>
      </c>
      <c r="F652" t="str">
        <v>-58.24</v>
      </c>
      <c r="G652" t="str">
        <v>2022/09</v>
      </c>
      <c r="H652" t="str">
        <v>11.92</v>
      </c>
      <c r="I652" t="str">
        <v>-30.77</v>
      </c>
      <c r="J652" t="str">
        <v>2022/11</v>
      </c>
      <c r="K652" t="str">
        <f t="array" ref="K652:T652">[1]!'6672.TW-OperatingProfitRatio,Price,PriceChangeRatio,InOutRatioNumber,Value,YearReturn,MonthReturn,WeekReturn,FinanceBalanceDif,ChipsField2'</f>
        <v>9.00</v>
      </c>
      <c r="L652">
        <v>75.099999999999994</v>
      </c>
      <c r="M652">
        <v>3.44</v>
      </c>
      <c r="N652" t="str">
        <v>67.25%</v>
      </c>
      <c r="O652" t="str">
        <v>3814萬</v>
      </c>
      <c r="P652" t="str">
        <v>-37.61</v>
      </c>
      <c r="Q652" t="str">
        <v>+10.77</v>
      </c>
      <c r="R652" t="str">
        <v>-1.70</v>
      </c>
      <c r="S652">
        <v>-42</v>
      </c>
      <c r="T652">
        <v>0</v>
      </c>
      <c r="U652">
        <f t="array" ref="U652:AD652">[1]!'6672.TW-ChipsField3,ChipsField1,ChipsField25,CashAndStockDividend,CashDividendYieldRate,ProfitFourSeason,ProfitSingle,CName,ExchangeIndustry,CompanyPos'</f>
        <v>-2</v>
      </c>
      <c r="V652">
        <v>48</v>
      </c>
      <c r="W652" t="str">
        <v>2022/06/21</v>
      </c>
      <c r="X652" t="str">
        <v>6.60</v>
      </c>
      <c r="Y652">
        <v>8.7899999999999991</v>
      </c>
      <c r="Z652" t="str">
        <v>6.96</v>
      </c>
      <c r="AA652" t="str">
        <v>1.62</v>
      </c>
      <c r="AB652" t="str">
        <v>騰輝電子-KY</v>
      </c>
      <c r="AC652" t="str">
        <v>上市電子零組件</v>
      </c>
      <c r="AD652" t="str">
        <v>於大陸生產的台資銅箔基板廠</v>
      </c>
      <c r="AE652" t="str">
        <f t="array" ref="AE652:AH652">[1]!'6672.TW-CName,InvestorConferenceDate,DateofMeetingofShareHolders,TradingDate'</f>
        <v>騰輝電子-KY</v>
      </c>
      <c r="AF652" t="str">
        <v>2022/11/29</v>
      </c>
      <c r="AG652" t="str">
        <v>2022/06/17</v>
      </c>
      <c r="AH652" t="str">
        <v>2022/12/22</v>
      </c>
    </row>
    <row r="653" spans="1:34" x14ac:dyDescent="0.3">
      <c r="A653" t="str">
        <f t="array" ref="A653:J653">[1]!'6715.TW-ID,Name,MarketValue,Capital,NetIncomeGrowthRate,OperIncomeGrowthRate,FinancialStatementsTime,TFXRatio,MonthlyNetSalesYoY,RevenueMonth'</f>
        <v>6715</v>
      </c>
      <c r="B653" t="str">
        <v>嘉基</v>
      </c>
      <c r="C653" t="str">
        <v>80.5</v>
      </c>
      <c r="D653" t="str">
        <v>6.19</v>
      </c>
      <c r="E653" t="str">
        <v>238.29</v>
      </c>
      <c r="F653" t="str">
        <v>186.49</v>
      </c>
      <c r="G653" t="str">
        <v>2022/09</v>
      </c>
      <c r="H653" t="str">
        <v>2.21</v>
      </c>
      <c r="I653" t="str">
        <v>56.62</v>
      </c>
      <c r="J653" t="str">
        <v>2022/11</v>
      </c>
      <c r="K653" t="str">
        <f t="array" ref="K653:T653">[1]!'6715.TW-OperatingProfitRatio,Price,PriceChangeRatio,InOutRatioNumber,Value,YearReturn,MonthReturn,WeekReturn,FinanceBalanceDif,ChipsField2'</f>
        <v>20.24</v>
      </c>
      <c r="L653">
        <v>133</v>
      </c>
      <c r="M653">
        <v>1.1399999999999999</v>
      </c>
      <c r="N653" t="str">
        <v>54.99%</v>
      </c>
      <c r="O653" t="str">
        <v>5626萬</v>
      </c>
      <c r="P653" t="str">
        <v>+14.04</v>
      </c>
      <c r="Q653" t="str">
        <v>-1.85</v>
      </c>
      <c r="R653" t="str">
        <v>-10.14</v>
      </c>
      <c r="S653">
        <v>-2</v>
      </c>
      <c r="T653">
        <v>0</v>
      </c>
      <c r="U653">
        <f t="array" ref="U653:AD653">[1]!'6715.TW-ChipsField3,ChipsField1,ChipsField25,CashAndStockDividend,CashDividendYieldRate,ProfitFourSeason,ProfitSingle,CName,ExchangeIndustry,CompanyPos'</f>
        <v>-2</v>
      </c>
      <c r="V653">
        <v>-36</v>
      </c>
      <c r="W653" t="str">
        <v>2022/07/14</v>
      </c>
      <c r="X653" t="str">
        <v>1.80</v>
      </c>
      <c r="Y653">
        <v>1.35</v>
      </c>
      <c r="Z653" t="str">
        <v>8.33</v>
      </c>
      <c r="AA653" t="str">
        <v>3.24</v>
      </c>
      <c r="AB653" t="str">
        <v>嘉基</v>
      </c>
      <c r="AC653" t="str">
        <v>上市電子零組件</v>
      </c>
      <c r="AD653" t="str">
        <v>嘉澤轉投資之高速連接線器廠商</v>
      </c>
      <c r="AE653" t="str">
        <f t="array" ref="AE653:AH653">[1]!'6715.TW-CName,InvestorConferenceDate,DateofMeetingofShareHolders,TradingDate'</f>
        <v>嘉基</v>
      </c>
      <c r="AF653" t="str">
        <v>2021/09/16</v>
      </c>
      <c r="AG653" t="str">
        <v>2022/06/15</v>
      </c>
      <c r="AH653" t="str">
        <v>2022/12/22</v>
      </c>
    </row>
    <row r="654" spans="1:34" x14ac:dyDescent="0.3">
      <c r="A654" t="str">
        <f t="array" ref="A654:J654">[1]!'6781.TW-ID,Name,MarketValue,Capital,NetIncomeGrowthRate,OperIncomeGrowthRate,FinancialStatementsTime,TFXRatio,MonthlyNetSalesYoY,RevenueMonth'</f>
        <v>6781</v>
      </c>
      <c r="B654" t="str">
        <v>AES-KY</v>
      </c>
      <c r="C654" t="str">
        <v>573.2</v>
      </c>
      <c r="D654" t="str">
        <v>8.54</v>
      </c>
      <c r="E654" t="str">
        <v>36.96</v>
      </c>
      <c r="F654" t="str">
        <v>35.68</v>
      </c>
      <c r="G654" t="str">
        <v>2022/09</v>
      </c>
      <c r="H654" t="str">
        <v>-14.37</v>
      </c>
      <c r="I654" t="str">
        <v>0.89</v>
      </c>
      <c r="J654" t="str">
        <v>2022/11</v>
      </c>
      <c r="K654" t="str">
        <f t="array" ref="K654:T654">[1]!'6781.TW-OperatingProfitRatio,Price,PriceChangeRatio,InOutRatioNumber,Value,YearReturn,MonthReturn,WeekReturn,FinanceBalanceDif,ChipsField2'</f>
        <v>26.38</v>
      </c>
      <c r="L654">
        <v>671</v>
      </c>
      <c r="M654">
        <v>-1.76</v>
      </c>
      <c r="N654" t="str">
        <v>45.16%</v>
      </c>
      <c r="O654" t="str">
        <v>7.46億</v>
      </c>
      <c r="P654" t="str">
        <v>-56.49</v>
      </c>
      <c r="Q654" t="str">
        <v>+3.71</v>
      </c>
      <c r="R654" t="str">
        <v>-6.55</v>
      </c>
      <c r="S654">
        <v>-4</v>
      </c>
      <c r="T654">
        <v>-3</v>
      </c>
      <c r="U654">
        <f t="array" ref="U654:AD654">[1]!'6781.TW-ChipsField3,ChipsField1,ChipsField25,CashAndStockDividend,CashDividendYieldRate,ProfitFourSeason,ProfitSingle,CName,ExchangeIndustry,CompanyPos'</f>
        <v>2</v>
      </c>
      <c r="V654">
        <v>-58</v>
      </c>
      <c r="W654" t="str">
        <v>2022/07/13</v>
      </c>
      <c r="X654" t="str">
        <v>15.00</v>
      </c>
      <c r="Y654">
        <v>2.2400000000000002</v>
      </c>
      <c r="Z654" t="str">
        <v>36.93</v>
      </c>
      <c r="AA654" t="str">
        <v>10.70</v>
      </c>
      <c r="AB654" t="str">
        <v>AES-KY</v>
      </c>
      <c r="AC654" t="str">
        <v>上市電子零組件</v>
      </c>
      <c r="AD654" t="str">
        <v>新普轉投資之鋰電池模組製造商</v>
      </c>
      <c r="AE654" t="str">
        <f t="array" ref="AE654:AH654">[1]!'6781.TW-CName,InvestorConferenceDate,DateofMeetingofShareHolders,TradingDate'</f>
        <v>AES-KY</v>
      </c>
      <c r="AF654" t="str">
        <v>--</v>
      </c>
      <c r="AG654" t="str">
        <v>2022/06/14</v>
      </c>
      <c r="AH654" t="str">
        <v>2022/12/22</v>
      </c>
    </row>
    <row r="655" spans="1:34" x14ac:dyDescent="0.3">
      <c r="A655" t="str">
        <f t="array" ref="A655:J655">[1]!'6834.TW-ID,Name,MarketValue,Capital,NetIncomeGrowthRate,OperIncomeGrowthRate,FinancialStatementsTime,TFXRatio,MonthlyNetSalesYoY,RevenueMonth'</f>
        <v>6834</v>
      </c>
      <c r="B655" t="str">
        <v>天二科技</v>
      </c>
      <c r="C655" t="str">
        <v>22.5</v>
      </c>
      <c r="D655" t="str">
        <v>8.85</v>
      </c>
      <c r="E655" t="str">
        <v>-4.42</v>
      </c>
      <c r="F655" t="str">
        <v>-45.76</v>
      </c>
      <c r="G655" t="str">
        <v>2022/09</v>
      </c>
      <c r="H655" t="str">
        <v>2.40</v>
      </c>
      <c r="I655" t="str">
        <v>-40.75</v>
      </c>
      <c r="J655" t="str">
        <v>2022/11</v>
      </c>
      <c r="K655" t="str">
        <f t="array" ref="K655:T655">[1]!'6834.TW-OperatingProfitRatio,Price,PriceChangeRatio,InOutRatioNumber,Value,YearReturn,MonthReturn,WeekReturn,FinanceBalanceDif,ChipsField2'</f>
        <v>9.36</v>
      </c>
      <c r="L655">
        <v>25.45</v>
      </c>
      <c r="M655">
        <v>0.59</v>
      </c>
      <c r="N655" t="str">
        <v>40.00%</v>
      </c>
      <c r="O655" t="str">
        <v>12.7萬</v>
      </c>
      <c r="P655" t="str">
        <v>--</v>
      </c>
      <c r="Q655" t="str">
        <v>+3.46</v>
      </c>
      <c r="R655" t="str">
        <v>-2.30</v>
      </c>
      <c r="S655">
        <v>0</v>
      </c>
      <c r="T655">
        <v>0</v>
      </c>
      <c r="U655">
        <f t="array" ref="U655:AD655">[1]!'6834.TW-ChipsField3,ChipsField1,ChipsField25,CashAndStockDividend,CashDividendYieldRate,ProfitFourSeason,ProfitSingle,CName,ExchangeIndustry,CompanyPos'</f>
        <v>0</v>
      </c>
      <c r="V655">
        <v>0</v>
      </c>
      <c r="W655" t="str">
        <v>2022/06/14</v>
      </c>
      <c r="X655" t="str">
        <v>1.60</v>
      </c>
      <c r="Y655">
        <v>6.29</v>
      </c>
      <c r="Z655" t="str">
        <v>2.15</v>
      </c>
      <c r="AA655" t="str">
        <v>0.31</v>
      </c>
      <c r="AB655" t="str">
        <v>天二科技</v>
      </c>
      <c r="AC655" t="str">
        <v>上市電子零組件</v>
      </c>
      <c r="AD655" t="str">
        <v>被動元件貼片電阻製造商</v>
      </c>
      <c r="AE655" t="str">
        <f t="array" ref="AE655:AH655">[1]!'6834.TW-CName,InvestorConferenceDate,DateofMeetingofShareHolders,TradingDate'</f>
        <v>天二科技</v>
      </c>
      <c r="AF655" t="str">
        <v>--</v>
      </c>
      <c r="AG655" t="str">
        <v>2022/05/26</v>
      </c>
      <c r="AH655" t="str">
        <v>2022/12/22</v>
      </c>
    </row>
    <row r="656" spans="1:34" x14ac:dyDescent="0.3">
      <c r="A656" t="str">
        <f t="array" ref="A656:J656">[1]!'6835.TW-ID,Name,MarketValue,Capital,NetIncomeGrowthRate,OperIncomeGrowthRate,FinancialStatementsTime,TFXRatio,MonthlyNetSalesYoY,RevenueMonth'</f>
        <v>6835</v>
      </c>
      <c r="B656" t="str">
        <v>圓裕</v>
      </c>
      <c r="C656" t="str">
        <v>26.5</v>
      </c>
      <c r="D656" t="str">
        <v>6.62</v>
      </c>
      <c r="E656" t="str">
        <v>131.91</v>
      </c>
      <c r="F656" t="str">
        <v>42.99</v>
      </c>
      <c r="G656" t="str">
        <v>2022/09</v>
      </c>
      <c r="H656" t="str">
        <v>7.53</v>
      </c>
      <c r="I656" t="str">
        <v>-12.96</v>
      </c>
      <c r="J656" t="str">
        <v>2022/11</v>
      </c>
      <c r="K656" t="str">
        <f t="array" ref="K656:T656">[1]!'6835.TW-OperatingProfitRatio,Price,PriceChangeRatio,InOutRatioNumber,Value,YearReturn,MonthReturn,WeekReturn,FinanceBalanceDif,ChipsField2'</f>
        <v>9.04</v>
      </c>
      <c r="L656">
        <v>40</v>
      </c>
      <c r="M656">
        <v>9.59</v>
      </c>
      <c r="N656" t="str">
        <v>77.03%</v>
      </c>
      <c r="O656" t="str">
        <v>2537萬</v>
      </c>
      <c r="P656" t="str">
        <v>--</v>
      </c>
      <c r="Q656" t="str">
        <v>0.00</v>
      </c>
      <c r="R656" t="str">
        <v>+2.56</v>
      </c>
      <c r="S656">
        <v>0</v>
      </c>
      <c r="T656">
        <v>0</v>
      </c>
      <c r="U656">
        <f t="array" ref="U656:AD656">[1]!'6835.TW-ChipsField3,ChipsField1,ChipsField25,CashAndStockDividend,CashDividendYieldRate,ProfitFourSeason,ProfitSingle,CName,ExchangeIndustry,CompanyPos'</f>
        <v>-27</v>
      </c>
      <c r="V656">
        <v>-3</v>
      </c>
      <c r="W656" t="str">
        <v>2022/07/04</v>
      </c>
      <c r="X656" t="str">
        <v>2.00</v>
      </c>
      <c r="Y656">
        <v>5</v>
      </c>
      <c r="Z656" t="str">
        <v>--</v>
      </c>
      <c r="AA656" t="str">
        <v>1.81</v>
      </c>
      <c r="AB656" t="str">
        <v>圓裕</v>
      </c>
      <c r="AC656" t="str">
        <v>上市電子零組件</v>
      </c>
      <c r="AD656" t="str">
        <v>台灣軟板及連接線組製造商</v>
      </c>
      <c r="AE656" t="str">
        <f t="array" ref="AE656:AH656">[1]!'6835.TW-CName,InvestorConferenceDate,DateofMeetingofShareHolders,TradingDate'</f>
        <v>圓裕</v>
      </c>
      <c r="AF656" t="str">
        <v>2021/07/27</v>
      </c>
      <c r="AG656" t="str">
        <v>2022/06/27</v>
      </c>
      <c r="AH656" t="str">
        <v>2022/12/22</v>
      </c>
    </row>
    <row r="657" spans="1:34" x14ac:dyDescent="0.3">
      <c r="A657" t="str">
        <f t="array" ref="A657:J657">[1]!'8039.TW-ID,Name,MarketValue,Capital,NetIncomeGrowthRate,OperIncomeGrowthRate,FinancialStatementsTime,TFXRatio,MonthlyNetSalesYoY,RevenueMonth'</f>
        <v>8039</v>
      </c>
      <c r="B657" t="str">
        <v>台虹</v>
      </c>
      <c r="C657" t="str">
        <v>86.3</v>
      </c>
      <c r="D657" t="str">
        <v>20.91</v>
      </c>
      <c r="E657" t="str">
        <v>10.20</v>
      </c>
      <c r="F657" t="str">
        <v>-30.05</v>
      </c>
      <c r="G657" t="str">
        <v>2022/09</v>
      </c>
      <c r="H657" t="str">
        <v>-24.20</v>
      </c>
      <c r="I657" t="str">
        <v>-15.21</v>
      </c>
      <c r="J657" t="str">
        <v>2022/11</v>
      </c>
      <c r="K657" t="str">
        <f t="array" ref="K657:T657">[1]!'8039.TW-OperatingProfitRatio,Price,PriceChangeRatio,InOutRatioNumber,Value,YearReturn,MonthReturn,WeekReturn,FinanceBalanceDif,ChipsField2'</f>
        <v>8.26</v>
      </c>
      <c r="L657">
        <v>41.25</v>
      </c>
      <c r="M657">
        <v>0.12</v>
      </c>
      <c r="N657" t="str">
        <v>8.18%</v>
      </c>
      <c r="O657" t="str">
        <v>463萬</v>
      </c>
      <c r="P657" t="str">
        <v>-4.82</v>
      </c>
      <c r="Q657" t="str">
        <v>-1.67</v>
      </c>
      <c r="R657" t="str">
        <v>-0.84</v>
      </c>
      <c r="S657">
        <v>-4</v>
      </c>
      <c r="T657">
        <v>0</v>
      </c>
      <c r="U657">
        <f t="array" ref="U657:AD657">[1]!'8039.TW-ChipsField3,ChipsField1,ChipsField25,CashAndStockDividend,CashDividendYieldRate,ProfitFourSeason,ProfitSingle,CName,ExchangeIndustry,CompanyPos'</f>
        <v>3</v>
      </c>
      <c r="V657">
        <v>-84</v>
      </c>
      <c r="W657" t="str">
        <v>2022/07/20</v>
      </c>
      <c r="X657" t="str">
        <v>2.50</v>
      </c>
      <c r="Y657">
        <v>6.06</v>
      </c>
      <c r="Z657" t="str">
        <v>3.87</v>
      </c>
      <c r="AA657" t="str">
        <v>1.23</v>
      </c>
      <c r="AB657" t="str">
        <v>台虹</v>
      </c>
      <c r="AC657" t="str">
        <v>上市電子零組件</v>
      </c>
      <c r="AD657" t="str">
        <v>全球前三大FCCL製造商</v>
      </c>
      <c r="AE657" t="str">
        <f t="array" ref="AE657:AH657">[1]!'8039.TW-CName,InvestorConferenceDate,DateofMeetingofShareHolders,TradingDate'</f>
        <v>台虹</v>
      </c>
      <c r="AF657" t="str">
        <v>2022/12/02</v>
      </c>
      <c r="AG657" t="str">
        <v>2022/05/26</v>
      </c>
      <c r="AH657" t="str">
        <v>2022/12/22</v>
      </c>
    </row>
    <row r="658" spans="1:34" x14ac:dyDescent="0.3">
      <c r="A658" t="str">
        <f t="array" ref="A658:J658">[1]!'8046.TW-ID,Name,MarketValue,Capital,NetIncomeGrowthRate,OperIncomeGrowthRate,FinancialStatementsTime,TFXRatio,MonthlyNetSalesYoY,RevenueMonth'</f>
        <v>8046</v>
      </c>
      <c r="B658" t="str">
        <v>南電</v>
      </c>
      <c r="C658" t="str">
        <v>1570.2</v>
      </c>
      <c r="D658" t="str">
        <v>64.62</v>
      </c>
      <c r="E658" t="str">
        <v>103.00</v>
      </c>
      <c r="F658" t="str">
        <v>95.74</v>
      </c>
      <c r="G658" t="str">
        <v>2022/09</v>
      </c>
      <c r="H658" t="str">
        <v>-0.85</v>
      </c>
      <c r="I658" t="str">
        <v>25.01</v>
      </c>
      <c r="J658" t="str">
        <v>2022/11</v>
      </c>
      <c r="K658" t="str">
        <f t="array" ref="K658:T658">[1]!'8046.TW-OperatingProfitRatio,Price,PriceChangeRatio,InOutRatioNumber,Value,YearReturn,MonthReturn,WeekReturn,FinanceBalanceDif,ChipsField2'</f>
        <v>35.39</v>
      </c>
      <c r="L658">
        <v>243</v>
      </c>
      <c r="M658">
        <v>2.5299999999999998</v>
      </c>
      <c r="N658" t="str">
        <v>56.19%</v>
      </c>
      <c r="O658" t="str">
        <v>30.3億</v>
      </c>
      <c r="P658" t="str">
        <v>-56.38</v>
      </c>
      <c r="Q658" t="str">
        <v>-6.90</v>
      </c>
      <c r="R658" t="str">
        <v>-11.31</v>
      </c>
      <c r="S658">
        <v>223</v>
      </c>
      <c r="T658">
        <v>2485</v>
      </c>
      <c r="U658">
        <f t="array" ref="U658:AD658">[1]!'8046.TW-ChipsField3,ChipsField1,ChipsField25,CashAndStockDividend,CashDividendYieldRate,ProfitFourSeason,ProfitSingle,CName,ExchangeIndustry,CompanyPos'</f>
        <v>346</v>
      </c>
      <c r="V658">
        <v>-5556</v>
      </c>
      <c r="W658" t="str">
        <v>2022/06/29</v>
      </c>
      <c r="X658" t="str">
        <v>10.00</v>
      </c>
      <c r="Y658">
        <v>4.12</v>
      </c>
      <c r="Z658" t="str">
        <v>27.58</v>
      </c>
      <c r="AA658" t="str">
        <v>8.54</v>
      </c>
      <c r="AB658" t="str">
        <v>南電</v>
      </c>
      <c r="AC658" t="str">
        <v>上市電子零組件</v>
      </c>
      <c r="AD658" t="str">
        <v>全球最大覆晶載板(FC)廠商</v>
      </c>
      <c r="AE658" t="str">
        <f t="array" ref="AE658:AH658">[1]!'8046.TW-CName,InvestorConferenceDate,DateofMeetingofShareHolders,TradingDate'</f>
        <v>南電</v>
      </c>
      <c r="AF658" t="str">
        <v>2022/11/10</v>
      </c>
      <c r="AG658" t="str">
        <v>2022/05/27</v>
      </c>
      <c r="AH658" t="str">
        <v>2022/12/22</v>
      </c>
    </row>
    <row r="659" spans="1:34" x14ac:dyDescent="0.3">
      <c r="A659" t="str">
        <f t="array" ref="A659:J659">[1]!'8103.TW-ID,Name,MarketValue,Capital,NetIncomeGrowthRate,OperIncomeGrowthRate,FinancialStatementsTime,TFXRatio,MonthlyNetSalesYoY,RevenueMonth'</f>
        <v>8103</v>
      </c>
      <c r="B659" t="str">
        <v>瀚荃</v>
      </c>
      <c r="C659" t="str">
        <v>25.2</v>
      </c>
      <c r="D659" t="str">
        <v>7.90</v>
      </c>
      <c r="E659" t="str">
        <v>18.35</v>
      </c>
      <c r="F659" t="str">
        <v>-23.70</v>
      </c>
      <c r="G659" t="str">
        <v>2022/09</v>
      </c>
      <c r="H659" t="str">
        <v>-14.41</v>
      </c>
      <c r="I659" t="str">
        <v>-40.89</v>
      </c>
      <c r="J659" t="str">
        <v>2022/11</v>
      </c>
      <c r="K659" t="str">
        <f t="array" ref="K659:T659">[1]!'8103.TW-OperatingProfitRatio,Price,PriceChangeRatio,InOutRatioNumber,Value,YearReturn,MonthReturn,WeekReturn,FinanceBalanceDif,ChipsField2'</f>
        <v>10.73</v>
      </c>
      <c r="L659">
        <v>31.9</v>
      </c>
      <c r="M659">
        <v>0</v>
      </c>
      <c r="N659" t="str">
        <v>28.95%</v>
      </c>
      <c r="O659" t="str">
        <v>122萬</v>
      </c>
      <c r="P659" t="str">
        <v>-29.83</v>
      </c>
      <c r="Q659" t="str">
        <v>-0.31</v>
      </c>
      <c r="R659" t="str">
        <v>-1.54</v>
      </c>
      <c r="S659">
        <v>0</v>
      </c>
      <c r="T659">
        <v>0</v>
      </c>
      <c r="U659">
        <f t="array" ref="U659:AD659">[1]!'8103.TW-ChipsField3,ChipsField1,ChipsField25,CashAndStockDividend,CashDividendYieldRate,ProfitFourSeason,ProfitSingle,CName,ExchangeIndustry,CompanyPos'</f>
        <v>-9</v>
      </c>
      <c r="V659">
        <v>-5</v>
      </c>
      <c r="W659" t="str">
        <v>2022/08/05</v>
      </c>
      <c r="X659" t="str">
        <v>2.00</v>
      </c>
      <c r="Y659">
        <v>6.27</v>
      </c>
      <c r="Z659" t="str">
        <v>4.92</v>
      </c>
      <c r="AA659" t="str">
        <v>1.32</v>
      </c>
      <c r="AB659" t="str">
        <v>瀚荃</v>
      </c>
      <c r="AC659" t="str">
        <v>上市電子零組件</v>
      </c>
      <c r="AD659" t="str">
        <v>各種應用之連接器及線纜組件廠</v>
      </c>
      <c r="AE659" t="str">
        <f t="array" ref="AE659:AH659">[1]!'8103.TW-CName,InvestorConferenceDate,DateofMeetingofShareHolders,TradingDate'</f>
        <v>瀚荃</v>
      </c>
      <c r="AF659" t="str">
        <v>2022/12/16</v>
      </c>
      <c r="AG659" t="str">
        <v>2022/06/23</v>
      </c>
      <c r="AH659" t="str">
        <v>2022/12/22</v>
      </c>
    </row>
    <row r="660" spans="1:34" x14ac:dyDescent="0.3">
      <c r="A660" t="str">
        <f t="array" ref="A660:J660">[1]!'8213.TW-ID,Name,MarketValue,Capital,NetIncomeGrowthRate,OperIncomeGrowthRate,FinancialStatementsTime,TFXRatio,MonthlyNetSalesYoY,RevenueMonth'</f>
        <v>8213</v>
      </c>
      <c r="B660" t="str">
        <v>志超</v>
      </c>
      <c r="C660" t="str">
        <v>98.7</v>
      </c>
      <c r="D660" t="str">
        <v>27.12</v>
      </c>
      <c r="E660" t="str">
        <v>-11.69</v>
      </c>
      <c r="F660" t="str">
        <v>-27.80</v>
      </c>
      <c r="G660" t="str">
        <v>2022/09</v>
      </c>
      <c r="H660" t="str">
        <v>15.82</v>
      </c>
      <c r="I660" t="str">
        <v>-30.16</v>
      </c>
      <c r="J660" t="str">
        <v>2022/11</v>
      </c>
      <c r="K660" t="str">
        <f t="array" ref="K660:T660">[1]!'8213.TW-OperatingProfitRatio,Price,PriceChangeRatio,InOutRatioNumber,Value,YearReturn,MonthReturn,WeekReturn,FinanceBalanceDif,ChipsField2'</f>
        <v>7.28</v>
      </c>
      <c r="L660">
        <v>36.4</v>
      </c>
      <c r="M660">
        <v>0.55000000000000004</v>
      </c>
      <c r="N660" t="str">
        <v>49.66%</v>
      </c>
      <c r="O660" t="str">
        <v>542萬</v>
      </c>
      <c r="P660" t="str">
        <v>-14.46</v>
      </c>
      <c r="Q660" t="str">
        <v>+2.10</v>
      </c>
      <c r="R660" t="str">
        <v>-0.82</v>
      </c>
      <c r="S660">
        <v>-6</v>
      </c>
      <c r="T660">
        <v>0</v>
      </c>
      <c r="U660">
        <f t="array" ref="U660:AD660">[1]!'8213.TW-ChipsField3,ChipsField1,ChipsField25,CashAndStockDividend,CashDividendYieldRate,ProfitFourSeason,ProfitSingle,CName,ExchangeIndustry,CompanyPos'</f>
        <v>-11</v>
      </c>
      <c r="V660">
        <v>-18</v>
      </c>
      <c r="W660" t="str">
        <v>2022/06/23</v>
      </c>
      <c r="X660" t="str">
        <v>5.00</v>
      </c>
      <c r="Y660">
        <v>13.74</v>
      </c>
      <c r="Z660" t="str">
        <v>7.81</v>
      </c>
      <c r="AA660" t="str">
        <v>1.13</v>
      </c>
      <c r="AB660" t="str">
        <v>志超</v>
      </c>
      <c r="AC660" t="str">
        <v>上市電子零組件</v>
      </c>
      <c r="AD660" t="str">
        <v>全球最大光電板廠商</v>
      </c>
      <c r="AE660" t="str">
        <f t="array" ref="AE660:AH660">[1]!'8213.TW-CName,InvestorConferenceDate,DateofMeetingofShareHolders,TradingDate'</f>
        <v>志超</v>
      </c>
      <c r="AF660" t="str">
        <v>2022/11/09</v>
      </c>
      <c r="AG660" t="str">
        <v>2022/06/08</v>
      </c>
      <c r="AH660" t="str">
        <v>2022/12/22</v>
      </c>
    </row>
    <row r="661" spans="1:34" x14ac:dyDescent="0.3">
      <c r="A661" t="str">
        <f t="array" ref="A661:J661">[1]!'8249.TW-ID,Name,MarketValue,Capital,NetIncomeGrowthRate,OperIncomeGrowthRate,FinancialStatementsTime,TFXRatio,MonthlyNetSalesYoY,RevenueMonth'</f>
        <v>8249</v>
      </c>
      <c r="B661" t="str">
        <v>菱光</v>
      </c>
      <c r="C661" t="str">
        <v>34.4</v>
      </c>
      <c r="D661" t="str">
        <v>14.91</v>
      </c>
      <c r="E661" t="str">
        <v>99.21</v>
      </c>
      <c r="F661" t="str">
        <v>38.48</v>
      </c>
      <c r="G661" t="str">
        <v>2022/09</v>
      </c>
      <c r="H661" t="str">
        <v>7.90</v>
      </c>
      <c r="I661" t="str">
        <v>62.80</v>
      </c>
      <c r="J661" t="str">
        <v>2022/11</v>
      </c>
      <c r="K661" t="str">
        <f t="array" ref="K661:T661">[1]!'8249.TW-OperatingProfitRatio,Price,PriceChangeRatio,InOutRatioNumber,Value,YearReturn,MonthReturn,WeekReturn,FinanceBalanceDif,ChipsField2'</f>
        <v>8.20</v>
      </c>
      <c r="L661">
        <v>27.1</v>
      </c>
      <c r="M661">
        <v>0.74</v>
      </c>
      <c r="N661" t="str">
        <v>33.33%</v>
      </c>
      <c r="O661" t="str">
        <v>319萬</v>
      </c>
      <c r="P661" t="str">
        <v>+17.27</v>
      </c>
      <c r="Q661" t="str">
        <v>-1.09</v>
      </c>
      <c r="R661" t="str">
        <v>-3.56</v>
      </c>
      <c r="S661">
        <v>-29</v>
      </c>
      <c r="T661">
        <v>0</v>
      </c>
      <c r="U661">
        <f t="array" ref="U661:AD661">[1]!'8249.TW-ChipsField3,ChipsField1,ChipsField25,CashAndStockDividend,CashDividendYieldRate,ProfitFourSeason,ProfitSingle,CName,ExchangeIndustry,CompanyPos'</f>
        <v>-7</v>
      </c>
      <c r="V661">
        <v>28</v>
      </c>
      <c r="W661" t="str">
        <v>2022/07/14</v>
      </c>
      <c r="X661" t="str">
        <v>1.29</v>
      </c>
      <c r="Y661">
        <v>4.76</v>
      </c>
      <c r="Z661" t="str">
        <v>3.10</v>
      </c>
      <c r="AA661" t="str">
        <v>2.30</v>
      </c>
      <c r="AB661" t="str">
        <v>菱光</v>
      </c>
      <c r="AC661" t="str">
        <v>上市電子零組件</v>
      </c>
      <c r="AD661" t="str">
        <v>全球彩色接觸式CIS龍頭廠</v>
      </c>
      <c r="AE661" t="str">
        <f t="array" ref="AE661:AH661">[1]!'8249.TW-CName,InvestorConferenceDate,DateofMeetingofShareHolders,TradingDate'</f>
        <v>菱光</v>
      </c>
      <c r="AF661" t="str">
        <v>2022/12/08</v>
      </c>
      <c r="AG661" t="str">
        <v>2022/11/29</v>
      </c>
      <c r="AH661" t="str">
        <v>2022/12/22</v>
      </c>
    </row>
    <row r="662" spans="1:34" x14ac:dyDescent="0.3">
      <c r="A662" t="str">
        <f t="array" ref="A662:J662">[1]!'2347.TW-ID,Name,MarketValue,Capital,NetIncomeGrowthRate,OperIncomeGrowthRate,FinancialStatementsTime,TFXRatio,MonthlyNetSalesYoY,RevenueMonth'</f>
        <v>2347</v>
      </c>
      <c r="B662" t="str">
        <v>聯強</v>
      </c>
      <c r="C662" t="str">
        <v>1025.8</v>
      </c>
      <c r="D662" t="str">
        <v>166.79</v>
      </c>
      <c r="E662" t="str">
        <v>-6.25</v>
      </c>
      <c r="F662" t="str">
        <v>-3.62</v>
      </c>
      <c r="G662" t="str">
        <v>2022/09</v>
      </c>
      <c r="H662" t="str">
        <v>-2.46</v>
      </c>
      <c r="I662" t="str">
        <v>-11.62</v>
      </c>
      <c r="J662" t="str">
        <v>2022/11</v>
      </c>
      <c r="K662" t="str">
        <f t="array" ref="K662:T662">[1]!'2347.TW-OperatingProfitRatio,Price,PriceChangeRatio,InOutRatioNumber,Value,YearReturn,MonthReturn,WeekReturn,FinanceBalanceDif,ChipsField2'</f>
        <v>2.01</v>
      </c>
      <c r="L662">
        <v>61.5</v>
      </c>
      <c r="M662">
        <v>0.49</v>
      </c>
      <c r="N662" t="str">
        <v>87.17%</v>
      </c>
      <c r="O662" t="str">
        <v>6.85億</v>
      </c>
      <c r="P662" t="str">
        <v>+1.88</v>
      </c>
      <c r="Q662" t="str">
        <v>+8.66</v>
      </c>
      <c r="R662" t="str">
        <v>+2.67</v>
      </c>
      <c r="S662">
        <v>75</v>
      </c>
      <c r="T662">
        <v>-268</v>
      </c>
      <c r="U662">
        <f t="array" ref="U662:AD662">[1]!'2347.TW-ChipsField3,ChipsField1,ChipsField25,CashAndStockDividend,CashDividendYieldRate,ProfitFourSeason,ProfitSingle,CName,ExchangeIndustry,CompanyPos'</f>
        <v>-48</v>
      </c>
      <c r="V662">
        <v>436</v>
      </c>
      <c r="W662" t="str">
        <v>2022/06/09</v>
      </c>
      <c r="X662" t="str">
        <v>5.00</v>
      </c>
      <c r="Y662">
        <v>8.1300000000000008</v>
      </c>
      <c r="Z662" t="str">
        <v>9.79</v>
      </c>
      <c r="AA662" t="str">
        <v>5.01</v>
      </c>
      <c r="AB662" t="str">
        <v>聯強</v>
      </c>
      <c r="AC662" t="str">
        <v>上市電子通路</v>
      </c>
      <c r="AD662" t="str">
        <v>亞太最大、全球前三大3C專業通路商</v>
      </c>
      <c r="AE662" t="str">
        <f t="array" ref="AE662:AH662">[1]!'2347.TW-CName,InvestorConferenceDate,DateofMeetingofShareHolders,TradingDate'</f>
        <v>聯強</v>
      </c>
      <c r="AF662" t="str">
        <v>2022/11/07</v>
      </c>
      <c r="AG662" t="str">
        <v>2022/05/30</v>
      </c>
      <c r="AH662" t="str">
        <v>2022/12/22</v>
      </c>
    </row>
    <row r="663" spans="1:34" x14ac:dyDescent="0.3">
      <c r="A663" t="str">
        <f t="array" ref="A663:J663">[1]!'2414.TW-ID,Name,MarketValue,Capital,NetIncomeGrowthRate,OperIncomeGrowthRate,FinancialStatementsTime,TFXRatio,MonthlyNetSalesYoY,RevenueMonth'</f>
        <v>2414</v>
      </c>
      <c r="B663" t="str">
        <v>精技</v>
      </c>
      <c r="C663" t="str">
        <v>49.1</v>
      </c>
      <c r="D663" t="str">
        <v>16.17</v>
      </c>
      <c r="E663" t="str">
        <v>1.73</v>
      </c>
      <c r="F663" t="str">
        <v>-2.41</v>
      </c>
      <c r="G663" t="str">
        <v>2022/09</v>
      </c>
      <c r="H663" t="str">
        <v>-9.59</v>
      </c>
      <c r="I663" t="str">
        <v>-0.31</v>
      </c>
      <c r="J663" t="str">
        <v>2022/11</v>
      </c>
      <c r="K663" t="str">
        <f t="array" ref="K663:T663">[1]!'2414.TW-OperatingProfitRatio,Price,PriceChangeRatio,InOutRatioNumber,Value,YearReturn,MonthReturn,WeekReturn,FinanceBalanceDif,ChipsField2'</f>
        <v>3.14</v>
      </c>
      <c r="L663">
        <v>30.35</v>
      </c>
      <c r="M663">
        <v>0.17</v>
      </c>
      <c r="N663" t="str">
        <v>26.09%</v>
      </c>
      <c r="O663" t="str">
        <v>143萬</v>
      </c>
      <c r="P663" t="str">
        <v>-11.35</v>
      </c>
      <c r="Q663" t="str">
        <v>0.00</v>
      </c>
      <c r="R663" t="str">
        <v>-0.33</v>
      </c>
      <c r="S663">
        <v>0</v>
      </c>
      <c r="T663">
        <v>0</v>
      </c>
      <c r="U663">
        <f t="array" ref="U663:AD663">[1]!'2414.TW-ChipsField3,ChipsField1,ChipsField25,CashAndStockDividend,CashDividendYieldRate,ProfitFourSeason,ProfitSingle,CName,ExchangeIndustry,CompanyPos'</f>
        <v>-1</v>
      </c>
      <c r="V663">
        <v>-17</v>
      </c>
      <c r="W663" t="str">
        <v>2022/07/25</v>
      </c>
      <c r="X663" t="str">
        <v>2.80</v>
      </c>
      <c r="Y663">
        <v>9.23</v>
      </c>
      <c r="Z663" t="str">
        <v>3.33</v>
      </c>
      <c r="AA663" t="str">
        <v>0.97</v>
      </c>
      <c r="AB663" t="str">
        <v>精技</v>
      </c>
      <c r="AC663" t="str">
        <v>上市電子通路</v>
      </c>
      <c r="AD663" t="str">
        <v>台灣前三大資訊通路經營商</v>
      </c>
      <c r="AE663" t="str">
        <f t="array" ref="AE663:AH663">[1]!'2414.TW-CName,InvestorConferenceDate,DateofMeetingofShareHolders,TradingDate'</f>
        <v>精技</v>
      </c>
      <c r="AF663" t="str">
        <v>2022/08/09</v>
      </c>
      <c r="AG663" t="str">
        <v>2022/06/22</v>
      </c>
      <c r="AH663" t="str">
        <v>2022/12/22</v>
      </c>
    </row>
    <row r="664" spans="1:34" x14ac:dyDescent="0.3">
      <c r="A664" t="str">
        <f t="array" ref="A664:J664">[1]!'2430.TW-ID,Name,MarketValue,Capital,NetIncomeGrowthRate,OperIncomeGrowthRate,FinancialStatementsTime,TFXRatio,MonthlyNetSalesYoY,RevenueMonth'</f>
        <v>2430</v>
      </c>
      <c r="B664" t="str">
        <v>燦坤</v>
      </c>
      <c r="C664" t="str">
        <v>48.9</v>
      </c>
      <c r="D664" t="str">
        <v>11.68</v>
      </c>
      <c r="E664" t="str">
        <v>2.91</v>
      </c>
      <c r="F664" t="str">
        <v>-1.05</v>
      </c>
      <c r="G664" t="str">
        <v>2022/09</v>
      </c>
      <c r="H664" t="str">
        <v>-0.84</v>
      </c>
      <c r="I664" t="str">
        <v>-16.62</v>
      </c>
      <c r="J664" t="str">
        <v>2022/11</v>
      </c>
      <c r="K664" t="str">
        <f t="array" ref="K664:T664">[1]!'2430.TW-OperatingProfitRatio,Price,PriceChangeRatio,InOutRatioNumber,Value,YearReturn,MonthReturn,WeekReturn,FinanceBalanceDif,ChipsField2'</f>
        <v>3.33</v>
      </c>
      <c r="L664">
        <v>41.85</v>
      </c>
      <c r="M664">
        <v>0.84</v>
      </c>
      <c r="N664" t="str">
        <v>14.29%</v>
      </c>
      <c r="O664" t="str">
        <v>117萬</v>
      </c>
      <c r="P664" t="str">
        <v>-6.10</v>
      </c>
      <c r="Q664" t="str">
        <v>+1.82</v>
      </c>
      <c r="R664" t="str">
        <v>-0.36</v>
      </c>
      <c r="S664">
        <v>0</v>
      </c>
      <c r="T664">
        <v>0</v>
      </c>
      <c r="U664">
        <f t="array" ref="U664:AD664">[1]!'2430.TW-ChipsField3,ChipsField1,ChipsField25,CashAndStockDividend,CashDividendYieldRate,ProfitFourSeason,ProfitSingle,CName,ExchangeIndustry,CompanyPos'</f>
        <v>-4</v>
      </c>
      <c r="V664">
        <v>-5</v>
      </c>
      <c r="W664" t="str">
        <v>2022/03/16</v>
      </c>
      <c r="X664" t="str">
        <v>3.54</v>
      </c>
      <c r="Y664">
        <v>8.4600000000000009</v>
      </c>
      <c r="Z664" t="str">
        <v>4.42</v>
      </c>
      <c r="AA664" t="str">
        <v>1.04</v>
      </c>
      <c r="AB664" t="str">
        <v>燦坤</v>
      </c>
      <c r="AC664" t="str">
        <v>上市電子通路</v>
      </c>
      <c r="AD664" t="str">
        <v>全台最大3C連鎖通路</v>
      </c>
      <c r="AE664" t="str">
        <f t="array" ref="AE664:AH664">[1]!'2430.TW-CName,InvestorConferenceDate,DateofMeetingofShareHolders,TradingDate'</f>
        <v>燦坤</v>
      </c>
      <c r="AF664" t="str">
        <v>2022/12/14</v>
      </c>
      <c r="AG664" t="str">
        <v>2022/05/16</v>
      </c>
      <c r="AH664" t="str">
        <v>2022/12/22</v>
      </c>
    </row>
    <row r="665" spans="1:34" x14ac:dyDescent="0.3">
      <c r="A665" t="str">
        <f t="array" ref="A665:J665">[1]!'3010.TW-ID,Name,MarketValue,Capital,NetIncomeGrowthRate,OperIncomeGrowthRate,FinancialStatementsTime,TFXRatio,MonthlyNetSalesYoY,RevenueMonth'</f>
        <v>3010</v>
      </c>
      <c r="B665" t="str">
        <v>華立</v>
      </c>
      <c r="C665" t="str">
        <v>198.7</v>
      </c>
      <c r="D665" t="str">
        <v>23.60</v>
      </c>
      <c r="E665" t="str">
        <v>2.54</v>
      </c>
      <c r="F665" t="str">
        <v>-3.72</v>
      </c>
      <c r="G665" t="str">
        <v>2022/09</v>
      </c>
      <c r="H665" t="str">
        <v>-2.33</v>
      </c>
      <c r="I665" t="str">
        <v>-12.01</v>
      </c>
      <c r="J665" t="str">
        <v>2022/11</v>
      </c>
      <c r="K665" t="str">
        <f t="array" ref="K665:T665">[1]!'3010.TW-OperatingProfitRatio,Price,PriceChangeRatio,InOutRatioNumber,Value,YearReturn,MonthReturn,WeekReturn,FinanceBalanceDif,ChipsField2'</f>
        <v>3.87</v>
      </c>
      <c r="L665">
        <v>84.2</v>
      </c>
      <c r="M665">
        <v>0.36</v>
      </c>
      <c r="N665" t="str">
        <v>65.33%</v>
      </c>
      <c r="O665" t="str">
        <v>631萬</v>
      </c>
      <c r="P665" t="str">
        <v>-5.10</v>
      </c>
      <c r="Q665" t="str">
        <v>-0.94</v>
      </c>
      <c r="R665" t="str">
        <v>-2.88</v>
      </c>
      <c r="S665">
        <v>-5</v>
      </c>
      <c r="T665">
        <v>23</v>
      </c>
      <c r="U665">
        <f t="array" ref="U665:AD665">[1]!'3010.TW-ChipsField3,ChipsField1,ChipsField25,CashAndStockDividend,CashDividendYieldRate,ProfitFourSeason,ProfitSingle,CName,ExchangeIndustry,CompanyPos'</f>
        <v>-16</v>
      </c>
      <c r="V665">
        <v>-37</v>
      </c>
      <c r="W665" t="str">
        <v>2022/06/27</v>
      </c>
      <c r="X665" t="str">
        <v>6.80</v>
      </c>
      <c r="Y665">
        <v>8.08</v>
      </c>
      <c r="Z665" t="str">
        <v>12.40</v>
      </c>
      <c r="AA665" t="str">
        <v>3.12</v>
      </c>
      <c r="AB665" t="str">
        <v>華立</v>
      </c>
      <c r="AC665" t="str">
        <v>上市電子通路</v>
      </c>
      <c r="AD665" t="str">
        <v>大中華半導體前段製程材料與化學品最大供應商</v>
      </c>
      <c r="AE665" t="str">
        <f t="array" ref="AE665:AH665">[1]!'3010.TW-CName,InvestorConferenceDate,DateofMeetingofShareHolders,TradingDate'</f>
        <v>華立</v>
      </c>
      <c r="AF665" t="str">
        <v>2022/11/15</v>
      </c>
      <c r="AG665" t="str">
        <v>2022/05/27</v>
      </c>
      <c r="AH665" t="str">
        <v>2022/12/22</v>
      </c>
    </row>
    <row r="666" spans="1:34" x14ac:dyDescent="0.3">
      <c r="A666" t="str">
        <f t="array" ref="A666:J666">[1]!'3028.TW-ID,Name,MarketValue,Capital,NetIncomeGrowthRate,OperIncomeGrowthRate,FinancialStatementsTime,TFXRatio,MonthlyNetSalesYoY,RevenueMonth'</f>
        <v>3028</v>
      </c>
      <c r="B666" t="str">
        <v>增你強</v>
      </c>
      <c r="C666" t="str">
        <v>61.6</v>
      </c>
      <c r="D666" t="str">
        <v>21.84</v>
      </c>
      <c r="E666" t="str">
        <v>-15.25</v>
      </c>
      <c r="F666" t="str">
        <v>15.39</v>
      </c>
      <c r="G666" t="str">
        <v>2022/09</v>
      </c>
      <c r="H666" t="str">
        <v>-5.77</v>
      </c>
      <c r="I666" t="str">
        <v>-19.48</v>
      </c>
      <c r="J666" t="str">
        <v>2022/11</v>
      </c>
      <c r="K666" t="str">
        <f t="array" ref="K666:T666">[1]!'3028.TW-OperatingProfitRatio,Price,PriceChangeRatio,InOutRatioNumber,Value,YearReturn,MonthReturn,WeekReturn,FinanceBalanceDif,ChipsField2'</f>
        <v>3.02</v>
      </c>
      <c r="L666">
        <v>28.3</v>
      </c>
      <c r="M666">
        <v>1.07</v>
      </c>
      <c r="N666" t="str">
        <v>38.69%</v>
      </c>
      <c r="O666" t="str">
        <v>390萬</v>
      </c>
      <c r="P666" t="str">
        <v>-6.05</v>
      </c>
      <c r="Q666" t="str">
        <v>+2.17</v>
      </c>
      <c r="R666" t="str">
        <v>-0.35</v>
      </c>
      <c r="S666">
        <v>-6</v>
      </c>
      <c r="T666">
        <v>0</v>
      </c>
      <c r="U666">
        <f t="array" ref="U666:AD666">[1]!'3028.TW-ChipsField3,ChipsField1,ChipsField25,CashAndStockDividend,CashDividendYieldRate,ProfitFourSeason,ProfitSingle,CName,ExchangeIndustry,CompanyPos'</f>
        <v>-2</v>
      </c>
      <c r="V666">
        <v>10</v>
      </c>
      <c r="W666" t="str">
        <v>2022/07/08</v>
      </c>
      <c r="X666" t="str">
        <v>3.44</v>
      </c>
      <c r="Y666">
        <v>12.16</v>
      </c>
      <c r="Z666" t="str">
        <v>3.58</v>
      </c>
      <c r="AA666" t="str">
        <v>0.65</v>
      </c>
      <c r="AB666" t="str">
        <v>增你強</v>
      </c>
      <c r="AC666" t="str">
        <v>上市電子通路</v>
      </c>
      <c r="AD666" t="str">
        <v>台灣半導體元件代理通路商</v>
      </c>
      <c r="AE666" t="str">
        <f t="array" ref="AE666:AH666">[1]!'3028.TW-CName,InvestorConferenceDate,DateofMeetingofShareHolders,TradingDate'</f>
        <v>增你強</v>
      </c>
      <c r="AF666" t="str">
        <v>2022/11/16</v>
      </c>
      <c r="AG666" t="str">
        <v>2022/06/08</v>
      </c>
      <c r="AH666" t="str">
        <v>2022/12/22</v>
      </c>
    </row>
    <row r="667" spans="1:34" x14ac:dyDescent="0.3">
      <c r="A667" t="str">
        <f t="array" ref="A667:J667">[1]!'3033.TW-ID,Name,MarketValue,Capital,NetIncomeGrowthRate,OperIncomeGrowthRate,FinancialStatementsTime,TFXRatio,MonthlyNetSalesYoY,RevenueMonth'</f>
        <v>3033</v>
      </c>
      <c r="B667" t="str">
        <v>威健</v>
      </c>
      <c r="C667" t="str">
        <v>112.2</v>
      </c>
      <c r="D667" t="str">
        <v>42.35</v>
      </c>
      <c r="E667" t="str">
        <v>12.70</v>
      </c>
      <c r="F667" t="str">
        <v>14.85</v>
      </c>
      <c r="G667" t="str">
        <v>2022/09</v>
      </c>
      <c r="H667" t="str">
        <v>-2.99</v>
      </c>
      <c r="I667" t="str">
        <v>-4.16</v>
      </c>
      <c r="J667" t="str">
        <v>2022/11</v>
      </c>
      <c r="K667" t="str">
        <f t="array" ref="K667:T667">[1]!'3033.TW-OperatingProfitRatio,Price,PriceChangeRatio,InOutRatioNumber,Value,YearReturn,MonthReturn,WeekReturn,FinanceBalanceDif,ChipsField2'</f>
        <v>4.15</v>
      </c>
      <c r="L667">
        <v>26.5</v>
      </c>
      <c r="M667">
        <v>0.38</v>
      </c>
      <c r="N667" t="str">
        <v>40.33%</v>
      </c>
      <c r="O667" t="str">
        <v>653萬</v>
      </c>
      <c r="P667" t="str">
        <v>-5.93</v>
      </c>
      <c r="Q667" t="str">
        <v>-0.75</v>
      </c>
      <c r="R667" t="str">
        <v>-1.49</v>
      </c>
      <c r="S667">
        <v>27</v>
      </c>
      <c r="T667">
        <v>0</v>
      </c>
      <c r="U667">
        <f t="array" ref="U667:AD667">[1]!'3033.TW-ChipsField3,ChipsField1,ChipsField25,CashAndStockDividend,CashDividendYieldRate,ProfitFourSeason,ProfitSingle,CName,ExchangeIndustry,CompanyPos'</f>
        <v>-3</v>
      </c>
      <c r="V667">
        <v>-103</v>
      </c>
      <c r="W667" t="str">
        <v>2022/07/25</v>
      </c>
      <c r="X667" t="str">
        <v>3.01</v>
      </c>
      <c r="Y667">
        <v>11.36</v>
      </c>
      <c r="Z667" t="str">
        <v>4.59</v>
      </c>
      <c r="AA667" t="str">
        <v>0.88</v>
      </c>
      <c r="AB667" t="str">
        <v>威健</v>
      </c>
      <c r="AC667" t="str">
        <v>上市電子通路</v>
      </c>
      <c r="AD667" t="str">
        <v>從事電子零組件與周邊設備之代理經銷商</v>
      </c>
      <c r="AE667" t="str">
        <f t="array" ref="AE667:AH667">[1]!'3033.TW-CName,InvestorConferenceDate,DateofMeetingofShareHolders,TradingDate'</f>
        <v>威健</v>
      </c>
      <c r="AF667" t="str">
        <v>2022/11/25</v>
      </c>
      <c r="AG667" t="str">
        <v>2022/06/16</v>
      </c>
      <c r="AH667" t="str">
        <v>2022/12/22</v>
      </c>
    </row>
    <row r="668" spans="1:34" x14ac:dyDescent="0.3">
      <c r="A668" t="str">
        <f t="array" ref="A668:J668">[1]!'3036.TW-ID,Name,MarketValue,Capital,NetIncomeGrowthRate,OperIncomeGrowthRate,FinancialStatementsTime,TFXRatio,MonthlyNetSalesYoY,RevenueMonth'</f>
        <v>3036</v>
      </c>
      <c r="B668" t="str">
        <v>文曄</v>
      </c>
      <c r="C668" t="str">
        <v>559.3</v>
      </c>
      <c r="D668" t="str">
        <v>88.35</v>
      </c>
      <c r="E668" t="str">
        <v>11.65</v>
      </c>
      <c r="F668" t="str">
        <v>20.19</v>
      </c>
      <c r="G668" t="str">
        <v>2022/09</v>
      </c>
      <c r="H668" t="str">
        <v>-24.96</v>
      </c>
      <c r="I668" t="str">
        <v>-8.16</v>
      </c>
      <c r="J668" t="str">
        <v>2022/11</v>
      </c>
      <c r="K668" t="str">
        <f t="array" ref="K668:T668">[1]!'3036.TW-OperatingProfitRatio,Price,PriceChangeRatio,InOutRatioNumber,Value,YearReturn,MonthReturn,WeekReturn,FinanceBalanceDif,ChipsField2'</f>
        <v>2.21</v>
      </c>
      <c r="L668">
        <v>63.3</v>
      </c>
      <c r="M668">
        <v>2.59</v>
      </c>
      <c r="N668" t="str">
        <v>75.58%</v>
      </c>
      <c r="O668" t="str">
        <v>2.85億</v>
      </c>
      <c r="P668" t="str">
        <v>+4.62</v>
      </c>
      <c r="Q668" t="str">
        <v>+5.15</v>
      </c>
      <c r="R668" t="str">
        <v>+1.28</v>
      </c>
      <c r="S668">
        <v>124</v>
      </c>
      <c r="T668">
        <v>-2658</v>
      </c>
      <c r="U668">
        <f t="array" ref="U668:AD668">[1]!'3036.TW-ChipsField3,ChipsField1,ChipsField25,CashAndStockDividend,CashDividendYieldRate,ProfitFourSeason,ProfitSingle,CName,ExchangeIndustry,CompanyPos'</f>
        <v>10</v>
      </c>
      <c r="V668">
        <v>1669</v>
      </c>
      <c r="W668" t="str">
        <v>2022/06/20</v>
      </c>
      <c r="X668" t="str">
        <v>5.01</v>
      </c>
      <c r="Y668">
        <v>7.91</v>
      </c>
      <c r="Z668" t="str">
        <v>10.32</v>
      </c>
      <c r="AA668" t="str">
        <v>2.34</v>
      </c>
      <c r="AB668" t="str">
        <v>文曄</v>
      </c>
      <c r="AC668" t="str">
        <v>上市電子通路</v>
      </c>
      <c r="AD668" t="str">
        <v>台灣前三大半導體IC通路商</v>
      </c>
      <c r="AE668" t="str">
        <f t="array" ref="AE668:AH668">[1]!'3036.TW-CName,InvestorConferenceDate,DateofMeetingofShareHolders,TradingDate'</f>
        <v>文曄</v>
      </c>
      <c r="AF668" t="str">
        <v>2022/11/16</v>
      </c>
      <c r="AG668" t="str">
        <v>2022/05/20</v>
      </c>
      <c r="AH668" t="str">
        <v>2022/12/22</v>
      </c>
    </row>
    <row r="669" spans="1:34" x14ac:dyDescent="0.3">
      <c r="A669" t="str">
        <f t="array" ref="A669:J669">[1]!'3048.TW-ID,Name,MarketValue,Capital,NetIncomeGrowthRate,OperIncomeGrowthRate,FinancialStatementsTime,TFXRatio,MonthlyNetSalesYoY,RevenueMonth'</f>
        <v>3048</v>
      </c>
      <c r="B669" t="str">
        <v>益登</v>
      </c>
      <c r="C669" t="str">
        <v>66.6</v>
      </c>
      <c r="D669" t="str">
        <v>26.98</v>
      </c>
      <c r="E669" t="str">
        <v>-5.36</v>
      </c>
      <c r="F669" t="str">
        <v>12.43</v>
      </c>
      <c r="G669" t="str">
        <v>2022/09</v>
      </c>
      <c r="H669" t="str">
        <v>-6.98</v>
      </c>
      <c r="I669" t="str">
        <v>-8.41</v>
      </c>
      <c r="J669" t="str">
        <v>2022/11</v>
      </c>
      <c r="K669" t="str">
        <f t="array" ref="K669:T669">[1]!'3048.TW-OperatingProfitRatio,Price,PriceChangeRatio,InOutRatioNumber,Value,YearReturn,MonthReturn,WeekReturn,FinanceBalanceDif,ChipsField2'</f>
        <v>1.48</v>
      </c>
      <c r="L669">
        <v>27.2</v>
      </c>
      <c r="M669">
        <v>0.37</v>
      </c>
      <c r="N669" t="str">
        <v>25.74%</v>
      </c>
      <c r="O669" t="str">
        <v>370萬</v>
      </c>
      <c r="P669" t="str">
        <v>-5.43</v>
      </c>
      <c r="Q669" t="str">
        <v>-2.68</v>
      </c>
      <c r="R669" t="str">
        <v>-1.81</v>
      </c>
      <c r="S669">
        <v>6</v>
      </c>
      <c r="T669">
        <v>0</v>
      </c>
      <c r="U669">
        <f t="array" ref="U669:AD669">[1]!'3048.TW-ChipsField3,ChipsField1,ChipsField25,CashAndStockDividend,CashDividendYieldRate,ProfitFourSeason,ProfitSingle,CName,ExchangeIndustry,CompanyPos'</f>
        <v>1</v>
      </c>
      <c r="V669">
        <v>-57</v>
      </c>
      <c r="W669" t="str">
        <v>2022/07/13</v>
      </c>
      <c r="X669" t="str">
        <v>3.40</v>
      </c>
      <c r="Y669">
        <v>12.5</v>
      </c>
      <c r="Z669" t="str">
        <v>4.22</v>
      </c>
      <c r="AA669" t="str">
        <v>0.65</v>
      </c>
      <c r="AB669" t="str">
        <v>益登</v>
      </c>
      <c r="AC669" t="str">
        <v>上市電子通路</v>
      </c>
      <c r="AD669" t="str">
        <v>全球第十大半導體代理商之一</v>
      </c>
      <c r="AE669" t="str">
        <f t="array" ref="AE669:AH669">[1]!'3048.TW-CName,InvestorConferenceDate,DateofMeetingofShareHolders,TradingDate'</f>
        <v>益登</v>
      </c>
      <c r="AF669" t="str">
        <v>2022/11/16</v>
      </c>
      <c r="AG669" t="str">
        <v>2022/05/26</v>
      </c>
      <c r="AH669" t="str">
        <v>2022/12/22</v>
      </c>
    </row>
    <row r="670" spans="1:34" x14ac:dyDescent="0.3">
      <c r="A670" t="str">
        <f t="array" ref="A670:J670">[1]!'3055.TW-ID,Name,MarketValue,Capital,NetIncomeGrowthRate,OperIncomeGrowthRate,FinancialStatementsTime,TFXRatio,MonthlyNetSalesYoY,RevenueMonth'</f>
        <v>3055</v>
      </c>
      <c r="B670" t="str">
        <v>蔚華科</v>
      </c>
      <c r="C670" t="str">
        <v>25.3</v>
      </c>
      <c r="D670" t="str">
        <v>11.87</v>
      </c>
      <c r="E670" t="str">
        <v>75.56</v>
      </c>
      <c r="F670" t="str">
        <v>21.65</v>
      </c>
      <c r="G670" t="str">
        <v>2022/09</v>
      </c>
      <c r="H670" t="str">
        <v>-27.60</v>
      </c>
      <c r="I670" t="str">
        <v>-74.67</v>
      </c>
      <c r="J670" t="str">
        <v>2022/11</v>
      </c>
      <c r="K670" t="str">
        <f t="array" ref="K670:T670">[1]!'3055.TW-OperatingProfitRatio,Price,PriceChangeRatio,InOutRatioNumber,Value,YearReturn,MonthReturn,WeekReturn,FinanceBalanceDif,ChipsField2'</f>
        <v>-17.06</v>
      </c>
      <c r="L670">
        <v>24.7</v>
      </c>
      <c r="M670">
        <v>-0.2</v>
      </c>
      <c r="N670" t="str">
        <v>2.17%</v>
      </c>
      <c r="O670" t="str">
        <v>114萬</v>
      </c>
      <c r="P670" t="str">
        <v>-12.81</v>
      </c>
      <c r="Q670" t="str">
        <v>-5.36</v>
      </c>
      <c r="R670" t="str">
        <v>-1.20</v>
      </c>
      <c r="S670">
        <v>0</v>
      </c>
      <c r="T670">
        <v>0</v>
      </c>
      <c r="U670">
        <f t="array" ref="U670:AD670">[1]!'3055.TW-ChipsField3,ChipsField1,ChipsField25,CashAndStockDividend,CashDividendYieldRate,ProfitFourSeason,ProfitSingle,CName,ExchangeIndustry,CompanyPos'</f>
        <v>0</v>
      </c>
      <c r="V670">
        <v>-3</v>
      </c>
      <c r="W670" t="str">
        <v>2022/07/21</v>
      </c>
      <c r="X670" t="str">
        <v>0.20</v>
      </c>
      <c r="Y670">
        <v>0.81</v>
      </c>
      <c r="Z670" t="str">
        <v>-0.90</v>
      </c>
      <c r="AA670" t="str">
        <v>1.02</v>
      </c>
      <c r="AB670" t="str">
        <v>蔚華科</v>
      </c>
      <c r="AC670" t="str">
        <v>上市電子通路</v>
      </c>
      <c r="AD670" t="str">
        <v>專業之半導體設備經銷代理商</v>
      </c>
      <c r="AE670" t="str">
        <f t="array" ref="AE670:AH670">[1]!'3055.TW-CName,InvestorConferenceDate,DateofMeetingofShareHolders,TradingDate'</f>
        <v>蔚華科</v>
      </c>
      <c r="AF670" t="str">
        <v>2022/12/22</v>
      </c>
      <c r="AG670" t="str">
        <v>2022/06/22</v>
      </c>
      <c r="AH670" t="str">
        <v>2022/12/22</v>
      </c>
    </row>
    <row r="671" spans="1:34" x14ac:dyDescent="0.3">
      <c r="A671" t="str">
        <f t="array" ref="A671:J671">[1]!'3209.TW-ID,Name,MarketValue,Capital,NetIncomeGrowthRate,OperIncomeGrowthRate,FinancialStatementsTime,TFXRatio,MonthlyNetSalesYoY,RevenueMonth'</f>
        <v>3209</v>
      </c>
      <c r="B671" t="str">
        <v>全科</v>
      </c>
      <c r="C671" t="str">
        <v>77.2</v>
      </c>
      <c r="D671" t="str">
        <v>21.66</v>
      </c>
      <c r="E671" t="str">
        <v>50.46</v>
      </c>
      <c r="F671" t="str">
        <v>9.41</v>
      </c>
      <c r="G671" t="str">
        <v>2022/09</v>
      </c>
      <c r="H671" t="str">
        <v>-1.06</v>
      </c>
      <c r="I671" t="str">
        <v>40.94</v>
      </c>
      <c r="J671" t="str">
        <v>2022/11</v>
      </c>
      <c r="K671" t="str">
        <f t="array" ref="K671:T671">[1]!'3209.TW-OperatingProfitRatio,Price,PriceChangeRatio,InOutRatioNumber,Value,YearReturn,MonthReturn,WeekReturn,FinanceBalanceDif,ChipsField2'</f>
        <v>2.01</v>
      </c>
      <c r="L671">
        <v>35.65</v>
      </c>
      <c r="M671">
        <v>1.1299999999999999</v>
      </c>
      <c r="N671" t="str">
        <v>56.52%</v>
      </c>
      <c r="O671" t="str">
        <v>1269萬</v>
      </c>
      <c r="P671" t="str">
        <v>+42.02</v>
      </c>
      <c r="Q671" t="str">
        <v>+3.78</v>
      </c>
      <c r="R671" t="str">
        <v>-0.97</v>
      </c>
      <c r="S671">
        <v>13</v>
      </c>
      <c r="T671">
        <v>0</v>
      </c>
      <c r="U671">
        <f t="array" ref="U671:AD671">[1]!'3209.TW-ChipsField3,ChipsField1,ChipsField25,CashAndStockDividend,CashDividendYieldRate,ProfitFourSeason,ProfitSingle,CName,ExchangeIndustry,CompanyPos'</f>
        <v>0</v>
      </c>
      <c r="V671">
        <v>-13</v>
      </c>
      <c r="W671" t="str">
        <v>2022/07/21</v>
      </c>
      <c r="X671" t="str">
        <v>3.20</v>
      </c>
      <c r="Y671">
        <v>8.98</v>
      </c>
      <c r="Z671" t="str">
        <v>5.36</v>
      </c>
      <c r="AA671" t="str">
        <v>1.40</v>
      </c>
      <c r="AB671" t="str">
        <v>全科</v>
      </c>
      <c r="AC671" t="str">
        <v>上市電子通路</v>
      </c>
      <c r="AD671" t="str">
        <v>為專業通訊元件設計及通路商</v>
      </c>
      <c r="AE671" t="str">
        <f t="array" ref="AE671:AH671">[1]!'3209.TW-CName,InvestorConferenceDate,DateofMeetingofShareHolders,TradingDate'</f>
        <v>全科</v>
      </c>
      <c r="AF671" t="str">
        <v>2022/08/25</v>
      </c>
      <c r="AG671" t="str">
        <v>2022/06/21</v>
      </c>
      <c r="AH671" t="str">
        <v>2022/12/22</v>
      </c>
    </row>
    <row r="672" spans="1:34" x14ac:dyDescent="0.3">
      <c r="A672" t="str">
        <f t="array" ref="A672:J672">[1]!'3312.TW-ID,Name,MarketValue,Capital,NetIncomeGrowthRate,OperIncomeGrowthRate,FinancialStatementsTime,TFXRatio,MonthlyNetSalesYoY,RevenueMonth'</f>
        <v>3312</v>
      </c>
      <c r="B672" t="str">
        <v>弘憶股</v>
      </c>
      <c r="C672" t="str">
        <v>29.0</v>
      </c>
      <c r="D672" t="str">
        <v>16.26</v>
      </c>
      <c r="E672" t="str">
        <v>-6.52</v>
      </c>
      <c r="F672" t="str">
        <v>-13.21</v>
      </c>
      <c r="G672" t="str">
        <v>2022/09</v>
      </c>
      <c r="H672" t="str">
        <v>-19.55</v>
      </c>
      <c r="I672" t="str">
        <v>-8.87</v>
      </c>
      <c r="J672" t="str">
        <v>2022/11</v>
      </c>
      <c r="K672" t="str">
        <f t="array" ref="K672:T672">[1]!'3312.TW-OperatingProfitRatio,Price,PriceChangeRatio,InOutRatioNumber,Value,YearReturn,MonthReturn,WeekReturn,FinanceBalanceDif,ChipsField2'</f>
        <v>2.50</v>
      </c>
      <c r="L672">
        <v>17.850000000000001</v>
      </c>
      <c r="M672">
        <v>1.1299999999999999</v>
      </c>
      <c r="N672" t="str">
        <v>28.57%</v>
      </c>
      <c r="O672" t="str">
        <v>90.8萬</v>
      </c>
      <c r="P672" t="str">
        <v>-16.84</v>
      </c>
      <c r="Q672" t="str">
        <v>-1.11</v>
      </c>
      <c r="R672" t="str">
        <v>0.00</v>
      </c>
      <c r="S672">
        <v>10</v>
      </c>
      <c r="T672">
        <v>0</v>
      </c>
      <c r="U672">
        <f t="array" ref="U672:AD672">[1]!'3312.TW-ChipsField3,ChipsField1,ChipsField25,CashAndStockDividend,CashDividendYieldRate,ProfitFourSeason,ProfitSingle,CName,ExchangeIndustry,CompanyPos'</f>
        <v>-12</v>
      </c>
      <c r="V672">
        <v>-10</v>
      </c>
      <c r="W672" t="str">
        <v>2022/07/18</v>
      </c>
      <c r="X672" t="str">
        <v>2.00</v>
      </c>
      <c r="Y672">
        <v>11.2</v>
      </c>
      <c r="Z672" t="str">
        <v>3.00</v>
      </c>
      <c r="AA672" t="str">
        <v>0.65</v>
      </c>
      <c r="AB672" t="str">
        <v>弘憶股</v>
      </c>
      <c r="AC672" t="str">
        <v>上市電子通路</v>
      </c>
      <c r="AD672" t="str">
        <v>IC通路商，主要代理數位通訊應用方案與元件</v>
      </c>
      <c r="AE672" t="str">
        <f t="array" ref="AE672:AH672">[1]!'3312.TW-CName,InvestorConferenceDate,DateofMeetingofShareHolders,TradingDate'</f>
        <v>弘憶股</v>
      </c>
      <c r="AF672" t="str">
        <v>2022/11/28</v>
      </c>
      <c r="AG672" t="str">
        <v>2022/06/23</v>
      </c>
      <c r="AH672" t="str">
        <v>2022/12/22</v>
      </c>
    </row>
    <row r="673" spans="1:34" x14ac:dyDescent="0.3">
      <c r="A673" t="str">
        <f t="array" ref="A673:J673">[1]!'3528.TW-ID,Name,MarketValue,Capital,NetIncomeGrowthRate,OperIncomeGrowthRate,FinancialStatementsTime,TFXRatio,MonthlyNetSalesYoY,RevenueMonth'</f>
        <v>3528</v>
      </c>
      <c r="B673" t="str">
        <v>安馳</v>
      </c>
      <c r="C673" t="str">
        <v>33.4</v>
      </c>
      <c r="D673" t="str">
        <v>6.61</v>
      </c>
      <c r="E673" t="str">
        <v>12.62</v>
      </c>
      <c r="F673" t="str">
        <v>123.36</v>
      </c>
      <c r="G673" t="str">
        <v>2022/09</v>
      </c>
      <c r="H673" t="str">
        <v>0.90</v>
      </c>
      <c r="I673" t="str">
        <v>2.69</v>
      </c>
      <c r="J673" t="str">
        <v>2022/11</v>
      </c>
      <c r="K673" t="str">
        <f t="array" ref="K673:T673">[1]!'3528.TW-OperatingProfitRatio,Price,PriceChangeRatio,InOutRatioNumber,Value,YearReturn,MonthReturn,WeekReturn,FinanceBalanceDif,ChipsField2'</f>
        <v>11.33</v>
      </c>
      <c r="L673">
        <v>50.5</v>
      </c>
      <c r="M673">
        <v>0.8</v>
      </c>
      <c r="N673" t="str">
        <v>37.50%</v>
      </c>
      <c r="O673" t="str">
        <v>40.2萬</v>
      </c>
      <c r="P673" t="str">
        <v>+10.40</v>
      </c>
      <c r="Q673" t="str">
        <v>+1.10</v>
      </c>
      <c r="R673" t="str">
        <v>+0.20</v>
      </c>
      <c r="S673">
        <v>0</v>
      </c>
      <c r="T673">
        <v>0</v>
      </c>
      <c r="U673">
        <f t="array" ref="U673:AD673">[1]!'3528.TW-ChipsField3,ChipsField1,ChipsField25,CashAndStockDividend,CashDividendYieldRate,ProfitFourSeason,ProfitSingle,CName,ExchangeIndustry,CompanyPos'</f>
        <v>0</v>
      </c>
      <c r="V673">
        <v>-1</v>
      </c>
      <c r="W673" t="str">
        <v>2022/06/23</v>
      </c>
      <c r="X673" t="str">
        <v>3.80</v>
      </c>
      <c r="Y673">
        <v>7.52</v>
      </c>
      <c r="Z673" t="str">
        <v>4.97</v>
      </c>
      <c r="AA673" t="str">
        <v>0.79</v>
      </c>
      <c r="AB673" t="str">
        <v>安馳</v>
      </c>
      <c r="AC673" t="str">
        <v>上市電子通路</v>
      </c>
      <c r="AD673" t="str">
        <v>台灣前5大IC通路商</v>
      </c>
      <c r="AE673" t="str">
        <f t="array" ref="AE673:AH673">[1]!'3528.TW-CName,InvestorConferenceDate,DateofMeetingofShareHolders,TradingDate'</f>
        <v>安馳</v>
      </c>
      <c r="AF673" t="str">
        <v>2022/08/25</v>
      </c>
      <c r="AG673" t="str">
        <v>2022/05/25</v>
      </c>
      <c r="AH673" t="str">
        <v>2022/12/22</v>
      </c>
    </row>
    <row r="674" spans="1:34" x14ac:dyDescent="0.3">
      <c r="A674" t="str">
        <f t="array" ref="A674:J674">[1]!'3702.TW-ID,Name,MarketValue,Capital,NetIncomeGrowthRate,OperIncomeGrowthRate,FinancialStatementsTime,TFXRatio,MonthlyNetSalesYoY,RevenueMonth'</f>
        <v>3702</v>
      </c>
      <c r="B674" t="str">
        <v>大聯大</v>
      </c>
      <c r="C674" t="str">
        <v>806.8</v>
      </c>
      <c r="D674" t="str">
        <v>167.91</v>
      </c>
      <c r="E674" t="str">
        <v>2.69</v>
      </c>
      <c r="F674" t="str">
        <v>9.74</v>
      </c>
      <c r="G674" t="str">
        <v>2022/09</v>
      </c>
      <c r="H674" t="str">
        <v>-5.48</v>
      </c>
      <c r="I674" t="str">
        <v>-16.81</v>
      </c>
      <c r="J674" t="str">
        <v>2022/11</v>
      </c>
      <c r="K674" t="str">
        <f t="array" ref="K674:T674">[1]!'3702.TW-OperatingProfitRatio,Price,PriceChangeRatio,InOutRatioNumber,Value,YearReturn,MonthReturn,WeekReturn,FinanceBalanceDif,ChipsField2'</f>
        <v>1.93</v>
      </c>
      <c r="L674">
        <v>48.05</v>
      </c>
      <c r="M674">
        <v>1.59</v>
      </c>
      <c r="N674" t="str">
        <v>29.96%</v>
      </c>
      <c r="O674" t="str">
        <v>6.52億</v>
      </c>
      <c r="P674" t="str">
        <v>+1.30</v>
      </c>
      <c r="Q674" t="str">
        <v>+4.23</v>
      </c>
      <c r="R674" t="str">
        <v>+0.84</v>
      </c>
      <c r="S674">
        <v>24</v>
      </c>
      <c r="T674">
        <v>-7204</v>
      </c>
      <c r="U674">
        <f t="array" ref="U674:AD674">[1]!'3702.TW-ChipsField3,ChipsField1,ChipsField25,CashAndStockDividend,CashDividendYieldRate,ProfitFourSeason,ProfitSingle,CName,ExchangeIndustry,CompanyPos'</f>
        <v>-6</v>
      </c>
      <c r="V674">
        <v>7011</v>
      </c>
      <c r="W674" t="str">
        <v>2022/07/19</v>
      </c>
      <c r="X674" t="str">
        <v>3.50</v>
      </c>
      <c r="Y674">
        <v>7.28</v>
      </c>
      <c r="Z674" t="str">
        <v>7.03</v>
      </c>
      <c r="AA674" t="str">
        <v>1.64</v>
      </c>
      <c r="AB674" t="str">
        <v>大聯大</v>
      </c>
      <c r="AC674" t="str">
        <v>上市電子通路</v>
      </c>
      <c r="AD674" t="str">
        <v>全球暨亞太區第一大的半導體零組件通路商</v>
      </c>
      <c r="AE674" t="str">
        <f t="array" ref="AE674:AH674">[1]!'3702.TW-CName,InvestorConferenceDate,DateofMeetingofShareHolders,TradingDate'</f>
        <v>大聯大</v>
      </c>
      <c r="AF674" t="str">
        <v>2022/11/15</v>
      </c>
      <c r="AG674" t="str">
        <v>2022/05/26</v>
      </c>
      <c r="AH674" t="str">
        <v>2022/12/22</v>
      </c>
    </row>
    <row r="675" spans="1:34" x14ac:dyDescent="0.3">
      <c r="A675" t="str">
        <f t="array" ref="A675:J675">[1]!'5434.TW-ID,Name,MarketValue,Capital,NetIncomeGrowthRate,OperIncomeGrowthRate,FinancialStatementsTime,TFXRatio,MonthlyNetSalesYoY,RevenueMonth'</f>
        <v>5434</v>
      </c>
      <c r="B675" t="str">
        <v>崇越</v>
      </c>
      <c r="C675" t="str">
        <v>301.6</v>
      </c>
      <c r="D675" t="str">
        <v>18.17</v>
      </c>
      <c r="E675" t="str">
        <v>49.86</v>
      </c>
      <c r="F675" t="str">
        <v>35.70</v>
      </c>
      <c r="G675" t="str">
        <v>2022/09</v>
      </c>
      <c r="H675" t="str">
        <v>-4.22</v>
      </c>
      <c r="I675" t="str">
        <v>17.12</v>
      </c>
      <c r="J675" t="str">
        <v>2022/11</v>
      </c>
      <c r="K675" t="str">
        <f t="array" ref="K675:T675">[1]!'5434.TW-OperatingProfitRatio,Price,PriceChangeRatio,InOutRatioNumber,Value,YearReturn,MonthReturn,WeekReturn,FinanceBalanceDif,ChipsField2'</f>
        <v>6.24</v>
      </c>
      <c r="L675">
        <v>166</v>
      </c>
      <c r="M675">
        <v>0</v>
      </c>
      <c r="N675" t="str">
        <v>23.53%</v>
      </c>
      <c r="O675" t="str">
        <v>1432萬</v>
      </c>
      <c r="P675" t="str">
        <v>+17.25</v>
      </c>
      <c r="Q675" t="str">
        <v>+0.91</v>
      </c>
      <c r="R675" t="str">
        <v>-1.78</v>
      </c>
      <c r="S675">
        <v>-1</v>
      </c>
      <c r="T675">
        <v>13</v>
      </c>
      <c r="U675">
        <f t="array" ref="U675:AD675">[1]!'5434.TW-ChipsField3,ChipsField1,ChipsField25,CashAndStockDividend,CashDividendYieldRate,ProfitFourSeason,ProfitSingle,CName,ExchangeIndustry,CompanyPos'</f>
        <v>-7</v>
      </c>
      <c r="V675">
        <v>56</v>
      </c>
      <c r="W675" t="str">
        <v>2022/06/09</v>
      </c>
      <c r="X675" t="str">
        <v>8.80</v>
      </c>
      <c r="Y675">
        <v>5.3</v>
      </c>
      <c r="Z675" t="str">
        <v>16.99</v>
      </c>
      <c r="AA675" t="str">
        <v>4.92</v>
      </c>
      <c r="AB675" t="str">
        <v>崇越</v>
      </c>
      <c r="AC675" t="str">
        <v>上市電子通路</v>
      </c>
      <c r="AD675" t="str">
        <v>日本信越晶圓產品在台代理商</v>
      </c>
      <c r="AE675" t="str">
        <f t="array" ref="AE675:AH675">[1]!'5434.TW-CName,InvestorConferenceDate,DateofMeetingofShareHolders,TradingDate'</f>
        <v>崇越</v>
      </c>
      <c r="AF675" t="str">
        <v>2022/11/16</v>
      </c>
      <c r="AG675" t="str">
        <v>2022/05/30</v>
      </c>
      <c r="AH675" t="str">
        <v>2022/12/22</v>
      </c>
    </row>
    <row r="676" spans="1:34" x14ac:dyDescent="0.3">
      <c r="A676" t="str">
        <f t="array" ref="A676:J676">[1]!'6189.TW-ID,Name,MarketValue,Capital,NetIncomeGrowthRate,OperIncomeGrowthRate,FinancialStatementsTime,TFXRatio,MonthlyNetSalesYoY,RevenueMonth'</f>
        <v>6189</v>
      </c>
      <c r="B676" t="str">
        <v>豐藝</v>
      </c>
      <c r="C676" t="str">
        <v>78.7</v>
      </c>
      <c r="D676" t="str">
        <v>20.74</v>
      </c>
      <c r="E676" t="str">
        <v>17.30</v>
      </c>
      <c r="F676" t="str">
        <v>-34.59</v>
      </c>
      <c r="G676" t="str">
        <v>2022/09</v>
      </c>
      <c r="H676" t="str">
        <v>4.92</v>
      </c>
      <c r="I676" t="str">
        <v>-26.61</v>
      </c>
      <c r="J676" t="str">
        <v>2022/11</v>
      </c>
      <c r="K676" t="str">
        <f t="array" ref="K676:T676">[1]!'6189.TW-OperatingProfitRatio,Price,PriceChangeRatio,InOutRatioNumber,Value,YearReturn,MonthReturn,WeekReturn,FinanceBalanceDif,ChipsField2'</f>
        <v>2.97</v>
      </c>
      <c r="L676">
        <v>38</v>
      </c>
      <c r="M676">
        <v>0.4</v>
      </c>
      <c r="N676" t="str">
        <v>62.16%</v>
      </c>
      <c r="O676" t="str">
        <v>140萬</v>
      </c>
      <c r="P676" t="str">
        <v>+2.19</v>
      </c>
      <c r="Q676" t="str">
        <v>+1.88</v>
      </c>
      <c r="R676" t="str">
        <v>-0.13</v>
      </c>
      <c r="S676">
        <v>0</v>
      </c>
      <c r="T676">
        <v>0</v>
      </c>
      <c r="U676">
        <f t="array" ref="U676:AD676">[1]!'6189.TW-ChipsField3,ChipsField1,ChipsField25,CashAndStockDividend,CashDividendYieldRate,ProfitFourSeason,ProfitSingle,CName,ExchangeIndustry,CompanyPos'</f>
        <v>-1</v>
      </c>
      <c r="V676">
        <v>-12</v>
      </c>
      <c r="W676" t="str">
        <v>2022/07/19</v>
      </c>
      <c r="X676" t="str">
        <v>3.68</v>
      </c>
      <c r="Y676">
        <v>9.68</v>
      </c>
      <c r="Z676" t="str">
        <v>4.62</v>
      </c>
      <c r="AA676" t="str">
        <v>0.97</v>
      </c>
      <c r="AB676" t="str">
        <v>豐藝</v>
      </c>
      <c r="AC676" t="str">
        <v>上市電子通路</v>
      </c>
      <c r="AD676" t="str">
        <v>國內專業的電子零組件經銷通路商</v>
      </c>
      <c r="AE676" t="str">
        <f t="array" ref="AE676:AH676">[1]!'6189.TW-CName,InvestorConferenceDate,DateofMeetingofShareHolders,TradingDate'</f>
        <v>豐藝</v>
      </c>
      <c r="AF676" t="str">
        <v>2022/12/12</v>
      </c>
      <c r="AG676" t="str">
        <v>2022/06/15</v>
      </c>
      <c r="AH676" t="str">
        <v>2022/12/22</v>
      </c>
    </row>
    <row r="677" spans="1:34" x14ac:dyDescent="0.3">
      <c r="A677" t="str">
        <f t="array" ref="A677:J677">[1]!'6281.TW-ID,Name,MarketValue,Capital,NetIncomeGrowthRate,OperIncomeGrowthRate,FinancialStatementsTime,TFXRatio,MonthlyNetSalesYoY,RevenueMonth'</f>
        <v>6281</v>
      </c>
      <c r="B677" t="str">
        <v>全國電</v>
      </c>
      <c r="C677" t="str">
        <v>80.6</v>
      </c>
      <c r="D677" t="str">
        <v>9.92</v>
      </c>
      <c r="E677" t="str">
        <v>4.71</v>
      </c>
      <c r="F677" t="str">
        <v>3.90</v>
      </c>
      <c r="G677" t="str">
        <v>2022/09</v>
      </c>
      <c r="H677" t="str">
        <v>3.04</v>
      </c>
      <c r="I677" t="str">
        <v>-17.08</v>
      </c>
      <c r="J677" t="str">
        <v>2022/11</v>
      </c>
      <c r="K677" t="str">
        <f t="array" ref="K677:T677">[1]!'6281.TW-OperatingProfitRatio,Price,PriceChangeRatio,InOutRatioNumber,Value,YearReturn,MonthReturn,WeekReturn,FinanceBalanceDif,ChipsField2'</f>
        <v>3.61</v>
      </c>
      <c r="L677">
        <v>81.3</v>
      </c>
      <c r="M677">
        <v>0</v>
      </c>
      <c r="N677" t="str">
        <v>57.14%</v>
      </c>
      <c r="O677" t="str">
        <v>114萬</v>
      </c>
      <c r="P677" t="str">
        <v>+5.10</v>
      </c>
      <c r="Q677" t="str">
        <v>-1.22</v>
      </c>
      <c r="R677" t="str">
        <v>-0.37</v>
      </c>
      <c r="S677">
        <v>0</v>
      </c>
      <c r="T677">
        <v>0</v>
      </c>
      <c r="U677">
        <f t="array" ref="U677:AD677">[1]!'6281.TW-ChipsField3,ChipsField1,ChipsField25,CashAndStockDividend,CashDividendYieldRate,ProfitFourSeason,ProfitSingle,CName,ExchangeIndustry,CompanyPos'</f>
        <v>0</v>
      </c>
      <c r="V677">
        <v>-13</v>
      </c>
      <c r="W677" t="str">
        <v>2022/07/04</v>
      </c>
      <c r="X677" t="str">
        <v>5.00</v>
      </c>
      <c r="Y677">
        <v>6.15</v>
      </c>
      <c r="Z677" t="str">
        <v>6.27</v>
      </c>
      <c r="AA677" t="str">
        <v>1.55</v>
      </c>
      <c r="AB677" t="str">
        <v>全國電</v>
      </c>
      <c r="AC677" t="str">
        <v>上市電子通路</v>
      </c>
      <c r="AD677" t="str">
        <v>台灣知名家電與3C通路賣場</v>
      </c>
      <c r="AE677" t="str">
        <f t="array" ref="AE677:AH677">[1]!'6281.TW-CName,InvestorConferenceDate,DateofMeetingofShareHolders,TradingDate'</f>
        <v>全國電</v>
      </c>
      <c r="AF677" t="str">
        <v>2022/11/25</v>
      </c>
      <c r="AG677" t="str">
        <v>2022/06/17</v>
      </c>
      <c r="AH677" t="str">
        <v>2022/12/22</v>
      </c>
    </row>
    <row r="678" spans="1:34" x14ac:dyDescent="0.3">
      <c r="A678" t="str">
        <f t="array" ref="A678:J678">[1]!'6776.TW-ID,Name,MarketValue,Capital,NetIncomeGrowthRate,OperIncomeGrowthRate,FinancialStatementsTime,TFXRatio,MonthlyNetSalesYoY,RevenueMonth'</f>
        <v>6776</v>
      </c>
      <c r="B678" t="str">
        <v>展碁國際</v>
      </c>
      <c r="C678" t="str">
        <v>31.8</v>
      </c>
      <c r="D678" t="str">
        <v>8.16</v>
      </c>
      <c r="E678" t="str">
        <v>41.61</v>
      </c>
      <c r="F678" t="str">
        <v>94.91</v>
      </c>
      <c r="G678" t="str">
        <v>2022/09</v>
      </c>
      <c r="H678" t="str">
        <v>14.54</v>
      </c>
      <c r="I678" t="str">
        <v>-8.89</v>
      </c>
      <c r="J678" t="str">
        <v>2022/11</v>
      </c>
      <c r="K678" t="str">
        <f t="array" ref="K678:T678">[1]!'6776.TW-OperatingProfitRatio,Price,PriceChangeRatio,InOutRatioNumber,Value,YearReturn,MonthReturn,WeekReturn,FinanceBalanceDif,ChipsField2'</f>
        <v>2.18</v>
      </c>
      <c r="L678">
        <v>39</v>
      </c>
      <c r="M678">
        <v>0.91</v>
      </c>
      <c r="N678" t="str">
        <v>100.00%</v>
      </c>
      <c r="O678" t="str">
        <v>3.90萬</v>
      </c>
      <c r="P678" t="str">
        <v>+1.54</v>
      </c>
      <c r="Q678" t="str">
        <v>+1.30</v>
      </c>
      <c r="R678" t="str">
        <v>0.00</v>
      </c>
      <c r="S678">
        <v>0</v>
      </c>
      <c r="T678">
        <v>0</v>
      </c>
      <c r="U678">
        <f t="array" ref="U678:AD678">[1]!'6776.TW-ChipsField3,ChipsField1,ChipsField25,CashAndStockDividend,CashDividendYieldRate,ProfitFourSeason,ProfitSingle,CName,ExchangeIndustry,CompanyPos'</f>
        <v>0</v>
      </c>
      <c r="V678">
        <v>2</v>
      </c>
      <c r="W678" t="str">
        <v>2022/07/06</v>
      </c>
      <c r="X678" t="str">
        <v>3.20</v>
      </c>
      <c r="Y678">
        <v>8.2100000000000009</v>
      </c>
      <c r="Z678" t="str">
        <v>5.04</v>
      </c>
      <c r="AA678" t="str">
        <v>1.29</v>
      </c>
      <c r="AB678" t="str">
        <v>展碁國際</v>
      </c>
      <c r="AC678" t="str">
        <v>上市電子通路</v>
      </c>
      <c r="AD678" t="str">
        <v>台灣第二大電子通路代理商</v>
      </c>
      <c r="AE678" t="str">
        <f t="array" ref="AE678:AH678">[1]!'6776.TW-CName,InvestorConferenceDate,DateofMeetingofShareHolders,TradingDate'</f>
        <v>展碁國際</v>
      </c>
      <c r="AF678" t="str">
        <v>2022/04/15</v>
      </c>
      <c r="AG678" t="str">
        <v>2022/06/09</v>
      </c>
      <c r="AH678" t="str">
        <v>2022/12/22</v>
      </c>
    </row>
    <row r="679" spans="1:34" x14ac:dyDescent="0.3">
      <c r="A679" t="str">
        <f t="array" ref="A679:J679">[1]!'8070.TW-ID,Name,MarketValue,Capital,NetIncomeGrowthRate,OperIncomeGrowthRate,FinancialStatementsTime,TFXRatio,MonthlyNetSalesYoY,RevenueMonth'</f>
        <v>8070</v>
      </c>
      <c r="B679" t="str">
        <v>長華*</v>
      </c>
      <c r="C679" t="str">
        <v>211.7</v>
      </c>
      <c r="D679" t="str">
        <v>6.89</v>
      </c>
      <c r="E679" t="str">
        <v>76.19</v>
      </c>
      <c r="F679" t="str">
        <v>58.72</v>
      </c>
      <c r="G679" t="str">
        <v>2022/09</v>
      </c>
      <c r="H679" t="str">
        <v>-7.53</v>
      </c>
      <c r="I679" t="str">
        <v>-15.99</v>
      </c>
      <c r="J679" t="str">
        <v>2022/11</v>
      </c>
      <c r="K679" t="str">
        <f t="array" ref="K679:T679">[1]!'8070.TW-OperatingProfitRatio,Price,PriceChangeRatio,InOutRatioNumber,Value,YearReturn,MonthReturn,WeekReturn,FinanceBalanceDif,ChipsField2'</f>
        <v>16.01</v>
      </c>
      <c r="L679">
        <v>30.7</v>
      </c>
      <c r="M679">
        <v>0.82</v>
      </c>
      <c r="N679" t="str">
        <v>29.41%</v>
      </c>
      <c r="O679" t="str">
        <v>731萬</v>
      </c>
      <c r="P679" t="str">
        <v>-0.87</v>
      </c>
      <c r="Q679" t="str">
        <v>-0.58</v>
      </c>
      <c r="R679" t="str">
        <v>-1.67</v>
      </c>
      <c r="S679">
        <v>-115</v>
      </c>
      <c r="T679">
        <v>0</v>
      </c>
      <c r="U679">
        <f t="array" ref="U679:AD679">[1]!'8070.TW-ChipsField3,ChipsField1,ChipsField25,CashAndStockDividend,CashDividendYieldRate,ProfitFourSeason,ProfitSingle,CName,ExchangeIndustry,CompanyPos'</f>
        <v>-23</v>
      </c>
      <c r="V679">
        <v>-120</v>
      </c>
      <c r="W679" t="str">
        <v>2022/12/15</v>
      </c>
      <c r="X679" t="str">
        <v>0.73</v>
      </c>
      <c r="Y679">
        <v>6.51</v>
      </c>
      <c r="Z679" t="str">
        <v>3.47</v>
      </c>
      <c r="AA679" t="str">
        <v>1.17</v>
      </c>
      <c r="AB679" t="str">
        <v>長華*</v>
      </c>
      <c r="AC679" t="str">
        <v>上市電子通路</v>
      </c>
      <c r="AD679" t="str">
        <v>半導體封裝材料代理通路商</v>
      </c>
      <c r="AE679" t="str">
        <f t="array" ref="AE679:AH679">[1]!'8070.TW-CName,InvestorConferenceDate,DateofMeetingofShareHolders,TradingDate'</f>
        <v>長華*</v>
      </c>
      <c r="AF679" t="str">
        <v>2021/11/09</v>
      </c>
      <c r="AG679" t="str">
        <v>2022/06/17</v>
      </c>
      <c r="AH679" t="str">
        <v>2022/12/22</v>
      </c>
    </row>
    <row r="680" spans="1:34" x14ac:dyDescent="0.3">
      <c r="A680" t="str">
        <f t="array" ref="A680:J680">[1]!'8072.TW-ID,Name,MarketValue,Capital,NetIncomeGrowthRate,OperIncomeGrowthRate,FinancialStatementsTime,TFXRatio,MonthlyNetSalesYoY,RevenueMonth'</f>
        <v>8072</v>
      </c>
      <c r="B680" t="str">
        <v>陞泰</v>
      </c>
      <c r="C680" t="str">
        <v>21.4</v>
      </c>
      <c r="D680" t="str">
        <v>8.00</v>
      </c>
      <c r="E680" t="str">
        <v>181.15</v>
      </c>
      <c r="F680" t="str">
        <v>-29.85</v>
      </c>
      <c r="G680" t="str">
        <v>2022/09</v>
      </c>
      <c r="H680" t="str">
        <v>-14.01</v>
      </c>
      <c r="I680" t="str">
        <v>-20.41</v>
      </c>
      <c r="J680" t="str">
        <v>2022/11</v>
      </c>
      <c r="K680" t="str">
        <f t="array" ref="K680:T680">[1]!'8072.TW-OperatingProfitRatio,Price,PriceChangeRatio,InOutRatioNumber,Value,YearReturn,MonthReturn,WeekReturn,FinanceBalanceDif,ChipsField2'</f>
        <v>2.45</v>
      </c>
      <c r="L680">
        <v>26.75</v>
      </c>
      <c r="M680">
        <v>0</v>
      </c>
      <c r="N680" t="str">
        <v>37.90%</v>
      </c>
      <c r="O680" t="str">
        <v>676萬</v>
      </c>
      <c r="P680" t="str">
        <v>+10.42</v>
      </c>
      <c r="Q680" t="str">
        <v>-20.51</v>
      </c>
      <c r="R680" t="str">
        <v>-6.30</v>
      </c>
      <c r="S680">
        <v>-6</v>
      </c>
      <c r="T680">
        <v>0</v>
      </c>
      <c r="U680">
        <f t="array" ref="U680:AD680">[1]!'8072.TW-ChipsField3,ChipsField1,ChipsField25,CashAndStockDividend,CashDividendYieldRate,ProfitFourSeason,ProfitSingle,CName,ExchangeIndustry,CompanyPos'</f>
        <v>0</v>
      </c>
      <c r="V680">
        <v>58</v>
      </c>
      <c r="W680" t="str">
        <v>2022/07/11</v>
      </c>
      <c r="X680" t="str">
        <v>0.35</v>
      </c>
      <c r="Y680">
        <v>1.31</v>
      </c>
      <c r="Z680" t="str">
        <v>1.25</v>
      </c>
      <c r="AA680" t="str">
        <v>0.53</v>
      </c>
      <c r="AB680" t="str">
        <v>陞泰</v>
      </c>
      <c r="AC680" t="str">
        <v>上市電子通路</v>
      </c>
      <c r="AD680" t="str">
        <v>台灣最大DVR安控系統廠商</v>
      </c>
      <c r="AE680" t="str">
        <f t="array" ref="AE680:AH680">[1]!'8072.TW-CName,InvestorConferenceDate,DateofMeetingofShareHolders,TradingDate'</f>
        <v>陞泰</v>
      </c>
      <c r="AF680" t="str">
        <v>2022/11/11</v>
      </c>
      <c r="AG680" t="str">
        <v>2022/06/22</v>
      </c>
      <c r="AH680" t="str">
        <v>2022/12/22</v>
      </c>
    </row>
    <row r="681" spans="1:34" x14ac:dyDescent="0.3">
      <c r="A681" t="str">
        <f t="array" ref="A681:J681">[1]!'8112.TW-ID,Name,MarketValue,Capital,NetIncomeGrowthRate,OperIncomeGrowthRate,FinancialStatementsTime,TFXRatio,MonthlyNetSalesYoY,RevenueMonth'</f>
        <v>8112</v>
      </c>
      <c r="B681" t="str">
        <v>至上</v>
      </c>
      <c r="C681" t="str">
        <v>153.4</v>
      </c>
      <c r="D681" t="str">
        <v>42.85</v>
      </c>
      <c r="E681" t="str">
        <v>-13.32</v>
      </c>
      <c r="F681" t="str">
        <v>-2.68</v>
      </c>
      <c r="G681" t="str">
        <v>2022/09</v>
      </c>
      <c r="H681" t="str">
        <v>-26.57</v>
      </c>
      <c r="I681" t="str">
        <v>-51.89</v>
      </c>
      <c r="J681" t="str">
        <v>2022/11</v>
      </c>
      <c r="K681" t="str">
        <f t="array" ref="K681:T681">[1]!'8112.TW-OperatingProfitRatio,Price,PriceChangeRatio,InOutRatioNumber,Value,YearReturn,MonthReturn,WeekReturn,FinanceBalanceDif,ChipsField2'</f>
        <v>2.40</v>
      </c>
      <c r="L681">
        <v>35.799999999999997</v>
      </c>
      <c r="M681">
        <v>0.85</v>
      </c>
      <c r="N681" t="str">
        <v>46.77%</v>
      </c>
      <c r="O681" t="str">
        <v>1869萬</v>
      </c>
      <c r="P681" t="str">
        <v>-16.12</v>
      </c>
      <c r="Q681" t="str">
        <v>-2.05</v>
      </c>
      <c r="R681" t="str">
        <v>-1.92</v>
      </c>
      <c r="S681">
        <v>-47</v>
      </c>
      <c r="T681">
        <v>0</v>
      </c>
      <c r="U681">
        <f t="array" ref="U681:AD681">[1]!'8112.TW-ChipsField3,ChipsField1,ChipsField25,CashAndStockDividend,CashDividendYieldRate,ProfitFourSeason,ProfitSingle,CName,ExchangeIndustry,CompanyPos'</f>
        <v>-37</v>
      </c>
      <c r="V681">
        <v>-40</v>
      </c>
      <c r="W681" t="str">
        <v>2022/07/14</v>
      </c>
      <c r="X681" t="str">
        <v>4.00</v>
      </c>
      <c r="Y681">
        <v>11.17</v>
      </c>
      <c r="Z681" t="str">
        <v>6.43</v>
      </c>
      <c r="AA681" t="str">
        <v>1.02</v>
      </c>
      <c r="AB681" t="str">
        <v>至上</v>
      </c>
      <c r="AC681" t="str">
        <v>上市電子通路</v>
      </c>
      <c r="AD681" t="str">
        <v>主要代理品牌以Samsung為主之IC通路商</v>
      </c>
      <c r="AE681" t="str">
        <f t="array" ref="AE681:AH681">[1]!'8112.TW-CName,InvestorConferenceDate,DateofMeetingofShareHolders,TradingDate'</f>
        <v>至上</v>
      </c>
      <c r="AF681" t="str">
        <v>2022/08/26</v>
      </c>
      <c r="AG681" t="str">
        <v>2022/06/17</v>
      </c>
      <c r="AH681" t="str">
        <v>2022/12/22</v>
      </c>
    </row>
    <row r="682" spans="1:34" x14ac:dyDescent="0.3">
      <c r="A682" t="str">
        <f t="array" ref="A682:J682">[1]!'2427.TW-ID,Name,MarketValue,Capital,NetIncomeGrowthRate,OperIncomeGrowthRate,FinancialStatementsTime,TFXRatio,MonthlyNetSalesYoY,RevenueMonth'</f>
        <v>2427</v>
      </c>
      <c r="B682" t="str">
        <v>三商電</v>
      </c>
      <c r="C682" t="str">
        <v>22.0</v>
      </c>
      <c r="D682" t="str">
        <v>18.43</v>
      </c>
      <c r="E682" t="str">
        <v>68.24</v>
      </c>
      <c r="F682" t="str">
        <v>63.83</v>
      </c>
      <c r="G682" t="str">
        <v>2022/09</v>
      </c>
      <c r="H682" t="str">
        <v>35.28</v>
      </c>
      <c r="I682" t="str">
        <v>11.70</v>
      </c>
      <c r="J682" t="str">
        <v>2022/11</v>
      </c>
      <c r="K682" t="str">
        <f t="array" ref="K682:T682">[1]!'2427.TW-OperatingProfitRatio,Price,PriceChangeRatio,InOutRatioNumber,Value,YearReturn,MonthReturn,WeekReturn,FinanceBalanceDif,ChipsField2'</f>
        <v>7.16</v>
      </c>
      <c r="L682">
        <v>11.95</v>
      </c>
      <c r="M682">
        <v>0.42</v>
      </c>
      <c r="N682" t="str">
        <v>30.95%</v>
      </c>
      <c r="O682" t="str">
        <v>100萬</v>
      </c>
      <c r="P682" t="str">
        <v>+5.92</v>
      </c>
      <c r="Q682" t="str">
        <v>+2.58</v>
      </c>
      <c r="R682" t="str">
        <v>0.00</v>
      </c>
      <c r="S682">
        <v>12</v>
      </c>
      <c r="T682">
        <v>0</v>
      </c>
      <c r="U682">
        <f t="array" ref="U682:AD682">[1]!'2427.TW-ChipsField3,ChipsField1,ChipsField25,CashAndStockDividend,CashDividendYieldRate,ProfitFourSeason,ProfitSingle,CName,ExchangeIndustry,CompanyPos'</f>
        <v>0</v>
      </c>
      <c r="V682">
        <v>0</v>
      </c>
      <c r="W682" t="str">
        <v>2022/08/01</v>
      </c>
      <c r="X682" t="str">
        <v>0.35</v>
      </c>
      <c r="Y682">
        <v>2.93</v>
      </c>
      <c r="Z682" t="str">
        <v>1.20</v>
      </c>
      <c r="AA682" t="str">
        <v>0.33</v>
      </c>
      <c r="AB682" t="str">
        <v>三商電</v>
      </c>
      <c r="AC682" t="str">
        <v>上市資訊服務</v>
      </c>
      <c r="AD682" t="str">
        <v>以金融、電訊與交通產業為主之系統整合商</v>
      </c>
      <c r="AE682" t="str">
        <f t="array" ref="AE682:AH682">[1]!'2427.TW-CName,InvestorConferenceDate,DateofMeetingofShareHolders,TradingDate'</f>
        <v>三商電</v>
      </c>
      <c r="AF682" t="str">
        <v>2022/04/15</v>
      </c>
      <c r="AG682" t="str">
        <v>2022/06/17</v>
      </c>
      <c r="AH682" t="str">
        <v>2022/12/22</v>
      </c>
    </row>
    <row r="683" spans="1:34" x14ac:dyDescent="0.3">
      <c r="A683" t="str">
        <f t="array" ref="A683:J683">[1]!'2453.TW-ID,Name,MarketValue,Capital,NetIncomeGrowthRate,OperIncomeGrowthRate,FinancialStatementsTime,TFXRatio,MonthlyNetSalesYoY,RevenueMonth'</f>
        <v>2453</v>
      </c>
      <c r="B683" t="str">
        <v>凌群</v>
      </c>
      <c r="C683" t="str">
        <v>25.2</v>
      </c>
      <c r="D683" t="str">
        <v>10.00</v>
      </c>
      <c r="E683" t="str">
        <v>15.68</v>
      </c>
      <c r="F683" t="str">
        <v>-7.41</v>
      </c>
      <c r="G683" t="str">
        <v>2022/09</v>
      </c>
      <c r="H683" t="str">
        <v>19.84</v>
      </c>
      <c r="I683" t="str">
        <v>0.21</v>
      </c>
      <c r="J683" t="str">
        <v>2022/11</v>
      </c>
      <c r="K683" t="str">
        <f t="array" ref="K683:T683">[1]!'2453.TW-OperatingProfitRatio,Price,PriceChangeRatio,InOutRatioNumber,Value,YearReturn,MonthReturn,WeekReturn,FinanceBalanceDif,ChipsField2'</f>
        <v>3.51</v>
      </c>
      <c r="L683">
        <v>25.25</v>
      </c>
      <c r="M683">
        <v>0.4</v>
      </c>
      <c r="N683" t="str">
        <v>49.37%</v>
      </c>
      <c r="O683" t="str">
        <v>207萬</v>
      </c>
      <c r="P683" t="str">
        <v>-5.22</v>
      </c>
      <c r="Q683" t="str">
        <v>+3.06</v>
      </c>
      <c r="R683" t="str">
        <v>-0.39</v>
      </c>
      <c r="S683">
        <v>5</v>
      </c>
      <c r="T683">
        <v>0</v>
      </c>
      <c r="U683">
        <f t="array" ref="U683:AD683">[1]!'2453.TW-ChipsField3,ChipsField1,ChipsField25,CashAndStockDividend,CashDividendYieldRate,ProfitFourSeason,ProfitSingle,CName,ExchangeIndustry,CompanyPos'</f>
        <v>-5</v>
      </c>
      <c r="V683">
        <v>-10</v>
      </c>
      <c r="W683" t="str">
        <v>2022/07/14</v>
      </c>
      <c r="X683" t="str">
        <v>1.90</v>
      </c>
      <c r="Y683">
        <v>7.52</v>
      </c>
      <c r="Z683" t="str">
        <v>2.39</v>
      </c>
      <c r="AA683" t="str">
        <v>0.58</v>
      </c>
      <c r="AB683" t="str">
        <v>凌群</v>
      </c>
      <c r="AC683" t="str">
        <v>上市資訊服務</v>
      </c>
      <c r="AD683" t="str">
        <v>以金融業為主的系統整合大廠</v>
      </c>
      <c r="AE683" t="str">
        <f t="array" ref="AE683:AH683">[1]!'2453.TW-CName,InvestorConferenceDate,DateofMeetingofShareHolders,TradingDate'</f>
        <v>凌群</v>
      </c>
      <c r="AF683" t="str">
        <v>2022/03/28</v>
      </c>
      <c r="AG683" t="str">
        <v>2022/06/15</v>
      </c>
      <c r="AH683" t="str">
        <v>2022/12/22</v>
      </c>
    </row>
    <row r="684" spans="1:34" x14ac:dyDescent="0.3">
      <c r="A684" t="str">
        <f t="array" ref="A684:J684">[1]!'2468.TW-ID,Name,MarketValue,Capital,NetIncomeGrowthRate,OperIncomeGrowthRate,FinancialStatementsTime,TFXRatio,MonthlyNetSalesYoY,RevenueMonth'</f>
        <v>2468</v>
      </c>
      <c r="B684" t="str">
        <v>華經</v>
      </c>
      <c r="C684" t="str">
        <v>18.6</v>
      </c>
      <c r="D684" t="str">
        <v>7.00</v>
      </c>
      <c r="E684" t="str">
        <v>42.71</v>
      </c>
      <c r="F684" t="str">
        <v>6.38</v>
      </c>
      <c r="G684" t="str">
        <v>2022/09</v>
      </c>
      <c r="H684" t="str">
        <v>21.77</v>
      </c>
      <c r="I684" t="str">
        <v>-1.32</v>
      </c>
      <c r="J684" t="str">
        <v>2022/11</v>
      </c>
      <c r="K684" t="str">
        <f t="array" ref="K684:T684">[1]!'2468.TW-OperatingProfitRatio,Price,PriceChangeRatio,InOutRatioNumber,Value,YearReturn,MonthReturn,WeekReturn,FinanceBalanceDif,ChipsField2'</f>
        <v>2.50</v>
      </c>
      <c r="L684">
        <v>26.6</v>
      </c>
      <c r="M684">
        <v>-2.56</v>
      </c>
      <c r="N684" t="str">
        <v>40.84%</v>
      </c>
      <c r="O684" t="str">
        <v>8789萬</v>
      </c>
      <c r="P684" t="str">
        <v>+99.64</v>
      </c>
      <c r="Q684" t="str">
        <v>-16.48</v>
      </c>
      <c r="R684" t="str">
        <v>-5.67</v>
      </c>
      <c r="S684">
        <v>50</v>
      </c>
      <c r="T684">
        <v>0</v>
      </c>
      <c r="U684">
        <f t="array" ref="U684:AD684">[1]!'2468.TW-ChipsField3,ChipsField1,ChipsField25,CashAndStockDividend,CashDividendYieldRate,ProfitFourSeason,ProfitSingle,CName,ExchangeIndustry,CompanyPos'</f>
        <v>0</v>
      </c>
      <c r="V684">
        <v>183</v>
      </c>
      <c r="W684" t="str">
        <v>2022/09/06</v>
      </c>
      <c r="X684" t="str">
        <v>0.40</v>
      </c>
      <c r="Y684">
        <v>1.5</v>
      </c>
      <c r="Z684" t="str">
        <v>0.84</v>
      </c>
      <c r="AA684" t="str">
        <v>0.19</v>
      </c>
      <c r="AB684" t="str">
        <v>華經</v>
      </c>
      <c r="AC684" t="str">
        <v>上市資訊服務</v>
      </c>
      <c r="AD684" t="str">
        <v>以數位影像處理為主的系統整合商</v>
      </c>
      <c r="AE684" t="str">
        <f t="array" ref="AE684:AH684">[1]!'2468.TW-CName,InvestorConferenceDate,DateofMeetingofShareHolders,TradingDate'</f>
        <v>華經</v>
      </c>
      <c r="AF684" t="str">
        <v>2022/05/27</v>
      </c>
      <c r="AG684" t="str">
        <v>2022/06/24</v>
      </c>
      <c r="AH684" t="str">
        <v>2022/12/22</v>
      </c>
    </row>
    <row r="685" spans="1:34" x14ac:dyDescent="0.3">
      <c r="A685" t="str">
        <f t="array" ref="A685:J685">[1]!'2471.TW-ID,Name,MarketValue,Capital,NetIncomeGrowthRate,OperIncomeGrowthRate,FinancialStatementsTime,TFXRatio,MonthlyNetSalesYoY,RevenueMonth'</f>
        <v>2471</v>
      </c>
      <c r="B685" t="str">
        <v>資通</v>
      </c>
      <c r="C685" t="str">
        <v>12.7</v>
      </c>
      <c r="D685" t="str">
        <v>4.73</v>
      </c>
      <c r="E685" t="str">
        <v>79.78</v>
      </c>
      <c r="F685" t="str">
        <v>1.26</v>
      </c>
      <c r="G685" t="str">
        <v>2022/09</v>
      </c>
      <c r="H685" t="str">
        <v>6.63</v>
      </c>
      <c r="I685" t="str">
        <v>0.11</v>
      </c>
      <c r="J685" t="str">
        <v>2022/11</v>
      </c>
      <c r="K685" t="str">
        <f t="array" ref="K685:T685">[1]!'2471.TW-OperatingProfitRatio,Price,PriceChangeRatio,InOutRatioNumber,Value,YearReturn,MonthReturn,WeekReturn,FinanceBalanceDif,ChipsField2'</f>
        <v>9.40</v>
      </c>
      <c r="L685">
        <v>26.95</v>
      </c>
      <c r="M685">
        <v>0.19</v>
      </c>
      <c r="N685" t="str">
        <v>52.38%</v>
      </c>
      <c r="O685" t="str">
        <v>113萬</v>
      </c>
      <c r="P685" t="str">
        <v>+15.12</v>
      </c>
      <c r="Q685" t="str">
        <v>+2.08</v>
      </c>
      <c r="R685" t="str">
        <v>-2.36</v>
      </c>
      <c r="S685">
        <v>-2</v>
      </c>
      <c r="T685">
        <v>0</v>
      </c>
      <c r="U685">
        <f t="array" ref="U685:AD685">[1]!'2471.TW-ChipsField3,ChipsField1,ChipsField25,CashAndStockDividend,CashDividendYieldRate,ProfitFourSeason,ProfitSingle,CName,ExchangeIndustry,CompanyPos'</f>
        <v>0</v>
      </c>
      <c r="V685">
        <v>4</v>
      </c>
      <c r="W685" t="str">
        <v>2022/07/21</v>
      </c>
      <c r="X685" t="str">
        <v>2.24</v>
      </c>
      <c r="Y685">
        <v>8.31</v>
      </c>
      <c r="Z685" t="str">
        <v>3.41</v>
      </c>
      <c r="AA685" t="str">
        <v>1.02</v>
      </c>
      <c r="AB685" t="str">
        <v>資通</v>
      </c>
      <c r="AC685" t="str">
        <v>上市資訊服務</v>
      </c>
      <c r="AD685" t="str">
        <v>以金融業及製造業為主的系統整合廠商</v>
      </c>
      <c r="AE685" t="str">
        <f t="array" ref="AE685:AH685">[1]!'2471.TW-CName,InvestorConferenceDate,DateofMeetingofShareHolders,TradingDate'</f>
        <v>資通</v>
      </c>
      <c r="AF685" t="str">
        <v>2022/09/16</v>
      </c>
      <c r="AG685" t="str">
        <v>2022/06/23</v>
      </c>
      <c r="AH685" t="str">
        <v>2022/12/22</v>
      </c>
    </row>
    <row r="686" spans="1:34" x14ac:dyDescent="0.3">
      <c r="A686" t="str">
        <f t="array" ref="A686:J686">[1]!'2480.TW-ID,Name,MarketValue,Capital,NetIncomeGrowthRate,OperIncomeGrowthRate,FinancialStatementsTime,TFXRatio,MonthlyNetSalesYoY,RevenueMonth'</f>
        <v>2480</v>
      </c>
      <c r="B686" t="str">
        <v>敦陽科</v>
      </c>
      <c r="C686" t="str">
        <v>87.7</v>
      </c>
      <c r="D686" t="str">
        <v>10.64</v>
      </c>
      <c r="E686" t="str">
        <v>28.83</v>
      </c>
      <c r="F686" t="str">
        <v>16.43</v>
      </c>
      <c r="G686" t="str">
        <v>2022/09</v>
      </c>
      <c r="H686" t="str">
        <v>4.80</v>
      </c>
      <c r="I686" t="str">
        <v>9.24</v>
      </c>
      <c r="J686" t="str">
        <v>2022/11</v>
      </c>
      <c r="K686" t="str">
        <f t="array" ref="K686:T686">[1]!'2480.TW-OperatingProfitRatio,Price,PriceChangeRatio,InOutRatioNumber,Value,YearReturn,MonthReturn,WeekReturn,FinanceBalanceDif,ChipsField2'</f>
        <v>11.80</v>
      </c>
      <c r="L686">
        <v>82.5</v>
      </c>
      <c r="M686">
        <v>-0.12</v>
      </c>
      <c r="N686" t="str">
        <v>50.00%</v>
      </c>
      <c r="O686" t="str">
        <v>322萬</v>
      </c>
      <c r="P686" t="str">
        <v>+21.12</v>
      </c>
      <c r="Q686" t="str">
        <v>+3.13</v>
      </c>
      <c r="R686" t="str">
        <v>-0.60</v>
      </c>
      <c r="S686">
        <v>4</v>
      </c>
      <c r="T686">
        <v>0</v>
      </c>
      <c r="U686">
        <f t="array" ref="U686:AD686">[1]!'2480.TW-ChipsField3,ChipsField1,ChipsField25,CashAndStockDividend,CashDividendYieldRate,ProfitFourSeason,ProfitSingle,CName,ExchangeIndustry,CompanyPos'</f>
        <v>-5</v>
      </c>
      <c r="V686">
        <v>-16</v>
      </c>
      <c r="W686" t="str">
        <v>2022/06/23</v>
      </c>
      <c r="X686" t="str">
        <v>5.62</v>
      </c>
      <c r="Y686">
        <v>6.81</v>
      </c>
      <c r="Z686" t="str">
        <v>7.13</v>
      </c>
      <c r="AA686" t="str">
        <v>1.71</v>
      </c>
      <c r="AB686" t="str">
        <v>敦陽科</v>
      </c>
      <c r="AC686" t="str">
        <v>上市資訊服務</v>
      </c>
      <c r="AD686" t="str">
        <v>台灣最大系統整合服務商</v>
      </c>
      <c r="AE686" t="str">
        <f t="array" ref="AE686:AH686">[1]!'2480.TW-CName,InvestorConferenceDate,DateofMeetingofShareHolders,TradingDate'</f>
        <v>敦陽科</v>
      </c>
      <c r="AF686" t="str">
        <v>2022/11/07</v>
      </c>
      <c r="AG686" t="str">
        <v>2022/05/27</v>
      </c>
      <c r="AH686" t="str">
        <v>2022/12/22</v>
      </c>
    </row>
    <row r="687" spans="1:34" x14ac:dyDescent="0.3">
      <c r="A687" t="str">
        <f t="array" ref="A687:J687">[1]!'3029.TW-ID,Name,MarketValue,Capital,NetIncomeGrowthRate,OperIncomeGrowthRate,FinancialStatementsTime,TFXRatio,MonthlyNetSalesYoY,RevenueMonth'</f>
        <v>3029</v>
      </c>
      <c r="B687" t="str">
        <v>零壹</v>
      </c>
      <c r="C687" t="str">
        <v>61.5</v>
      </c>
      <c r="D687" t="str">
        <v>15.30</v>
      </c>
      <c r="E687" t="str">
        <v>16.19</v>
      </c>
      <c r="F687" t="str">
        <v>16.65</v>
      </c>
      <c r="G687" t="str">
        <v>2022/09</v>
      </c>
      <c r="H687" t="str">
        <v>3.58</v>
      </c>
      <c r="I687" t="str">
        <v>6.16</v>
      </c>
      <c r="J687" t="str">
        <v>2022/11</v>
      </c>
      <c r="K687" t="str">
        <f t="array" ref="K687:T687">[1]!'3029.TW-OperatingProfitRatio,Price,PriceChangeRatio,InOutRatioNumber,Value,YearReturn,MonthReturn,WeekReturn,FinanceBalanceDif,ChipsField2'</f>
        <v>5.58</v>
      </c>
      <c r="L687">
        <v>40.25</v>
      </c>
      <c r="M687">
        <v>-0.25</v>
      </c>
      <c r="N687" t="str">
        <v>31.78%</v>
      </c>
      <c r="O687" t="str">
        <v>432萬</v>
      </c>
      <c r="P687" t="str">
        <v>+1.42</v>
      </c>
      <c r="Q687" t="str">
        <v>+2.55</v>
      </c>
      <c r="R687" t="str">
        <v>-1.71</v>
      </c>
      <c r="S687">
        <v>1</v>
      </c>
      <c r="T687">
        <v>0</v>
      </c>
      <c r="U687">
        <f t="array" ref="U687:AD687">[1]!'3029.TW-ChipsField3,ChipsField1,ChipsField25,CashAndStockDividend,CashDividendYieldRate,ProfitFourSeason,ProfitSingle,CName,ExchangeIndustry,CompanyPos'</f>
        <v>-7</v>
      </c>
      <c r="V687">
        <v>6</v>
      </c>
      <c r="W687" t="str">
        <v>2022/03/16</v>
      </c>
      <c r="X687" t="str">
        <v>3.60</v>
      </c>
      <c r="Y687">
        <v>8.94</v>
      </c>
      <c r="Z687" t="str">
        <v>4.13</v>
      </c>
      <c r="AA687" t="str">
        <v>1.25</v>
      </c>
      <c r="AB687" t="str">
        <v>零壹</v>
      </c>
      <c r="AC687" t="str">
        <v>上市資訊服務</v>
      </c>
      <c r="AD687" t="str">
        <v>台灣最大的加值型網路代理商</v>
      </c>
      <c r="AE687" t="str">
        <f t="array" ref="AE687:AH687">[1]!'3029.TW-CName,InvestorConferenceDate,DateofMeetingofShareHolders,TradingDate'</f>
        <v>零壹</v>
      </c>
      <c r="AF687" t="str">
        <v>2022/08/23</v>
      </c>
      <c r="AG687" t="str">
        <v>2022/05/26</v>
      </c>
      <c r="AH687" t="str">
        <v>2022/12/22</v>
      </c>
    </row>
    <row r="688" spans="1:34" x14ac:dyDescent="0.3">
      <c r="A688" t="str">
        <f t="array" ref="A688:J688">[1]!'3130.TW-ID,Name,MarketValue,Capital,NetIncomeGrowthRate,OperIncomeGrowthRate,FinancialStatementsTime,TFXRatio,MonthlyNetSalesYoY,RevenueMonth'</f>
        <v>3130</v>
      </c>
      <c r="B688" t="str">
        <v>一零四</v>
      </c>
      <c r="C688" t="str">
        <v>68.7</v>
      </c>
      <c r="D688" t="str">
        <v>3.32</v>
      </c>
      <c r="E688" t="str">
        <v>36.17</v>
      </c>
      <c r="F688" t="str">
        <v>41.20</v>
      </c>
      <c r="G688" t="str">
        <v>2022/09</v>
      </c>
      <c r="H688" t="str">
        <v>-4.13</v>
      </c>
      <c r="I688" t="str">
        <v>9.79</v>
      </c>
      <c r="J688" t="str">
        <v>2022/11</v>
      </c>
      <c r="K688" t="str">
        <f t="array" ref="K688:T688">[1]!'3130.TW-OperatingProfitRatio,Price,PriceChangeRatio,InOutRatioNumber,Value,YearReturn,MonthReturn,WeekReturn,FinanceBalanceDif,ChipsField2'</f>
        <v>26.69</v>
      </c>
      <c r="L688">
        <v>207</v>
      </c>
      <c r="M688">
        <v>0.49</v>
      </c>
      <c r="N688" t="str">
        <v>50.00%</v>
      </c>
      <c r="O688" t="str">
        <v>292萬</v>
      </c>
      <c r="P688" t="str">
        <v>+24.81</v>
      </c>
      <c r="Q688" t="str">
        <v>+8.38</v>
      </c>
      <c r="R688" t="str">
        <v>+1.97</v>
      </c>
      <c r="S688">
        <v>0</v>
      </c>
      <c r="T688">
        <v>0</v>
      </c>
      <c r="U688">
        <f t="array" ref="U688:AD688">[1]!'3130.TW-ChipsField3,ChipsField1,ChipsField25,CashAndStockDividend,CashDividendYieldRate,ProfitFourSeason,ProfitSingle,CName,ExchangeIndustry,CompanyPos'</f>
        <v>0</v>
      </c>
      <c r="V688">
        <v>-6</v>
      </c>
      <c r="W688" t="str">
        <v>2022/07/14</v>
      </c>
      <c r="X688" t="str">
        <v>11.16</v>
      </c>
      <c r="Y688">
        <v>5.39</v>
      </c>
      <c r="Z688" t="str">
        <v>14.15</v>
      </c>
      <c r="AA688" t="str">
        <v>3.64</v>
      </c>
      <c r="AB688" t="str">
        <v>一零四</v>
      </c>
      <c r="AC688" t="str">
        <v>上市資訊服務</v>
      </c>
      <c r="AD688" t="str">
        <v>台灣人力資源網站第一品牌</v>
      </c>
      <c r="AE688" t="str">
        <f t="array" ref="AE688:AH688">[1]!'3130.TW-CName,InvestorConferenceDate,DateofMeetingofShareHolders,TradingDate'</f>
        <v>一零四</v>
      </c>
      <c r="AF688" t="str">
        <v>2022/12/21</v>
      </c>
      <c r="AG688" t="str">
        <v>2022/05/26</v>
      </c>
      <c r="AH688" t="str">
        <v>2022/12/22</v>
      </c>
    </row>
    <row r="689" spans="1:34" x14ac:dyDescent="0.3">
      <c r="A689" t="str">
        <f t="array" ref="A689:J689">[1]!'4994.TW-ID,Name,MarketValue,Capital,NetIncomeGrowthRate,OperIncomeGrowthRate,FinancialStatementsTime,TFXRatio,MonthlyNetSalesYoY,RevenueMonth'</f>
        <v>4994</v>
      </c>
      <c r="B689" t="str">
        <v>傳奇</v>
      </c>
      <c r="C689" t="str">
        <v>44.9</v>
      </c>
      <c r="D689" t="str">
        <v>11.06</v>
      </c>
      <c r="E689" t="str">
        <v>-49.64</v>
      </c>
      <c r="F689" t="str">
        <v>-53.60</v>
      </c>
      <c r="G689" t="str">
        <v>2022/09</v>
      </c>
      <c r="H689" t="str">
        <v>-5.46</v>
      </c>
      <c r="I689" t="str">
        <v>-51.57</v>
      </c>
      <c r="J689" t="str">
        <v>2022/11</v>
      </c>
      <c r="K689" t="str">
        <f t="array" ref="K689:T689">[1]!'4994.TW-OperatingProfitRatio,Price,PriceChangeRatio,InOutRatioNumber,Value,YearReturn,MonthReturn,WeekReturn,FinanceBalanceDif,ChipsField2'</f>
        <v>8.40</v>
      </c>
      <c r="L689">
        <v>40.6</v>
      </c>
      <c r="M689">
        <v>0.62</v>
      </c>
      <c r="N689" t="str">
        <v>46.67%</v>
      </c>
      <c r="O689" t="str">
        <v>252萬</v>
      </c>
      <c r="P689" t="str">
        <v>-34.95</v>
      </c>
      <c r="Q689" t="str">
        <v>-3.33</v>
      </c>
      <c r="R689" t="str">
        <v>-0.61</v>
      </c>
      <c r="S689">
        <v>-7</v>
      </c>
      <c r="T689">
        <v>0</v>
      </c>
      <c r="U689">
        <f t="array" ref="U689:AD689">[1]!'4994.TW-ChipsField3,ChipsField1,ChipsField25,CashAndStockDividend,CashDividendYieldRate,ProfitFourSeason,ProfitSingle,CName,ExchangeIndustry,CompanyPos'</f>
        <v>-6</v>
      </c>
      <c r="V689">
        <v>-3</v>
      </c>
      <c r="W689" t="str">
        <v>2022/07/12</v>
      </c>
      <c r="X689" t="str">
        <v>1.50</v>
      </c>
      <c r="Y689">
        <v>3.69</v>
      </c>
      <c r="Z689" t="str">
        <v>0.66</v>
      </c>
      <c r="AA689" t="str">
        <v>0.08</v>
      </c>
      <c r="AB689" t="str">
        <v>傳奇</v>
      </c>
      <c r="AC689" t="str">
        <v>上市資訊服務</v>
      </c>
      <c r="AD689" t="str">
        <v>台灣知名遊戲開發商</v>
      </c>
      <c r="AE689" t="str">
        <f t="array" ref="AE689:AH689">[1]!'4994.TW-CName,InvestorConferenceDate,DateofMeetingofShareHolders,TradingDate'</f>
        <v>傳奇</v>
      </c>
      <c r="AF689" t="str">
        <v>2022/12/16</v>
      </c>
      <c r="AG689" t="str">
        <v>2022/06/15</v>
      </c>
      <c r="AH689" t="str">
        <v>2022/12/22</v>
      </c>
    </row>
    <row r="690" spans="1:34" x14ac:dyDescent="0.3">
      <c r="A690" t="str">
        <f t="array" ref="A690:J690">[1]!'5203.TW-ID,Name,MarketValue,Capital,NetIncomeGrowthRate,OperIncomeGrowthRate,FinancialStatementsTime,TFXRatio,MonthlyNetSalesYoY,RevenueMonth'</f>
        <v>5203</v>
      </c>
      <c r="B690" t="str">
        <v>訊連</v>
      </c>
      <c r="C690" t="str">
        <v>65.9</v>
      </c>
      <c r="D690" t="str">
        <v>7.89</v>
      </c>
      <c r="E690" t="str">
        <v>58.04</v>
      </c>
      <c r="F690" t="str">
        <v>-8.95</v>
      </c>
      <c r="G690" t="str">
        <v>2022/09</v>
      </c>
      <c r="H690" t="str">
        <v>-3.59</v>
      </c>
      <c r="I690" t="str">
        <v>28.20</v>
      </c>
      <c r="J690" t="str">
        <v>2022/11</v>
      </c>
      <c r="K690" t="str">
        <f t="array" ref="K690:T690">[1]!'5203.TW-OperatingProfitRatio,Price,PriceChangeRatio,InOutRatioNumber,Value,YearReturn,MonthReturn,WeekReturn,FinanceBalanceDif,ChipsField2'</f>
        <v>10.59</v>
      </c>
      <c r="L690">
        <v>83.5</v>
      </c>
      <c r="M690">
        <v>0.97</v>
      </c>
      <c r="N690" t="str">
        <v>33.33%</v>
      </c>
      <c r="O690" t="str">
        <v>309萬</v>
      </c>
      <c r="P690" t="str">
        <v>-5.01</v>
      </c>
      <c r="Q690" t="str">
        <v>-1.42</v>
      </c>
      <c r="R690" t="str">
        <v>-2.00</v>
      </c>
      <c r="S690">
        <v>-8</v>
      </c>
      <c r="T690">
        <v>0</v>
      </c>
      <c r="U690">
        <f t="array" ref="U690:AD690">[1]!'5203.TW-ChipsField3,ChipsField1,ChipsField25,CashAndStockDividend,CashDividendYieldRate,ProfitFourSeason,ProfitSingle,CName,ExchangeIndustry,CompanyPos'</f>
        <v>-3</v>
      </c>
      <c r="V690">
        <v>1</v>
      </c>
      <c r="W690" t="str">
        <v>2022/08/11</v>
      </c>
      <c r="X690" t="str">
        <v>1.71</v>
      </c>
      <c r="Y690">
        <v>2.0499999999999998</v>
      </c>
      <c r="Z690" t="str">
        <v>-6.10</v>
      </c>
      <c r="AA690" t="str">
        <v>1.10</v>
      </c>
      <c r="AB690" t="str">
        <v>訊連</v>
      </c>
      <c r="AC690" t="str">
        <v>上市資訊服務</v>
      </c>
      <c r="AD690" t="str">
        <v>全球知名多媒體影音軟體公司</v>
      </c>
      <c r="AE690" t="str">
        <f t="array" ref="AE690:AH690">[1]!'5203.TW-CName,InvestorConferenceDate,DateofMeetingofShareHolders,TradingDate'</f>
        <v>訊連</v>
      </c>
      <c r="AF690" t="str">
        <v>2022/11/03</v>
      </c>
      <c r="AG690" t="str">
        <v>2022/06/21</v>
      </c>
      <c r="AH690" t="str">
        <v>2022/12/22</v>
      </c>
    </row>
    <row r="691" spans="1:34" x14ac:dyDescent="0.3">
      <c r="A691" t="str">
        <f t="array" ref="A691:J691">[1]!'6112.TW-ID,Name,MarketValue,Capital,NetIncomeGrowthRate,OperIncomeGrowthRate,FinancialStatementsTime,TFXRatio,MonthlyNetSalesYoY,RevenueMonth'</f>
        <v>6112</v>
      </c>
      <c r="B691" t="str">
        <v>邁達特</v>
      </c>
      <c r="C691" t="str">
        <v>40.1</v>
      </c>
      <c r="D691" t="str">
        <v>18.84</v>
      </c>
      <c r="E691" t="str">
        <v>-28.32</v>
      </c>
      <c r="F691" t="str">
        <v>2.35</v>
      </c>
      <c r="G691" t="str">
        <v>2022/09</v>
      </c>
      <c r="H691" t="str">
        <v>6.90</v>
      </c>
      <c r="I691" t="str">
        <v>-1.24</v>
      </c>
      <c r="J691" t="str">
        <v>2022/11</v>
      </c>
      <c r="K691" t="str">
        <f t="array" ref="K691:T691">[1]!'6112.TW-OperatingProfitRatio,Price,PriceChangeRatio,InOutRatioNumber,Value,YearReturn,MonthReturn,WeekReturn,FinanceBalanceDif,ChipsField2'</f>
        <v>4.10</v>
      </c>
      <c r="L691">
        <v>32.799999999999997</v>
      </c>
      <c r="M691">
        <v>0.77</v>
      </c>
      <c r="N691" t="str">
        <v>42.50%</v>
      </c>
      <c r="O691" t="str">
        <v>131萬</v>
      </c>
      <c r="P691" t="str">
        <v>-9.25</v>
      </c>
      <c r="Q691" t="str">
        <v>+2.66</v>
      </c>
      <c r="R691" t="str">
        <v>+0.15</v>
      </c>
      <c r="S691">
        <v>-17</v>
      </c>
      <c r="T691">
        <v>0</v>
      </c>
      <c r="U691">
        <f t="array" ref="U691:AD691">[1]!'6112.TW-ChipsField3,ChipsField1,ChipsField25,CashAndStockDividend,CashDividendYieldRate,ProfitFourSeason,ProfitSingle,CName,ExchangeIndustry,CompanyPos'</f>
        <v>-6</v>
      </c>
      <c r="V691">
        <v>-2</v>
      </c>
      <c r="W691" t="str">
        <v>2022/07/11</v>
      </c>
      <c r="X691" t="str">
        <v>2.50</v>
      </c>
      <c r="Y691">
        <v>7.62</v>
      </c>
      <c r="Z691" t="str">
        <v>2.40</v>
      </c>
      <c r="AA691" t="str">
        <v>0.73</v>
      </c>
      <c r="AB691" t="str">
        <v>邁達特</v>
      </c>
      <c r="AC691" t="str">
        <v>上市資訊服務</v>
      </c>
      <c r="AD691" t="str">
        <v>資訊應用軟硬體服務供應中介之加值型通路商</v>
      </c>
      <c r="AE691" t="str">
        <f t="array" ref="AE691:AH691">[1]!'6112.TW-CName,InvestorConferenceDate,DateofMeetingofShareHolders,TradingDate'</f>
        <v>邁達特</v>
      </c>
      <c r="AF691" t="str">
        <v>2022/11/09</v>
      </c>
      <c r="AG691" t="str">
        <v>2022/05/26</v>
      </c>
      <c r="AH691" t="str">
        <v>2022/12/22</v>
      </c>
    </row>
    <row r="692" spans="1:34" x14ac:dyDescent="0.3">
      <c r="A692" t="str">
        <f t="array" ref="A692:J692">[1]!'6183.TW-ID,Name,MarketValue,Capital,NetIncomeGrowthRate,OperIncomeGrowthRate,FinancialStatementsTime,TFXRatio,MonthlyNetSalesYoY,RevenueMonth'</f>
        <v>6183</v>
      </c>
      <c r="B692" t="str">
        <v>關貿</v>
      </c>
      <c r="C692" t="str">
        <v>88.0</v>
      </c>
      <c r="D692" t="str">
        <v>15.00</v>
      </c>
      <c r="E692" t="str">
        <v>27.69</v>
      </c>
      <c r="F692" t="str">
        <v>23.71</v>
      </c>
      <c r="G692" t="str">
        <v>2022/09</v>
      </c>
      <c r="H692" t="str">
        <v>14.73</v>
      </c>
      <c r="I692" t="str">
        <v>-32.27</v>
      </c>
      <c r="J692" t="str">
        <v>2022/11</v>
      </c>
      <c r="K692" t="str">
        <f t="array" ref="K692:T692">[1]!'6183.TW-OperatingProfitRatio,Price,PriceChangeRatio,InOutRatioNumber,Value,YearReturn,MonthReturn,WeekReturn,FinanceBalanceDif,ChipsField2'</f>
        <v>28.45</v>
      </c>
      <c r="L692">
        <v>58.7</v>
      </c>
      <c r="M692">
        <v>-0.34</v>
      </c>
      <c r="N692" t="str">
        <v>40.00%</v>
      </c>
      <c r="O692" t="str">
        <v>146萬</v>
      </c>
      <c r="P692" t="str">
        <v>+18.69</v>
      </c>
      <c r="Q692" t="str">
        <v>+2.09</v>
      </c>
      <c r="R692" t="str">
        <v>-2.33</v>
      </c>
      <c r="S692">
        <v>1</v>
      </c>
      <c r="T692">
        <v>0</v>
      </c>
      <c r="U692">
        <f t="array" ref="U692:AD692">[1]!'6183.TW-ChipsField3,ChipsField1,ChipsField25,CashAndStockDividend,CashDividendYieldRate,ProfitFourSeason,ProfitSingle,CName,ExchangeIndustry,CompanyPos'</f>
        <v>0</v>
      </c>
      <c r="V692">
        <v>0</v>
      </c>
      <c r="W692" t="str">
        <v>2022/08/22</v>
      </c>
      <c r="X692" t="str">
        <v>2.05</v>
      </c>
      <c r="Y692">
        <v>3.49</v>
      </c>
      <c r="Z692" t="str">
        <v>3.41</v>
      </c>
      <c r="AA692" t="str">
        <v>0.75</v>
      </c>
      <c r="AB692" t="str">
        <v>關貿</v>
      </c>
      <c r="AC692" t="str">
        <v>上市資訊服務</v>
      </c>
      <c r="AD692" t="str">
        <v>台灣政務相關應用軟體業者</v>
      </c>
      <c r="AE692" t="str">
        <f t="array" ref="AE692:AH692">[1]!'6183.TW-CName,InvestorConferenceDate,DateofMeetingofShareHolders,TradingDate'</f>
        <v>關貿</v>
      </c>
      <c r="AF692" t="str">
        <v>2022/08/10</v>
      </c>
      <c r="AG692" t="str">
        <v>2022/06/17</v>
      </c>
      <c r="AH692" t="str">
        <v>2022/12/22</v>
      </c>
    </row>
    <row r="693" spans="1:34" x14ac:dyDescent="0.3">
      <c r="A693" t="str">
        <f t="array" ref="A693:J693">[1]!'6214.TW-ID,Name,MarketValue,Capital,NetIncomeGrowthRate,OperIncomeGrowthRate,FinancialStatementsTime,TFXRatio,MonthlyNetSalesYoY,RevenueMonth'</f>
        <v>6214</v>
      </c>
      <c r="B693" t="str">
        <v>精誠</v>
      </c>
      <c r="C693" t="str">
        <v>191.2</v>
      </c>
      <c r="D693" t="str">
        <v>27.24</v>
      </c>
      <c r="E693" t="str">
        <v>-24.71</v>
      </c>
      <c r="F693" t="str">
        <v>15.64</v>
      </c>
      <c r="G693" t="str">
        <v>2022/09</v>
      </c>
      <c r="H693" t="str">
        <v>-10.69</v>
      </c>
      <c r="I693" t="str">
        <v>25.05</v>
      </c>
      <c r="J693" t="str">
        <v>2022/11</v>
      </c>
      <c r="K693" t="str">
        <f t="array" ref="K693:T693">[1]!'6214.TW-OperatingProfitRatio,Price,PriceChangeRatio,InOutRatioNumber,Value,YearReturn,MonthReturn,WeekReturn,FinanceBalanceDif,ChipsField2'</f>
        <v>4.26</v>
      </c>
      <c r="L693">
        <v>70.2</v>
      </c>
      <c r="M693">
        <v>2.0299999999999998</v>
      </c>
      <c r="N693" t="str">
        <v>96.65%</v>
      </c>
      <c r="O693" t="str">
        <v>6792萬</v>
      </c>
      <c r="P693" t="str">
        <v>-11.01</v>
      </c>
      <c r="Q693" t="str">
        <v>+4.78</v>
      </c>
      <c r="R693" t="str">
        <v>+0.86</v>
      </c>
      <c r="S693">
        <v>1</v>
      </c>
      <c r="T693">
        <v>0</v>
      </c>
      <c r="U693">
        <f t="array" ref="U693:AD693">[1]!'6214.TW-ChipsField3,ChipsField1,ChipsField25,CashAndStockDividend,CashDividendYieldRate,ProfitFourSeason,ProfitSingle,CName,ExchangeIndustry,CompanyPos'</f>
        <v>-32</v>
      </c>
      <c r="V693">
        <v>-31</v>
      </c>
      <c r="W693" t="str">
        <v>2022/06/23</v>
      </c>
      <c r="X693" t="str">
        <v>5.00</v>
      </c>
      <c r="Y693">
        <v>7.12</v>
      </c>
      <c r="Z693" t="str">
        <v>3.74</v>
      </c>
      <c r="AA693" t="str">
        <v>1.27</v>
      </c>
      <c r="AB693" t="str">
        <v>精誠</v>
      </c>
      <c r="AC693" t="str">
        <v>上市資訊服務</v>
      </c>
      <c r="AD693" t="str">
        <v>金融服務、科技整合及加值服務系統業者</v>
      </c>
      <c r="AE693" t="str">
        <f t="array" ref="AE693:AH693">[1]!'6214.TW-CName,InvestorConferenceDate,DateofMeetingofShareHolders,TradingDate'</f>
        <v>精誠</v>
      </c>
      <c r="AF693" t="str">
        <v>2022/11/23</v>
      </c>
      <c r="AG693" t="str">
        <v>2022/05/26</v>
      </c>
      <c r="AH693" t="str">
        <v>2022/12/22</v>
      </c>
    </row>
    <row r="694" spans="1:34" x14ac:dyDescent="0.3">
      <c r="A694" t="str">
        <f t="array" ref="A694:J694">[1]!'2312.TW-ID,Name,MarketValue,Capital,NetIncomeGrowthRate,OperIncomeGrowthRate,FinancialStatementsTime,TFXRatio,MonthlyNetSalesYoY,RevenueMonth'</f>
        <v>2312</v>
      </c>
      <c r="B694" t="str">
        <v>金寶</v>
      </c>
      <c r="C694" t="str">
        <v>206.0</v>
      </c>
      <c r="D694" t="str">
        <v>149.31</v>
      </c>
      <c r="E694" t="str">
        <v>75.44</v>
      </c>
      <c r="F694" t="str">
        <v>21.74</v>
      </c>
      <c r="G694" t="str">
        <v>2022/09</v>
      </c>
      <c r="H694" t="str">
        <v>9.71</v>
      </c>
      <c r="I694" t="str">
        <v>47.88</v>
      </c>
      <c r="J694" t="str">
        <v>2022/11</v>
      </c>
      <c r="K694" t="str">
        <f t="array" ref="K694:T694">[1]!'2312.TW-OperatingProfitRatio,Price,PriceChangeRatio,InOutRatioNumber,Value,YearReturn,MonthReturn,WeekReturn,FinanceBalanceDif,ChipsField2'</f>
        <v>1.24</v>
      </c>
      <c r="L694">
        <v>13.8</v>
      </c>
      <c r="M694">
        <v>0.73</v>
      </c>
      <c r="N694" t="str">
        <v>42.07%</v>
      </c>
      <c r="O694" t="str">
        <v>2804萬</v>
      </c>
      <c r="P694" t="str">
        <v>-5.93</v>
      </c>
      <c r="Q694" t="str">
        <v>-0.72</v>
      </c>
      <c r="R694" t="str">
        <v>-3.83</v>
      </c>
      <c r="S694">
        <v>24</v>
      </c>
      <c r="T694">
        <v>0</v>
      </c>
      <c r="U694">
        <f t="array" ref="U694:AD694">[1]!'2312.TW-ChipsField3,ChipsField1,ChipsField25,CashAndStockDividend,CashDividendYieldRate,ProfitFourSeason,ProfitSingle,CName,ExchangeIndustry,CompanyPos'</f>
        <v>-140</v>
      </c>
      <c r="V694">
        <v>-140</v>
      </c>
      <c r="W694" t="str">
        <v>2022/08/02</v>
      </c>
      <c r="X694" t="str">
        <v>0.20</v>
      </c>
      <c r="Y694">
        <v>1.45</v>
      </c>
      <c r="Z694" t="str">
        <v>0.59</v>
      </c>
      <c r="AA694" t="str">
        <v>0.30</v>
      </c>
      <c r="AB694" t="str">
        <v>金寶</v>
      </c>
      <c r="AC694" t="str">
        <v>上市其他電子</v>
      </c>
      <c r="AD694" t="str">
        <v>金仁寶集團旗下消費性電子代工廠</v>
      </c>
      <c r="AE694" t="str">
        <f t="array" ref="AE694:AH694">[1]!'2312.TW-CName,InvestorConferenceDate,DateofMeetingofShareHolders,TradingDate'</f>
        <v>金寶</v>
      </c>
      <c r="AF694" t="str">
        <v>2022/12/09</v>
      </c>
      <c r="AG694" t="str">
        <v>2022/06/27</v>
      </c>
      <c r="AH694" t="str">
        <v>2022/12/22</v>
      </c>
    </row>
    <row r="695" spans="1:34" x14ac:dyDescent="0.3">
      <c r="A695" t="str">
        <f t="array" ref="A695:J695">[1]!'2317.TW-ID,Name,MarketValue,Capital,NetIncomeGrowthRate,OperIncomeGrowthRate,FinancialStatementsTime,TFXRatio,MonthlyNetSalesYoY,RevenueMonth'</f>
        <v>2317</v>
      </c>
      <c r="B695" t="str">
        <v>鴻海</v>
      </c>
      <c r="C695" t="str">
        <v>14001.6</v>
      </c>
      <c r="D695" t="str">
        <v>1386.30</v>
      </c>
      <c r="E695" t="str">
        <v>3.28</v>
      </c>
      <c r="F695" t="str">
        <v>34.62</v>
      </c>
      <c r="G695" t="str">
        <v>2022/09</v>
      </c>
      <c r="H695" t="str">
        <v>-29.04</v>
      </c>
      <c r="I695" t="str">
        <v>-11.36</v>
      </c>
      <c r="J695" t="str">
        <v>2022/11</v>
      </c>
      <c r="K695" t="str">
        <f t="array" ref="K695:T695">[1]!'2317.TW-OperatingProfitRatio,Price,PriceChangeRatio,InOutRatioNumber,Value,YearReturn,MonthReturn,WeekReturn,FinanceBalanceDif,ChipsField2'</f>
        <v>2.78</v>
      </c>
      <c r="L695">
        <v>101</v>
      </c>
      <c r="M695">
        <v>1</v>
      </c>
      <c r="N695" t="str">
        <v>61.40%</v>
      </c>
      <c r="O695" t="str">
        <v>21.3億</v>
      </c>
      <c r="P695" t="str">
        <v>+1.64</v>
      </c>
      <c r="Q695" t="str">
        <v>+1.00</v>
      </c>
      <c r="R695" t="str">
        <v>-1.46</v>
      </c>
      <c r="S695">
        <v>149</v>
      </c>
      <c r="T695">
        <v>6730</v>
      </c>
      <c r="U695">
        <f t="array" ref="U695:AD695">[1]!'2317.TW-ChipsField3,ChipsField1,ChipsField25,CashAndStockDividend,CashDividendYieldRate,ProfitFourSeason,ProfitSingle,CName,ExchangeIndustry,CompanyPos'</f>
        <v>-1593</v>
      </c>
      <c r="V695">
        <v>-12424</v>
      </c>
      <c r="W695" t="str">
        <v>2022/07/04</v>
      </c>
      <c r="X695" t="str">
        <v>5.20</v>
      </c>
      <c r="Y695">
        <v>5.15</v>
      </c>
      <c r="Z695" t="str">
        <v>10.53</v>
      </c>
      <c r="AA695" t="str">
        <v>2.80</v>
      </c>
      <c r="AB695" t="str">
        <v>鴻海</v>
      </c>
      <c r="AC695" t="str">
        <v>上市其他電子</v>
      </c>
      <c r="AD695" t="str">
        <v>全球最大EMS電子專業代工廠</v>
      </c>
      <c r="AE695" t="str">
        <f t="array" ref="AE695:AH695">[1]!'2317.TW-CName,InvestorConferenceDate,DateofMeetingofShareHolders,TradingDate'</f>
        <v>鴻海</v>
      </c>
      <c r="AF695" t="str">
        <v>2022/12/13</v>
      </c>
      <c r="AG695" t="str">
        <v>2022/05/31</v>
      </c>
      <c r="AH695" t="str">
        <v>2022/12/22</v>
      </c>
    </row>
    <row r="696" spans="1:34" x14ac:dyDescent="0.3">
      <c r="A696" t="str">
        <f t="array" ref="A696:J696">[1]!'2354.TW-ID,Name,MarketValue,Capital,NetIncomeGrowthRate,OperIncomeGrowthRate,FinancialStatementsTime,TFXRatio,MonthlyNetSalesYoY,RevenueMonth'</f>
        <v>2354</v>
      </c>
      <c r="B696" t="str">
        <v>鴻準</v>
      </c>
      <c r="C696" t="str">
        <v>735.5</v>
      </c>
      <c r="D696" t="str">
        <v>141.45</v>
      </c>
      <c r="E696" t="str">
        <v>-5.24</v>
      </c>
      <c r="F696" t="str">
        <v>-29.78</v>
      </c>
      <c r="G696" t="str">
        <v>2022/09</v>
      </c>
      <c r="H696" t="str">
        <v>18.79</v>
      </c>
      <c r="I696" t="str">
        <v>24.86</v>
      </c>
      <c r="J696" t="str">
        <v>2022/11</v>
      </c>
      <c r="K696" t="str">
        <f t="array" ref="K696:T696">[1]!'2354.TW-OperatingProfitRatio,Price,PriceChangeRatio,InOutRatioNumber,Value,YearReturn,MonthReturn,WeekReturn,FinanceBalanceDif,ChipsField2'</f>
        <v>2.87</v>
      </c>
      <c r="L696">
        <v>52</v>
      </c>
      <c r="M696">
        <v>2.77</v>
      </c>
      <c r="N696" t="str">
        <v>58.70%</v>
      </c>
      <c r="O696" t="str">
        <v>1.34億</v>
      </c>
      <c r="P696" t="str">
        <v>-15.83</v>
      </c>
      <c r="Q696" t="str">
        <v>+4.94</v>
      </c>
      <c r="R696" t="str">
        <v>-3.17</v>
      </c>
      <c r="S696">
        <v>-71</v>
      </c>
      <c r="T696">
        <v>0</v>
      </c>
      <c r="U696">
        <f t="array" ref="U696:AD696">[1]!'2354.TW-ChipsField3,ChipsField1,ChipsField25,CashAndStockDividend,CashDividendYieldRate,ProfitFourSeason,ProfitSingle,CName,ExchangeIndustry,CompanyPos'</f>
        <v>-143</v>
      </c>
      <c r="V696">
        <v>162</v>
      </c>
      <c r="W696" t="str">
        <v>2022/07/04</v>
      </c>
      <c r="X696" t="str">
        <v>1.70</v>
      </c>
      <c r="Y696">
        <v>3.27</v>
      </c>
      <c r="Z696" t="str">
        <v>3.03</v>
      </c>
      <c r="AA696" t="str">
        <v>1.10</v>
      </c>
      <c r="AB696" t="str">
        <v>鴻準</v>
      </c>
      <c r="AC696" t="str">
        <v>上市其他電子</v>
      </c>
      <c r="AD696" t="str">
        <v>鴻海旗下散熱模組及鋁鎂合金廠</v>
      </c>
      <c r="AE696" t="str">
        <f t="array" ref="AE696:AH696">[1]!'2354.TW-CName,InvestorConferenceDate,DateofMeetingofShareHolders,TradingDate'</f>
        <v>鴻準</v>
      </c>
      <c r="AF696" t="str">
        <v>2021/03/22</v>
      </c>
      <c r="AG696" t="str">
        <v>2022/05/31</v>
      </c>
      <c r="AH696" t="str">
        <v>2022/12/22</v>
      </c>
    </row>
    <row r="697" spans="1:34" x14ac:dyDescent="0.3">
      <c r="A697" t="str">
        <f t="array" ref="A697:J697">[1]!'2359.TW-ID,Name,MarketValue,Capital,NetIncomeGrowthRate,OperIncomeGrowthRate,FinancialStatementsTime,TFXRatio,MonthlyNetSalesYoY,RevenueMonth'</f>
        <v>2359</v>
      </c>
      <c r="B697" t="str">
        <v>所羅門</v>
      </c>
      <c r="C697" t="str">
        <v>45.9</v>
      </c>
      <c r="D697" t="str">
        <v>17.15</v>
      </c>
      <c r="E697" t="str">
        <v>318.20</v>
      </c>
      <c r="F697" t="str">
        <v>547.31</v>
      </c>
      <c r="G697" t="str">
        <v>2022/09</v>
      </c>
      <c r="H697" t="str">
        <v>65.35</v>
      </c>
      <c r="I697" t="str">
        <v>45.05</v>
      </c>
      <c r="J697" t="str">
        <v>2022/11</v>
      </c>
      <c r="K697" t="str">
        <f t="array" ref="K697:T697">[1]!'2359.TW-OperatingProfitRatio,Price,PriceChangeRatio,InOutRatioNumber,Value,YearReturn,MonthReturn,WeekReturn,FinanceBalanceDif,ChipsField2'</f>
        <v>5.15</v>
      </c>
      <c r="L697">
        <v>26.75</v>
      </c>
      <c r="M697">
        <v>0</v>
      </c>
      <c r="N697" t="str">
        <v>42.76%</v>
      </c>
      <c r="O697" t="str">
        <v>4527萬</v>
      </c>
      <c r="P697" t="str">
        <v>+57.81</v>
      </c>
      <c r="Q697" t="str">
        <v>+7.43</v>
      </c>
      <c r="R697" t="str">
        <v>-1.29</v>
      </c>
      <c r="S697">
        <v>-32</v>
      </c>
      <c r="T697">
        <v>0</v>
      </c>
      <c r="U697">
        <f t="array" ref="U697:AD697">[1]!'2359.TW-ChipsField3,ChipsField1,ChipsField25,CashAndStockDividend,CashDividendYieldRate,ProfitFourSeason,ProfitSingle,CName,ExchangeIndustry,CompanyPos'</f>
        <v>-5</v>
      </c>
      <c r="V697">
        <v>602</v>
      </c>
      <c r="W697" t="str">
        <v>2022/07/07</v>
      </c>
      <c r="X697" t="str">
        <v>0.90</v>
      </c>
      <c r="Y697">
        <v>3.36</v>
      </c>
      <c r="Z697" t="str">
        <v>3.23</v>
      </c>
      <c r="AA697" t="str">
        <v>1.11</v>
      </c>
      <c r="AB697" t="str">
        <v>所羅門</v>
      </c>
      <c r="AC697" t="str">
        <v>上市其他電子</v>
      </c>
      <c r="AD697" t="str">
        <v>3D機器視覺及工業用AI領導品牌</v>
      </c>
      <c r="AE697" t="str">
        <f t="array" ref="AE697:AH697">[1]!'2359.TW-CName,InvestorConferenceDate,DateofMeetingofShareHolders,TradingDate'</f>
        <v>所羅門</v>
      </c>
      <c r="AF697" t="str">
        <v>2022/11/22</v>
      </c>
      <c r="AG697" t="str">
        <v>2022/06/08</v>
      </c>
      <c r="AH697" t="str">
        <v>2022/12/22</v>
      </c>
    </row>
    <row r="698" spans="1:34" x14ac:dyDescent="0.3">
      <c r="A698" t="str">
        <f t="array" ref="A698:J698">[1]!'2360.TW-ID,Name,MarketValue,Capital,NetIncomeGrowthRate,OperIncomeGrowthRate,FinancialStatementsTime,TFXRatio,MonthlyNetSalesYoY,RevenueMonth'</f>
        <v>2360</v>
      </c>
      <c r="B698" t="str">
        <v>致茂</v>
      </c>
      <c r="C698" t="str">
        <v>757.3</v>
      </c>
      <c r="D698" t="str">
        <v>42.54</v>
      </c>
      <c r="E698" t="str">
        <v>20.01</v>
      </c>
      <c r="F698" t="str">
        <v>70.02</v>
      </c>
      <c r="G698" t="str">
        <v>2022/09</v>
      </c>
      <c r="H698" t="str">
        <v>-31.36</v>
      </c>
      <c r="I698" t="str">
        <v>51.62</v>
      </c>
      <c r="J698" t="str">
        <v>2022/11</v>
      </c>
      <c r="K698" t="str">
        <f t="array" ref="K698:T698">[1]!'2360.TW-OperatingProfitRatio,Price,PriceChangeRatio,InOutRatioNumber,Value,YearReturn,MonthReturn,WeekReturn,FinanceBalanceDif,ChipsField2'</f>
        <v>24.91</v>
      </c>
      <c r="L698">
        <v>178</v>
      </c>
      <c r="M698">
        <v>0.28000000000000003</v>
      </c>
      <c r="N698" t="str">
        <v>32.10%</v>
      </c>
      <c r="O698" t="str">
        <v>1.12億</v>
      </c>
      <c r="P698" t="str">
        <v>-1.03</v>
      </c>
      <c r="Q698" t="str">
        <v>-5.32</v>
      </c>
      <c r="R698" t="str">
        <v>-1.11</v>
      </c>
      <c r="S698">
        <v>4</v>
      </c>
      <c r="T698">
        <v>31</v>
      </c>
      <c r="U698">
        <f t="array" ref="U698:AD698">[1]!'2360.TW-ChipsField3,ChipsField1,ChipsField25,CashAndStockDividend,CashDividendYieldRate,ProfitFourSeason,ProfitSingle,CName,ExchangeIndustry,CompanyPos'</f>
        <v>-26</v>
      </c>
      <c r="V698">
        <v>-61</v>
      </c>
      <c r="W698" t="str">
        <v>2022/07/25</v>
      </c>
      <c r="X698" t="str">
        <v>6.98</v>
      </c>
      <c r="Y698">
        <v>3.92</v>
      </c>
      <c r="Z698" t="str">
        <v>11.67</v>
      </c>
      <c r="AA698" t="str">
        <v>4.12</v>
      </c>
      <c r="AB698" t="str">
        <v>致茂</v>
      </c>
      <c r="AC698" t="str">
        <v>上市其他電子</v>
      </c>
      <c r="AD698" t="str">
        <v>全球知名的自動測試設備品牌大廠</v>
      </c>
      <c r="AE698" t="str">
        <f t="array" ref="AE698:AH698">[1]!'2360.TW-CName,InvestorConferenceDate,DateofMeetingofShareHolders,TradingDate'</f>
        <v>致茂</v>
      </c>
      <c r="AF698" t="str">
        <v>2022/10/31</v>
      </c>
      <c r="AG698" t="str">
        <v>2022/06/09</v>
      </c>
      <c r="AH698" t="str">
        <v>2022/12/22</v>
      </c>
    </row>
    <row r="699" spans="1:34" x14ac:dyDescent="0.3">
      <c r="A699" t="str">
        <f t="array" ref="A699:J699">[1]!'2373.TW-ID,Name,MarketValue,Capital,NetIncomeGrowthRate,OperIncomeGrowthRate,FinancialStatementsTime,TFXRatio,MonthlyNetSalesYoY,RevenueMonth'</f>
        <v>2373</v>
      </c>
      <c r="B699" t="str">
        <v>震旦行</v>
      </c>
      <c r="C699" t="str">
        <v>184.7</v>
      </c>
      <c r="D699" t="str">
        <v>23.62</v>
      </c>
      <c r="E699" t="str">
        <v>-7.71</v>
      </c>
      <c r="F699" t="str">
        <v>-24.73</v>
      </c>
      <c r="G699" t="str">
        <v>2022/09</v>
      </c>
      <c r="H699" t="str">
        <v>-0.68</v>
      </c>
      <c r="I699" t="str">
        <v>-11.50</v>
      </c>
      <c r="J699" t="str">
        <v>2022/11</v>
      </c>
      <c r="K699" t="str">
        <f t="array" ref="K699:T699">[1]!'2373.TW-OperatingProfitRatio,Price,PriceChangeRatio,InOutRatioNumber,Value,YearReturn,MonthReturn,WeekReturn,FinanceBalanceDif,ChipsField2'</f>
        <v>8.10</v>
      </c>
      <c r="L699">
        <v>78.2</v>
      </c>
      <c r="M699">
        <v>0.64</v>
      </c>
      <c r="N699" t="str">
        <v>34.78%</v>
      </c>
      <c r="O699" t="str">
        <v>195萬</v>
      </c>
      <c r="P699" t="str">
        <v>-6.90</v>
      </c>
      <c r="Q699" t="str">
        <v>+0.51</v>
      </c>
      <c r="R699" t="str">
        <v>-0.38</v>
      </c>
      <c r="S699">
        <v>0</v>
      </c>
      <c r="T699">
        <v>0</v>
      </c>
      <c r="U699">
        <f t="array" ref="U699:AD699">[1]!'2373.TW-ChipsField3,ChipsField1,ChipsField25,CashAndStockDividend,CashDividendYieldRate,ProfitFourSeason,ProfitSingle,CName,ExchangeIndustry,CompanyPos'</f>
        <v>-6</v>
      </c>
      <c r="V699">
        <v>-1</v>
      </c>
      <c r="W699" t="str">
        <v>2022/07/06</v>
      </c>
      <c r="X699" t="str">
        <v>6.00</v>
      </c>
      <c r="Y699">
        <v>7.67</v>
      </c>
      <c r="Z699" t="str">
        <v>5.92</v>
      </c>
      <c r="AA699" t="str">
        <v>2.27</v>
      </c>
      <c r="AB699" t="str">
        <v>震旦行</v>
      </c>
      <c r="AC699" t="str">
        <v>上市其他電子</v>
      </c>
      <c r="AD699" t="str">
        <v>台灣最大的辦公設備與辦公家俱通路商</v>
      </c>
      <c r="AE699" t="str">
        <f t="array" ref="AE699:AH699">[1]!'2373.TW-CName,InvestorConferenceDate,DateofMeetingofShareHolders,TradingDate'</f>
        <v>震旦行</v>
      </c>
      <c r="AF699" t="str">
        <v>2022/11/23</v>
      </c>
      <c r="AG699" t="str">
        <v>2022/06/09</v>
      </c>
      <c r="AH699" t="str">
        <v>2022/12/22</v>
      </c>
    </row>
    <row r="700" spans="1:34" x14ac:dyDescent="0.3">
      <c r="A700" t="str">
        <f t="array" ref="A700:J700">[1]!'2390.TW-ID,Name,MarketValue,Capital,NetIncomeGrowthRate,OperIncomeGrowthRate,FinancialStatementsTime,TFXRatio,MonthlyNetSalesYoY,RevenueMonth'</f>
        <v>2390</v>
      </c>
      <c r="B700" t="str">
        <v>云辰</v>
      </c>
      <c r="C700" t="str">
        <v>25.3</v>
      </c>
      <c r="D700" t="str">
        <v>19.26</v>
      </c>
      <c r="E700" t="str">
        <v>-156.53</v>
      </c>
      <c r="F700" t="str">
        <v>68.31</v>
      </c>
      <c r="G700" t="str">
        <v>2022/09</v>
      </c>
      <c r="H700" t="str">
        <v>-13.21</v>
      </c>
      <c r="I700" t="str">
        <v>-7.27</v>
      </c>
      <c r="J700" t="str">
        <v>2022/11</v>
      </c>
      <c r="K700" t="str">
        <f t="array" ref="K700:T700">[1]!'2390.TW-OperatingProfitRatio,Price,PriceChangeRatio,InOutRatioNumber,Value,YearReturn,MonthReturn,WeekReturn,FinanceBalanceDif,ChipsField2'</f>
        <v>-9.80</v>
      </c>
      <c r="L700">
        <v>13.15</v>
      </c>
      <c r="M700">
        <v>1.94</v>
      </c>
      <c r="N700" t="str">
        <v>59.91%</v>
      </c>
      <c r="O700" t="str">
        <v>581萬</v>
      </c>
      <c r="P700" t="str">
        <v>-38.16</v>
      </c>
      <c r="Q700" t="str">
        <v>-1.87</v>
      </c>
      <c r="R700" t="str">
        <v>-4.36</v>
      </c>
      <c r="S700">
        <v>-68</v>
      </c>
      <c r="T700">
        <v>0</v>
      </c>
      <c r="U700">
        <f t="array" ref="U700:AD700">[1]!'2390.TW-ChipsField3,ChipsField1,ChipsField25,CashAndStockDividend,CashDividendYieldRate,ProfitFourSeason,ProfitSingle,CName,ExchangeIndustry,CompanyPos'</f>
        <v>0</v>
      </c>
      <c r="V700">
        <v>46</v>
      </c>
      <c r="W700" t="str">
        <v>2022/07/11</v>
      </c>
      <c r="X700" t="str">
        <v>1.00</v>
      </c>
      <c r="Y700">
        <v>7.6</v>
      </c>
      <c r="Z700" t="str">
        <v>-3.26</v>
      </c>
      <c r="AA700" t="str">
        <v>-1.97</v>
      </c>
      <c r="AB700" t="str">
        <v>云辰</v>
      </c>
      <c r="AC700" t="str">
        <v>上市其他電子</v>
      </c>
      <c r="AD700" t="str">
        <v>台灣防盜器龍頭廠商，轉型為智慧家庭解決方案商</v>
      </c>
      <c r="AE700" t="str">
        <f t="array" ref="AE700:AH700">[1]!'2390.TW-CName,InvestorConferenceDate,DateofMeetingofShareHolders,TradingDate'</f>
        <v>云辰</v>
      </c>
      <c r="AF700" t="str">
        <v>2021/12/23</v>
      </c>
      <c r="AG700" t="str">
        <v>2022/06/23</v>
      </c>
      <c r="AH700" t="str">
        <v>2022/12/22</v>
      </c>
    </row>
    <row r="701" spans="1:34" x14ac:dyDescent="0.3">
      <c r="A701" t="str">
        <f t="array" ref="A701:J701">[1]!'2404.TW-ID,Name,MarketValue,Capital,NetIncomeGrowthRate,OperIncomeGrowthRate,FinancialStatementsTime,TFXRatio,MonthlyNetSalesYoY,RevenueMonth'</f>
        <v>2404</v>
      </c>
      <c r="B701" t="str">
        <v>漢唐</v>
      </c>
      <c r="C701" t="str">
        <v>355.4</v>
      </c>
      <c r="D701" t="str">
        <v>19.06</v>
      </c>
      <c r="E701" t="str">
        <v>52.67</v>
      </c>
      <c r="F701" t="str">
        <v>68.77</v>
      </c>
      <c r="G701" t="str">
        <v>2022/09</v>
      </c>
      <c r="H701" t="str">
        <v>-33.05</v>
      </c>
      <c r="I701" t="str">
        <v>103.66</v>
      </c>
      <c r="J701" t="str">
        <v>2022/11</v>
      </c>
      <c r="K701" t="str">
        <f t="array" ref="K701:T701">[1]!'2404.TW-OperatingProfitRatio,Price,PriceChangeRatio,InOutRatioNumber,Value,YearReturn,MonthReturn,WeekReturn,FinanceBalanceDif,ChipsField2'</f>
        <v>12.92</v>
      </c>
      <c r="L701">
        <v>186.5</v>
      </c>
      <c r="M701">
        <v>0.81</v>
      </c>
      <c r="N701" t="str">
        <v>58.15%</v>
      </c>
      <c r="O701" t="str">
        <v>1.62億</v>
      </c>
      <c r="P701" t="str">
        <v>+18.91</v>
      </c>
      <c r="Q701" t="str">
        <v>+7.49</v>
      </c>
      <c r="R701" t="str">
        <v>+2.47</v>
      </c>
      <c r="S701">
        <v>-50</v>
      </c>
      <c r="T701">
        <v>353</v>
      </c>
      <c r="U701">
        <f t="array" ref="U701:AD701">[1]!'2404.TW-ChipsField3,ChipsField1,ChipsField25,CashAndStockDividend,CashDividendYieldRate,ProfitFourSeason,ProfitSingle,CName,ExchangeIndustry,CompanyPos'</f>
        <v>9</v>
      </c>
      <c r="V701">
        <v>-179</v>
      </c>
      <c r="W701" t="str">
        <v>2022/06/28</v>
      </c>
      <c r="X701" t="str">
        <v>13.13</v>
      </c>
      <c r="Y701">
        <v>7.04</v>
      </c>
      <c r="Z701" t="str">
        <v>20.07</v>
      </c>
      <c r="AA701" t="str">
        <v>8.47</v>
      </c>
      <c r="AB701" t="str">
        <v>漢唐</v>
      </c>
      <c r="AC701" t="str">
        <v>上市其他電子</v>
      </c>
      <c r="AD701" t="str">
        <v>台積電最大的無塵室供應商</v>
      </c>
      <c r="AE701" t="str">
        <f t="array" ref="AE701:AH701">[1]!'2404.TW-CName,InvestorConferenceDate,DateofMeetingofShareHolders,TradingDate'</f>
        <v>漢唐</v>
      </c>
      <c r="AF701" t="str">
        <v>2022/06/14</v>
      </c>
      <c r="AG701" t="str">
        <v>2022/05/26</v>
      </c>
      <c r="AH701" t="str">
        <v>2022/12/22</v>
      </c>
    </row>
    <row r="702" spans="1:34" x14ac:dyDescent="0.3">
      <c r="A702" t="str">
        <f t="array" ref="A702:J702">[1]!'2423.TW-ID,Name,MarketValue,Capital,NetIncomeGrowthRate,OperIncomeGrowthRate,FinancialStatementsTime,TFXRatio,MonthlyNetSalesYoY,RevenueMonth'</f>
        <v>2423</v>
      </c>
      <c r="B702" t="str">
        <v>固緯</v>
      </c>
      <c r="C702" t="str">
        <v>39.6</v>
      </c>
      <c r="D702" t="str">
        <v>14.50</v>
      </c>
      <c r="E702" t="str">
        <v>50.51</v>
      </c>
      <c r="F702" t="str">
        <v>26.16</v>
      </c>
      <c r="G702" t="str">
        <v>2022/09</v>
      </c>
      <c r="H702" t="str">
        <v>15.27</v>
      </c>
      <c r="I702" t="str">
        <v>14.76</v>
      </c>
      <c r="J702" t="str">
        <v>2022/11</v>
      </c>
      <c r="K702" t="str">
        <f t="array" ref="K702:T702">[1]!'2423.TW-OperatingProfitRatio,Price,PriceChangeRatio,InOutRatioNumber,Value,YearReturn,MonthReturn,WeekReturn,FinanceBalanceDif,ChipsField2'</f>
        <v>16.75</v>
      </c>
      <c r="L702">
        <v>27.3</v>
      </c>
      <c r="M702">
        <v>0.55000000000000004</v>
      </c>
      <c r="N702" t="str">
        <v>43.14%</v>
      </c>
      <c r="O702" t="str">
        <v>283萬</v>
      </c>
      <c r="P702" t="str">
        <v>+2.45</v>
      </c>
      <c r="Q702" t="str">
        <v>+1.49</v>
      </c>
      <c r="R702" t="str">
        <v>0.00</v>
      </c>
      <c r="S702">
        <v>1</v>
      </c>
      <c r="T702">
        <v>0</v>
      </c>
      <c r="U702">
        <f t="array" ref="U702:AD702">[1]!'2423.TW-ChipsField3,ChipsField1,ChipsField25,CashAndStockDividend,CashDividendYieldRate,ProfitFourSeason,ProfitSingle,CName,ExchangeIndustry,CompanyPos'</f>
        <v>0</v>
      </c>
      <c r="V702">
        <v>1</v>
      </c>
      <c r="W702" t="str">
        <v>2022/06/22</v>
      </c>
      <c r="X702" t="str">
        <v>1.50</v>
      </c>
      <c r="Y702">
        <v>5.49</v>
      </c>
      <c r="Z702" t="str">
        <v>2.69</v>
      </c>
      <c r="AA702" t="str">
        <v>0.82</v>
      </c>
      <c r="AB702" t="str">
        <v>固緯</v>
      </c>
      <c r="AC702" t="str">
        <v>上市其他電子</v>
      </c>
      <c r="AD702" t="str">
        <v>台灣知名的電子量測儀器廠</v>
      </c>
      <c r="AE702" t="str">
        <f t="array" ref="AE702:AH702">[1]!'2423.TW-CName,InvestorConferenceDate,DateofMeetingofShareHolders,TradingDate'</f>
        <v>固緯</v>
      </c>
      <c r="AF702" t="str">
        <v>2022/07/28</v>
      </c>
      <c r="AG702" t="str">
        <v>2022/05/27</v>
      </c>
      <c r="AH702" t="str">
        <v>2022/12/22</v>
      </c>
    </row>
    <row r="703" spans="1:34" x14ac:dyDescent="0.3">
      <c r="A703" t="str">
        <f t="array" ref="A703:J703">[1]!'2433.TW-ID,Name,MarketValue,Capital,NetIncomeGrowthRate,OperIncomeGrowthRate,FinancialStatementsTime,TFXRatio,MonthlyNetSalesYoY,RevenueMonth'</f>
        <v>2433</v>
      </c>
      <c r="B703" t="str">
        <v>互盛電</v>
      </c>
      <c r="C703" t="str">
        <v>69.5</v>
      </c>
      <c r="D703" t="str">
        <v>14.45</v>
      </c>
      <c r="E703" t="str">
        <v>3.19</v>
      </c>
      <c r="F703" t="str">
        <v>5.13</v>
      </c>
      <c r="G703" t="str">
        <v>2022/09</v>
      </c>
      <c r="H703" t="str">
        <v>-1.13</v>
      </c>
      <c r="I703" t="str">
        <v>-17.41</v>
      </c>
      <c r="J703" t="str">
        <v>2022/11</v>
      </c>
      <c r="K703" t="str">
        <f t="array" ref="K703:T703">[1]!'2433.TW-OperatingProfitRatio,Price,PriceChangeRatio,InOutRatioNumber,Value,YearReturn,MonthReturn,WeekReturn,FinanceBalanceDif,ChipsField2'</f>
        <v>14.03</v>
      </c>
      <c r="L703">
        <v>48.1</v>
      </c>
      <c r="M703">
        <v>0.1</v>
      </c>
      <c r="N703" t="str">
        <v>15.15%</v>
      </c>
      <c r="O703" t="str">
        <v>164萬</v>
      </c>
      <c r="P703" t="str">
        <v>+1.04</v>
      </c>
      <c r="Q703" t="str">
        <v>+0.84</v>
      </c>
      <c r="R703" t="str">
        <v>-0.41</v>
      </c>
      <c r="S703">
        <v>-3</v>
      </c>
      <c r="T703">
        <v>0</v>
      </c>
      <c r="U703">
        <f t="array" ref="U703:AD703">[1]!'2433.TW-ChipsField3,ChipsField1,ChipsField25,CashAndStockDividend,CashDividendYieldRate,ProfitFourSeason,ProfitSingle,CName,ExchangeIndustry,CompanyPos'</f>
        <v>0</v>
      </c>
      <c r="V703">
        <v>-1</v>
      </c>
      <c r="W703" t="str">
        <v>2022/07/06</v>
      </c>
      <c r="X703" t="str">
        <v>3.50</v>
      </c>
      <c r="Y703">
        <v>7.28</v>
      </c>
      <c r="Z703" t="str">
        <v>3.86</v>
      </c>
      <c r="AA703" t="str">
        <v>1.89</v>
      </c>
      <c r="AB703" t="str">
        <v>互盛電</v>
      </c>
      <c r="AC703" t="str">
        <v>上市其他電子</v>
      </c>
      <c r="AD703" t="str">
        <v>日本理光辦公事務機器之台灣代理商</v>
      </c>
      <c r="AE703" t="str">
        <f t="array" ref="AE703:AH703">[1]!'2433.TW-CName,InvestorConferenceDate,DateofMeetingofShareHolders,TradingDate'</f>
        <v>互盛電</v>
      </c>
      <c r="AF703" t="str">
        <v>2022/11/23</v>
      </c>
      <c r="AG703" t="str">
        <v>2022/06/08</v>
      </c>
      <c r="AH703" t="str">
        <v>2022/12/22</v>
      </c>
    </row>
    <row r="704" spans="1:34" x14ac:dyDescent="0.3">
      <c r="A704" t="str">
        <f t="array" ref="A704:J704">[1]!'2459.TW-ID,Name,MarketValue,Capital,NetIncomeGrowthRate,OperIncomeGrowthRate,FinancialStatementsTime,TFXRatio,MonthlyNetSalesYoY,RevenueMonth'</f>
        <v>2459</v>
      </c>
      <c r="B704" t="str">
        <v>敦吉</v>
      </c>
      <c r="C704" t="str">
        <v>54.6</v>
      </c>
      <c r="D704" t="str">
        <v>10.56</v>
      </c>
      <c r="E704" t="str">
        <v>10.57</v>
      </c>
      <c r="F704" t="str">
        <v>19.29</v>
      </c>
      <c r="G704" t="str">
        <v>2022/09</v>
      </c>
      <c r="H704" t="str">
        <v>-7.84</v>
      </c>
      <c r="I704" t="str">
        <v>3.32</v>
      </c>
      <c r="J704" t="str">
        <v>2022/11</v>
      </c>
      <c r="K704" t="str">
        <f t="array" ref="K704:T704">[1]!'2459.TW-OperatingProfitRatio,Price,PriceChangeRatio,InOutRatioNumber,Value,YearReturn,MonthReturn,WeekReturn,FinanceBalanceDif,ChipsField2'</f>
        <v>12.10</v>
      </c>
      <c r="L704">
        <v>51.7</v>
      </c>
      <c r="M704">
        <v>-0.77</v>
      </c>
      <c r="N704" t="str">
        <v>14.29%</v>
      </c>
      <c r="O704" t="str">
        <v>254萬</v>
      </c>
      <c r="P704" t="str">
        <v>-5.92</v>
      </c>
      <c r="Q704" t="str">
        <v>+0.58</v>
      </c>
      <c r="R704" t="str">
        <v>-0.96</v>
      </c>
      <c r="S704">
        <v>1</v>
      </c>
      <c r="T704">
        <v>0</v>
      </c>
      <c r="U704">
        <f t="array" ref="U704:AD704">[1]!'2459.TW-ChipsField3,ChipsField1,ChipsField25,CashAndStockDividend,CashDividendYieldRate,ProfitFourSeason,ProfitSingle,CName,ExchangeIndustry,CompanyPos'</f>
        <v>-4</v>
      </c>
      <c r="V704">
        <v>0</v>
      </c>
      <c r="W704" t="str">
        <v>2022/07/06</v>
      </c>
      <c r="X704" t="str">
        <v>3.50</v>
      </c>
      <c r="Y704">
        <v>6.77</v>
      </c>
      <c r="Z704" t="str">
        <v>5.38</v>
      </c>
      <c r="AA704" t="str">
        <v>2.19</v>
      </c>
      <c r="AB704" t="str">
        <v>敦吉</v>
      </c>
      <c r="AC704" t="str">
        <v>上市其他電子</v>
      </c>
      <c r="AD704" t="str">
        <v>經營通路、製造、驗證三大事業群</v>
      </c>
      <c r="AE704" t="str">
        <f t="array" ref="AE704:AH704">[1]!'2459.TW-CName,InvestorConferenceDate,DateofMeetingofShareHolders,TradingDate'</f>
        <v>敦吉</v>
      </c>
      <c r="AF704" t="str">
        <v>2022/11/21</v>
      </c>
      <c r="AG704" t="str">
        <v>2022/06/17</v>
      </c>
      <c r="AH704" t="str">
        <v>2022/12/22</v>
      </c>
    </row>
    <row r="705" spans="1:34" x14ac:dyDescent="0.3">
      <c r="A705" t="str">
        <f t="array" ref="A705:J705">[1]!'2461.TW-ID,Name,MarketValue,Capital,NetIncomeGrowthRate,OperIncomeGrowthRate,FinancialStatementsTime,TFXRatio,MonthlyNetSalesYoY,RevenueMonth'</f>
        <v>2461</v>
      </c>
      <c r="B705" t="str">
        <v>光群雷</v>
      </c>
      <c r="C705" t="str">
        <v>30.5</v>
      </c>
      <c r="D705" t="str">
        <v>16.38</v>
      </c>
      <c r="E705" t="str">
        <v>-71.86</v>
      </c>
      <c r="F705" t="str">
        <v>-95.49</v>
      </c>
      <c r="G705" t="str">
        <v>2022/09</v>
      </c>
      <c r="H705" t="str">
        <v>6.75</v>
      </c>
      <c r="I705" t="str">
        <v>-3.62</v>
      </c>
      <c r="J705" t="str">
        <v>2022/11</v>
      </c>
      <c r="K705" t="str">
        <f t="array" ref="K705:T705">[1]!'2461.TW-OperatingProfitRatio,Price,PriceChangeRatio,InOutRatioNumber,Value,YearReturn,MonthReturn,WeekReturn,FinanceBalanceDif,ChipsField2'</f>
        <v>0.21</v>
      </c>
      <c r="L705">
        <v>18.600000000000001</v>
      </c>
      <c r="M705">
        <v>1.0900000000000001</v>
      </c>
      <c r="N705" t="str">
        <v>80.98%</v>
      </c>
      <c r="O705" t="str">
        <v>341萬</v>
      </c>
      <c r="P705" t="str">
        <v>-11.21</v>
      </c>
      <c r="Q705" t="str">
        <v>-0.27</v>
      </c>
      <c r="R705" t="str">
        <v>-1.06</v>
      </c>
      <c r="S705">
        <v>15</v>
      </c>
      <c r="T705">
        <v>0</v>
      </c>
      <c r="U705">
        <f t="array" ref="U705:AD705">[1]!'2461.TW-ChipsField3,ChipsField1,ChipsField25,CashAndStockDividend,CashDividendYieldRate,ProfitFourSeason,ProfitSingle,CName,ExchangeIndustry,CompanyPos'</f>
        <v>0</v>
      </c>
      <c r="V705">
        <v>-6</v>
      </c>
      <c r="W705" t="str">
        <v>2022/09/08</v>
      </c>
      <c r="X705" t="str">
        <v>0.30</v>
      </c>
      <c r="Y705">
        <v>9.3000000000000007</v>
      </c>
      <c r="Z705" t="str">
        <v>1.48</v>
      </c>
      <c r="AA705" t="str">
        <v>0.44</v>
      </c>
      <c r="AB705" t="str">
        <v>光群雷</v>
      </c>
      <c r="AC705" t="str">
        <v>上市其他電子</v>
      </c>
      <c r="AD705" t="str">
        <v>是全球第一大雷射全像材料整合供應商</v>
      </c>
      <c r="AE705" t="str">
        <f t="array" ref="AE705:AH705">[1]!'2461.TW-CName,InvestorConferenceDate,DateofMeetingofShareHolders,TradingDate'</f>
        <v>光群雷</v>
      </c>
      <c r="AF705" t="str">
        <v>2022/11/10</v>
      </c>
      <c r="AG705" t="str">
        <v>2022/05/27</v>
      </c>
      <c r="AH705" t="str">
        <v>2022/12/22</v>
      </c>
    </row>
    <row r="706" spans="1:34" x14ac:dyDescent="0.3">
      <c r="A706" t="str">
        <f t="array" ref="A706:J706">[1]!'2464.TW-ID,Name,MarketValue,Capital,NetIncomeGrowthRate,OperIncomeGrowthRate,FinancialStatementsTime,TFXRatio,MonthlyNetSalesYoY,RevenueMonth'</f>
        <v>2464</v>
      </c>
      <c r="B706" t="str">
        <v>盟立</v>
      </c>
      <c r="C706" t="str">
        <v>74.8</v>
      </c>
      <c r="D706" t="str">
        <v>19.55</v>
      </c>
      <c r="E706" t="str">
        <v>16.87</v>
      </c>
      <c r="F706" t="str">
        <v>-45.29</v>
      </c>
      <c r="G706" t="str">
        <v>2022/09</v>
      </c>
      <c r="H706" t="str">
        <v>-1.23</v>
      </c>
      <c r="I706" t="str">
        <v>0.88</v>
      </c>
      <c r="J706" t="str">
        <v>2022/11</v>
      </c>
      <c r="K706" t="str">
        <f t="array" ref="K706:T706">[1]!'2464.TW-OperatingProfitRatio,Price,PriceChangeRatio,InOutRatioNumber,Value,YearReturn,MonthReturn,WeekReturn,FinanceBalanceDif,ChipsField2'</f>
        <v>3.81</v>
      </c>
      <c r="L706">
        <v>38.25</v>
      </c>
      <c r="M706">
        <v>0.53</v>
      </c>
      <c r="N706" t="str">
        <v>36.13%</v>
      </c>
      <c r="O706" t="str">
        <v>455萬</v>
      </c>
      <c r="P706" t="str">
        <v>-2.92</v>
      </c>
      <c r="Q706" t="str">
        <v>+2.00</v>
      </c>
      <c r="R706" t="str">
        <v>-2.92</v>
      </c>
      <c r="S706">
        <v>5</v>
      </c>
      <c r="T706">
        <v>0</v>
      </c>
      <c r="U706">
        <f t="array" ref="U706:AD706">[1]!'2464.TW-ChipsField3,ChipsField1,ChipsField25,CashAndStockDividend,CashDividendYieldRate,ProfitFourSeason,ProfitSingle,CName,ExchangeIndustry,CompanyPos'</f>
        <v>-7</v>
      </c>
      <c r="V706">
        <v>-29</v>
      </c>
      <c r="W706" t="str">
        <v>2022/07/04</v>
      </c>
      <c r="X706" t="str">
        <v>2.20</v>
      </c>
      <c r="Y706">
        <v>5.75</v>
      </c>
      <c r="Z706" t="str">
        <v>3.04</v>
      </c>
      <c r="AA706" t="str">
        <v>0.71</v>
      </c>
      <c r="AB706" t="str">
        <v>盟立</v>
      </c>
      <c r="AC706" t="str">
        <v>上市其他電子</v>
      </c>
      <c r="AD706" t="str">
        <v>台灣工業自動化設備廠</v>
      </c>
      <c r="AE706" t="str">
        <f t="array" ref="AE706:AH706">[1]!'2464.TW-CName,InvestorConferenceDate,DateofMeetingofShareHolders,TradingDate'</f>
        <v>盟立</v>
      </c>
      <c r="AF706" t="str">
        <v>2021/09/16</v>
      </c>
      <c r="AG706" t="str">
        <v>2022/06/09</v>
      </c>
      <c r="AH706" t="str">
        <v>2022/12/22</v>
      </c>
    </row>
    <row r="707" spans="1:34" x14ac:dyDescent="0.3">
      <c r="A707" t="str">
        <f t="array" ref="A707:J707">[1]!'2474.TW-ID,Name,MarketValue,Capital,NetIncomeGrowthRate,OperIncomeGrowthRate,FinancialStatementsTime,TFXRatio,MonthlyNetSalesYoY,RevenueMonth'</f>
        <v>2474</v>
      </c>
      <c r="B707" t="str">
        <v>可成</v>
      </c>
      <c r="C707" t="str">
        <v>1228.9</v>
      </c>
      <c r="D707" t="str">
        <v>71.45</v>
      </c>
      <c r="E707" t="str">
        <v>103.02</v>
      </c>
      <c r="F707" t="str">
        <v>-49.88</v>
      </c>
      <c r="G707" t="str">
        <v>2022/09</v>
      </c>
      <c r="H707" t="str">
        <v>-19.14</v>
      </c>
      <c r="I707" t="str">
        <v>-17.64</v>
      </c>
      <c r="J707" t="str">
        <v>2022/11</v>
      </c>
      <c r="K707" t="str">
        <f t="array" ref="K707:T707">[1]!'2474.TW-OperatingProfitRatio,Price,PriceChangeRatio,InOutRatioNumber,Value,YearReturn,MonthReturn,WeekReturn,FinanceBalanceDif,ChipsField2'</f>
        <v>17.06</v>
      </c>
      <c r="L707">
        <v>172</v>
      </c>
      <c r="M707">
        <v>2.99</v>
      </c>
      <c r="N707" t="str">
        <v>62.93%</v>
      </c>
      <c r="O707" t="str">
        <v>10.5億</v>
      </c>
      <c r="P707" t="str">
        <v>+16.11</v>
      </c>
      <c r="Q707" t="str">
        <v>-5.49</v>
      </c>
      <c r="R707" t="str">
        <v>-1.99</v>
      </c>
      <c r="S707">
        <v>79</v>
      </c>
      <c r="T707">
        <v>2976</v>
      </c>
      <c r="U707">
        <f t="array" ref="U707:AD707">[1]!'2474.TW-ChipsField3,ChipsField1,ChipsField25,CashAndStockDividend,CashDividendYieldRate,ProfitFourSeason,ProfitSingle,CName,ExchangeIndustry,CompanyPos'</f>
        <v>-308</v>
      </c>
      <c r="V707">
        <v>-3745</v>
      </c>
      <c r="W707" t="str">
        <v>2022/09/05</v>
      </c>
      <c r="X707" t="str">
        <v>10.21</v>
      </c>
      <c r="Y707">
        <v>5.94</v>
      </c>
      <c r="Z707" t="str">
        <v>19.13</v>
      </c>
      <c r="AA707" t="str">
        <v>7.06</v>
      </c>
      <c r="AB707" t="str">
        <v>可成</v>
      </c>
      <c r="AC707" t="str">
        <v>上市其他電子</v>
      </c>
      <c r="AD707" t="str">
        <v>台灣知名的金屬機殼製造大廠</v>
      </c>
      <c r="AE707" t="str">
        <f t="array" ref="AE707:AH707">[1]!'2474.TW-CName,InvestorConferenceDate,DateofMeetingofShareHolders,TradingDate'</f>
        <v>可成</v>
      </c>
      <c r="AF707" t="str">
        <v>2022/11/09</v>
      </c>
      <c r="AG707" t="str">
        <v>2022/05/27</v>
      </c>
      <c r="AH707" t="str">
        <v>2022/12/22</v>
      </c>
    </row>
    <row r="708" spans="1:34" x14ac:dyDescent="0.3">
      <c r="A708" t="str">
        <f t="array" ref="A708:J708">[1]!'2477.TW-ID,Name,MarketValue,Capital,NetIncomeGrowthRate,OperIncomeGrowthRate,FinancialStatementsTime,TFXRatio,MonthlyNetSalesYoY,RevenueMonth'</f>
        <v>2477</v>
      </c>
      <c r="B708" t="str">
        <v>美隆電</v>
      </c>
      <c r="C708" t="str">
        <v>31.3</v>
      </c>
      <c r="D708" t="str">
        <v>15.86</v>
      </c>
      <c r="E708" t="str">
        <v>-93.42</v>
      </c>
      <c r="F708" t="str">
        <v>132.37</v>
      </c>
      <c r="G708" t="str">
        <v>2022/09</v>
      </c>
      <c r="H708" t="str">
        <v>-17.64</v>
      </c>
      <c r="I708" t="str">
        <v>-43.42</v>
      </c>
      <c r="J708" t="str">
        <v>2022/11</v>
      </c>
      <c r="K708" t="str">
        <f t="array" ref="K708:T708">[1]!'2477.TW-OperatingProfitRatio,Price,PriceChangeRatio,InOutRatioNumber,Value,YearReturn,MonthReturn,WeekReturn,FinanceBalanceDif,ChipsField2'</f>
        <v>0.73</v>
      </c>
      <c r="L708">
        <v>19.75</v>
      </c>
      <c r="M708">
        <v>0.77</v>
      </c>
      <c r="N708" t="str">
        <v>45.45%</v>
      </c>
      <c r="O708" t="str">
        <v>43.3萬</v>
      </c>
      <c r="P708" t="str">
        <v>-38.10</v>
      </c>
      <c r="Q708" t="str">
        <v>-6.39</v>
      </c>
      <c r="R708" t="str">
        <v>-2.47</v>
      </c>
      <c r="S708">
        <v>5</v>
      </c>
      <c r="T708">
        <v>0</v>
      </c>
      <c r="U708">
        <f t="array" ref="U708:AD708">[1]!'2477.TW-ChipsField3,ChipsField1,ChipsField25,CashAndStockDividend,CashDividendYieldRate,ProfitFourSeason,ProfitSingle,CName,ExchangeIndustry,CompanyPos'</f>
        <v>-7</v>
      </c>
      <c r="V708">
        <v>-2</v>
      </c>
      <c r="W708" t="str">
        <v>2022/07/11</v>
      </c>
      <c r="X708" t="str">
        <v>1.50</v>
      </c>
      <c r="Y708">
        <v>7.59</v>
      </c>
      <c r="Z708" t="str">
        <v>0.64</v>
      </c>
      <c r="AA708" t="str">
        <v>0.68</v>
      </c>
      <c r="AB708" t="str">
        <v>美隆電</v>
      </c>
      <c r="AC708" t="str">
        <v>上市其他電子</v>
      </c>
      <c r="AD708" t="str">
        <v>台灣最大音箱及揚聲器製造廠之一</v>
      </c>
      <c r="AE708" t="str">
        <f t="array" ref="AE708:AH708">[1]!'2477.TW-CName,InvestorConferenceDate,DateofMeetingofShareHolders,TradingDate'</f>
        <v>美隆電</v>
      </c>
      <c r="AF708" t="str">
        <v>2022/11/25</v>
      </c>
      <c r="AG708" t="str">
        <v>2022/06/23</v>
      </c>
      <c r="AH708" t="str">
        <v>2022/12/22</v>
      </c>
    </row>
    <row r="709" spans="1:34" x14ac:dyDescent="0.3">
      <c r="A709" t="str">
        <f t="array" ref="A709:J709">[1]!'2482.TW-ID,Name,MarketValue,Capital,NetIncomeGrowthRate,OperIncomeGrowthRate,FinancialStatementsTime,TFXRatio,MonthlyNetSalesYoY,RevenueMonth'</f>
        <v>2482</v>
      </c>
      <c r="B709" t="str">
        <v>連宇</v>
      </c>
      <c r="C709" t="str">
        <v>19.3</v>
      </c>
      <c r="D709" t="str">
        <v>7.75</v>
      </c>
      <c r="E709" t="str">
        <v>3220.30</v>
      </c>
      <c r="F709" t="str">
        <v>1447.47</v>
      </c>
      <c r="G709" t="str">
        <v>2022/09</v>
      </c>
      <c r="H709" t="str">
        <v>9.81</v>
      </c>
      <c r="I709" t="str">
        <v>205.57</v>
      </c>
      <c r="J709" t="str">
        <v>2022/11</v>
      </c>
      <c r="K709" t="str">
        <f t="array" ref="K709:T709">[1]!'2482.TW-OperatingProfitRatio,Price,PriceChangeRatio,InOutRatioNumber,Value,YearReturn,MonthReturn,WeekReturn,FinanceBalanceDif,ChipsField2'</f>
        <v>10.71</v>
      </c>
      <c r="L709">
        <v>24.9</v>
      </c>
      <c r="M709">
        <v>-1.58</v>
      </c>
      <c r="N709" t="str">
        <v>18.49%</v>
      </c>
      <c r="O709" t="str">
        <v>3429萬</v>
      </c>
      <c r="P709" t="str">
        <v>+51.83</v>
      </c>
      <c r="Q709" t="str">
        <v>+4.62</v>
      </c>
      <c r="R709" t="str">
        <v>-6.74</v>
      </c>
      <c r="S709">
        <v>-4</v>
      </c>
      <c r="T709">
        <v>0</v>
      </c>
      <c r="U709">
        <f t="array" ref="U709:AD709">[1]!'2482.TW-ChipsField3,ChipsField1,ChipsField25,CashAndStockDividend,CashDividendYieldRate,ProfitFourSeason,ProfitSingle,CName,ExchangeIndustry,CompanyPos'</f>
        <v>0</v>
      </c>
      <c r="V709">
        <v>159</v>
      </c>
      <c r="W709" t="str">
        <v>--</v>
      </c>
      <c r="X709" t="str">
        <v>0.00</v>
      </c>
      <c r="Y709">
        <v>0</v>
      </c>
      <c r="Z709" t="str">
        <v>2.39</v>
      </c>
      <c r="AA709" t="str">
        <v>0.76</v>
      </c>
      <c r="AB709" t="str">
        <v>連宇</v>
      </c>
      <c r="AC709" t="str">
        <v>上市其他電子</v>
      </c>
      <c r="AD709" t="str">
        <v>台灣讀卡機等電子支付交易設備廠</v>
      </c>
      <c r="AE709" t="str">
        <f t="array" ref="AE709:AH709">[1]!'2482.TW-CName,InvestorConferenceDate,DateofMeetingofShareHolders,TradingDate'</f>
        <v>連宇</v>
      </c>
      <c r="AF709" t="str">
        <v>--</v>
      </c>
      <c r="AG709" t="str">
        <v>2022/06/08</v>
      </c>
      <c r="AH709" t="str">
        <v>2022/12/22</v>
      </c>
    </row>
    <row r="710" spans="1:34" x14ac:dyDescent="0.3">
      <c r="A710" t="str">
        <f t="array" ref="A710:J710">[1]!'2488.TW-ID,Name,MarketValue,Capital,NetIncomeGrowthRate,OperIncomeGrowthRate,FinancialStatementsTime,TFXRatio,MonthlyNetSalesYoY,RevenueMonth'</f>
        <v>2488</v>
      </c>
      <c r="B710" t="str">
        <v>漢平</v>
      </c>
      <c r="C710" t="str">
        <v>23.2</v>
      </c>
      <c r="D710" t="str">
        <v>8.00</v>
      </c>
      <c r="E710" t="str">
        <v>152.96</v>
      </c>
      <c r="F710" t="str">
        <v>156.93</v>
      </c>
      <c r="G710" t="str">
        <v>2022/09</v>
      </c>
      <c r="H710" t="str">
        <v>2.32</v>
      </c>
      <c r="I710" t="str">
        <v>9.68</v>
      </c>
      <c r="J710" t="str">
        <v>2022/11</v>
      </c>
      <c r="K710" t="str">
        <f t="array" ref="K710:T710">[1]!'2488.TW-OperatingProfitRatio,Price,PriceChangeRatio,InOutRatioNumber,Value,YearReturn,MonthReturn,WeekReturn,FinanceBalanceDif,ChipsField2'</f>
        <v>9.93</v>
      </c>
      <c r="L710">
        <v>28.95</v>
      </c>
      <c r="M710">
        <v>0.35</v>
      </c>
      <c r="N710" t="str">
        <v>60.87%</v>
      </c>
      <c r="O710" t="str">
        <v>139萬</v>
      </c>
      <c r="P710" t="str">
        <v>+11.60</v>
      </c>
      <c r="Q710" t="str">
        <v>-0.69</v>
      </c>
      <c r="R710" t="str">
        <v>-1.03</v>
      </c>
      <c r="S710">
        <v>27</v>
      </c>
      <c r="T710">
        <v>0</v>
      </c>
      <c r="U710">
        <f t="array" ref="U710:AD710">[1]!'2488.TW-ChipsField3,ChipsField1,ChipsField25,CashAndStockDividend,CashDividendYieldRate,ProfitFourSeason,ProfitSingle,CName,ExchangeIndustry,CompanyPos'</f>
        <v>-2</v>
      </c>
      <c r="V710">
        <v>-4</v>
      </c>
      <c r="W710" t="str">
        <v>2022/09/21</v>
      </c>
      <c r="X710" t="str">
        <v>1.20</v>
      </c>
      <c r="Y710">
        <v>4.1500000000000004</v>
      </c>
      <c r="Z710" t="str">
        <v>3.66</v>
      </c>
      <c r="AA710" t="str">
        <v>1.79</v>
      </c>
      <c r="AB710" t="str">
        <v>漢平</v>
      </c>
      <c r="AC710" t="str">
        <v>上市其他電子</v>
      </c>
      <c r="AD710" t="str">
        <v>台灣娛樂音訊產品ODM製造商</v>
      </c>
      <c r="AE710" t="str">
        <f t="array" ref="AE710:AH710">[1]!'2488.TW-CName,InvestorConferenceDate,DateofMeetingofShareHolders,TradingDate'</f>
        <v>漢平</v>
      </c>
      <c r="AF710" t="str">
        <v>2022/02/25</v>
      </c>
      <c r="AG710" t="str">
        <v>2022/06/24</v>
      </c>
      <c r="AH710" t="str">
        <v>2022/12/22</v>
      </c>
    </row>
    <row r="711" spans="1:34" x14ac:dyDescent="0.3">
      <c r="A711" t="str">
        <f t="array" ref="A711:J711">[1]!'3030.TW-ID,Name,MarketValue,Capital,NetIncomeGrowthRate,OperIncomeGrowthRate,FinancialStatementsTime,TFXRatio,MonthlyNetSalesYoY,RevenueMonth'</f>
        <v>3030</v>
      </c>
      <c r="B711" t="str">
        <v>德律</v>
      </c>
      <c r="C711" t="str">
        <v>151.2</v>
      </c>
      <c r="D711" t="str">
        <v>23.62</v>
      </c>
      <c r="E711" t="str">
        <v>71.93</v>
      </c>
      <c r="F711" t="str">
        <v>37.08</v>
      </c>
      <c r="G711" t="str">
        <v>2022/09</v>
      </c>
      <c r="H711" t="str">
        <v>-19.54</v>
      </c>
      <c r="I711" t="str">
        <v>12.52</v>
      </c>
      <c r="J711" t="str">
        <v>2022/11</v>
      </c>
      <c r="K711" t="str">
        <f t="array" ref="K711:T711">[1]!'3030.TW-OperatingProfitRatio,Price,PriceChangeRatio,InOutRatioNumber,Value,YearReturn,MonthReturn,WeekReturn,FinanceBalanceDif,ChipsField2'</f>
        <v>32.09</v>
      </c>
      <c r="L711">
        <v>64</v>
      </c>
      <c r="M711">
        <v>0.63</v>
      </c>
      <c r="N711" t="str">
        <v>27.39%</v>
      </c>
      <c r="O711" t="str">
        <v>1013萬</v>
      </c>
      <c r="P711" t="str">
        <v>+18.12</v>
      </c>
      <c r="Q711" t="str">
        <v>-1.84</v>
      </c>
      <c r="R711" t="str">
        <v>-2.59</v>
      </c>
      <c r="S711">
        <v>10</v>
      </c>
      <c r="T711">
        <v>0</v>
      </c>
      <c r="U711">
        <f t="array" ref="U711:AD711">[1]!'3030.TW-ChipsField3,ChipsField1,ChipsField25,CashAndStockDividend,CashDividendYieldRate,ProfitFourSeason,ProfitSingle,CName,ExchangeIndustry,CompanyPos'</f>
        <v>-9</v>
      </c>
      <c r="V711">
        <v>22</v>
      </c>
      <c r="W711" t="str">
        <v>2022/06/10</v>
      </c>
      <c r="X711" t="str">
        <v>3.30</v>
      </c>
      <c r="Y711">
        <v>5.16</v>
      </c>
      <c r="Z711" t="str">
        <v>7.85</v>
      </c>
      <c r="AA711" t="str">
        <v>2.06</v>
      </c>
      <c r="AB711" t="str">
        <v>德律</v>
      </c>
      <c r="AC711" t="str">
        <v>上市其他電子</v>
      </c>
      <c r="AD711" t="str">
        <v>電路板組裝檢測設備大廠</v>
      </c>
      <c r="AE711" t="str">
        <f t="array" ref="AE711:AH711">[1]!'3030.TW-CName,InvestorConferenceDate,DateofMeetingofShareHolders,TradingDate'</f>
        <v>德律</v>
      </c>
      <c r="AF711" t="str">
        <v>2022/11/18</v>
      </c>
      <c r="AG711" t="str">
        <v>2022/05/25</v>
      </c>
      <c r="AH711" t="str">
        <v>2022/12/22</v>
      </c>
    </row>
    <row r="712" spans="1:34" x14ac:dyDescent="0.3">
      <c r="A712" t="str">
        <f t="array" ref="A712:J712">[1]!'3043.TW-ID,Name,MarketValue,Capital,NetIncomeGrowthRate,OperIncomeGrowthRate,FinancialStatementsTime,TFXRatio,MonthlyNetSalesYoY,RevenueMonth'</f>
        <v>3043</v>
      </c>
      <c r="B712" t="str">
        <v>科風</v>
      </c>
      <c r="C712" t="str">
        <v>10.2</v>
      </c>
      <c r="D712" t="str">
        <v>3.90</v>
      </c>
      <c r="E712" t="str">
        <v>573.07</v>
      </c>
      <c r="F712" t="str">
        <v>105.43</v>
      </c>
      <c r="G712" t="str">
        <v>2022/09</v>
      </c>
      <c r="H712" t="str">
        <v>20.84</v>
      </c>
      <c r="I712" t="str">
        <v>111.08</v>
      </c>
      <c r="J712" t="str">
        <v>2022/11</v>
      </c>
      <c r="K712" t="str">
        <f t="array" ref="K712:T712">[1]!'3043.TW-OperatingProfitRatio,Price,PriceChangeRatio,InOutRatioNumber,Value,YearReturn,MonthReturn,WeekReturn,FinanceBalanceDif,ChipsField2'</f>
        <v>0.26</v>
      </c>
      <c r="L712">
        <v>26.1</v>
      </c>
      <c r="M712">
        <v>-8.1</v>
      </c>
      <c r="N712" t="str">
        <v>35.68%</v>
      </c>
      <c r="O712" t="str">
        <v>662萬</v>
      </c>
      <c r="P712" t="str">
        <v>+37.37</v>
      </c>
      <c r="Q712" t="str">
        <v>-18.44</v>
      </c>
      <c r="R712" t="str">
        <v>-21.39</v>
      </c>
      <c r="S712">
        <v>0</v>
      </c>
      <c r="T712">
        <v>0</v>
      </c>
      <c r="U712">
        <f t="array" ref="U712:AD712">[1]!'3043.TW-ChipsField3,ChipsField1,ChipsField25,CashAndStockDividend,CashDividendYieldRate,ProfitFourSeason,ProfitSingle,CName,ExchangeIndustry,CompanyPos'</f>
        <v>0</v>
      </c>
      <c r="V712">
        <v>0</v>
      </c>
      <c r="W712" t="str">
        <v>--</v>
      </c>
      <c r="X712" t="str">
        <v>0.00</v>
      </c>
      <c r="Y712">
        <v>0</v>
      </c>
      <c r="Z712" t="str">
        <v>0.55</v>
      </c>
      <c r="AA712" t="str">
        <v>0.16</v>
      </c>
      <c r="AB712" t="str">
        <v>科風</v>
      </c>
      <c r="AC712" t="str">
        <v>上市其他電子</v>
      </c>
      <c r="AD712" t="str">
        <v>不斷電系統和電力保護產品品牌廠商</v>
      </c>
      <c r="AE712" t="str">
        <f t="array" ref="AE712:AH712">[1]!'3043.TW-CName,InvestorConferenceDate,DateofMeetingofShareHolders,TradingDate'</f>
        <v>科風</v>
      </c>
      <c r="AF712" t="str">
        <v>2022/12/20</v>
      </c>
      <c r="AG712" t="str">
        <v>2022/06/27</v>
      </c>
      <c r="AH712" t="str">
        <v>2022/12/22</v>
      </c>
    </row>
    <row r="713" spans="1:34" x14ac:dyDescent="0.3">
      <c r="A713" t="str">
        <f t="array" ref="A713:J713">[1]!'3305.TW-ID,Name,MarketValue,Capital,NetIncomeGrowthRate,OperIncomeGrowthRate,FinancialStatementsTime,TFXRatio,MonthlyNetSalesYoY,RevenueMonth'</f>
        <v>3305</v>
      </c>
      <c r="B713" t="str">
        <v>昇貿</v>
      </c>
      <c r="C713" t="str">
        <v>52.8</v>
      </c>
      <c r="D713" t="str">
        <v>13.42</v>
      </c>
      <c r="E713" t="str">
        <v>26.81</v>
      </c>
      <c r="F713" t="str">
        <v>-37.52</v>
      </c>
      <c r="G713" t="str">
        <v>2022/09</v>
      </c>
      <c r="H713" t="str">
        <v>4.95</v>
      </c>
      <c r="I713" t="str">
        <v>-34.05</v>
      </c>
      <c r="J713" t="str">
        <v>2022/11</v>
      </c>
      <c r="K713" t="str">
        <f t="array" ref="K713:T713">[1]!'3305.TW-OperatingProfitRatio,Price,PriceChangeRatio,InOutRatioNumber,Value,YearReturn,MonthReturn,WeekReturn,FinanceBalanceDif,ChipsField2'</f>
        <v>5.97</v>
      </c>
      <c r="L713">
        <v>39.35</v>
      </c>
      <c r="M713">
        <v>1.29</v>
      </c>
      <c r="N713" t="str">
        <v>38.69%</v>
      </c>
      <c r="O713" t="str">
        <v>540萬</v>
      </c>
      <c r="P713" t="str">
        <v>-47.64</v>
      </c>
      <c r="Q713" t="str">
        <v>-0.63</v>
      </c>
      <c r="R713" t="str">
        <v>-5.86</v>
      </c>
      <c r="S713">
        <v>4</v>
      </c>
      <c r="T713">
        <v>0</v>
      </c>
      <c r="U713">
        <f t="array" ref="U713:AD713">[1]!'3305.TW-ChipsField3,ChipsField1,ChipsField25,CashAndStockDividend,CashDividendYieldRate,ProfitFourSeason,ProfitSingle,CName,ExchangeIndustry,CompanyPos'</f>
        <v>-12</v>
      </c>
      <c r="V713">
        <v>-21</v>
      </c>
      <c r="W713" t="str">
        <v>2022/07/07</v>
      </c>
      <c r="X713" t="str">
        <v>2.50</v>
      </c>
      <c r="Y713">
        <v>6.35</v>
      </c>
      <c r="Z713" t="str">
        <v>5.64</v>
      </c>
      <c r="AA713" t="str">
        <v>0.41</v>
      </c>
      <c r="AB713" t="str">
        <v>昇貿</v>
      </c>
      <c r="AC713" t="str">
        <v>上市其他電子</v>
      </c>
      <c r="AD713" t="str">
        <v>半導體封裝材料之錫膏、錫球生產商</v>
      </c>
      <c r="AE713" t="str">
        <f t="array" ref="AE713:AH713">[1]!'3305.TW-CName,InvestorConferenceDate,DateofMeetingofShareHolders,TradingDate'</f>
        <v>昇貿</v>
      </c>
      <c r="AF713" t="str">
        <v>2022/12/12</v>
      </c>
      <c r="AG713" t="str">
        <v>2022/06/14</v>
      </c>
      <c r="AH713" t="str">
        <v>2022/12/22</v>
      </c>
    </row>
    <row r="714" spans="1:34" x14ac:dyDescent="0.3">
      <c r="A714" t="str">
        <f t="array" ref="A714:J714">[1]!'3518.TW-ID,Name,MarketValue,Capital,NetIncomeGrowthRate,OperIncomeGrowthRate,FinancialStatementsTime,TFXRatio,MonthlyNetSalesYoY,RevenueMonth'</f>
        <v>3518</v>
      </c>
      <c r="B714" t="str">
        <v>柏騰</v>
      </c>
      <c r="C714" t="str">
        <v>15.8</v>
      </c>
      <c r="D714" t="str">
        <v>8.07</v>
      </c>
      <c r="E714" t="str">
        <v>-438.44</v>
      </c>
      <c r="F714" t="str">
        <v>-154.76</v>
      </c>
      <c r="G714" t="str">
        <v>2022/09</v>
      </c>
      <c r="H714" t="str">
        <v>-7.54</v>
      </c>
      <c r="I714" t="str">
        <v>-68.70</v>
      </c>
      <c r="J714" t="str">
        <v>2022/11</v>
      </c>
      <c r="K714" t="str">
        <f t="array" ref="K714:T714">[1]!'3518.TW-OperatingProfitRatio,Price,PriceChangeRatio,InOutRatioNumber,Value,YearReturn,MonthReturn,WeekReturn,FinanceBalanceDif,ChipsField2'</f>
        <v>-5.49</v>
      </c>
      <c r="L714">
        <v>19.95</v>
      </c>
      <c r="M714">
        <v>1.53</v>
      </c>
      <c r="N714" t="str">
        <v>40.61%</v>
      </c>
      <c r="O714" t="str">
        <v>325萬</v>
      </c>
      <c r="P714" t="str">
        <v>-7.60</v>
      </c>
      <c r="Q714" t="str">
        <v>-0.75</v>
      </c>
      <c r="R714" t="str">
        <v>-4.77</v>
      </c>
      <c r="S714">
        <v>4</v>
      </c>
      <c r="T714">
        <v>0</v>
      </c>
      <c r="U714">
        <f t="array" ref="U714:AD714">[1]!'3518.TW-ChipsField3,ChipsField1,ChipsField25,CashAndStockDividend,CashDividendYieldRate,ProfitFourSeason,ProfitSingle,CName,ExchangeIndustry,CompanyPos'</f>
        <v>0</v>
      </c>
      <c r="V714">
        <v>-29</v>
      </c>
      <c r="W714" t="str">
        <v>2022/06/23</v>
      </c>
      <c r="X714" t="str">
        <v>1.00</v>
      </c>
      <c r="Y714">
        <v>5.01</v>
      </c>
      <c r="Z714" t="str">
        <v>0.13</v>
      </c>
      <c r="AA714" t="str">
        <v>-0.31</v>
      </c>
      <c r="AB714" t="str">
        <v>柏騰</v>
      </c>
      <c r="AC714" t="str">
        <v>上市其他電子</v>
      </c>
      <c r="AD714" t="str">
        <v>為台灣第一家具備低溫真空濺鍍之專業廠商</v>
      </c>
      <c r="AE714" t="str">
        <f t="array" ref="AE714:AH714">[1]!'3518.TW-CName,InvestorConferenceDate,DateofMeetingofShareHolders,TradingDate'</f>
        <v>柏騰</v>
      </c>
      <c r="AF714" t="str">
        <v>2022/12/01</v>
      </c>
      <c r="AG714" t="str">
        <v>2022/06/08</v>
      </c>
      <c r="AH714" t="str">
        <v>2022/12/22</v>
      </c>
    </row>
    <row r="715" spans="1:34" x14ac:dyDescent="0.3">
      <c r="A715" t="str">
        <f t="array" ref="A715:J715">[1]!'3617.TW-ID,Name,MarketValue,Capital,NetIncomeGrowthRate,OperIncomeGrowthRate,FinancialStatementsTime,TFXRatio,MonthlyNetSalesYoY,RevenueMonth'</f>
        <v>3617</v>
      </c>
      <c r="B715" t="str">
        <v>碩天</v>
      </c>
      <c r="C715" t="str">
        <v>79.8</v>
      </c>
      <c r="D715" t="str">
        <v>8.10</v>
      </c>
      <c r="E715" t="str">
        <v>495.96</v>
      </c>
      <c r="F715" t="str">
        <v>289.64</v>
      </c>
      <c r="G715" t="str">
        <v>2022/09</v>
      </c>
      <c r="H715" t="str">
        <v>-17.77</v>
      </c>
      <c r="I715" t="str">
        <v>25.31</v>
      </c>
      <c r="J715" t="str">
        <v>2022/11</v>
      </c>
      <c r="K715" t="str">
        <f t="array" ref="K715:T715">[1]!'3617.TW-OperatingProfitRatio,Price,PriceChangeRatio,InOutRatioNumber,Value,YearReturn,MonthReturn,WeekReturn,FinanceBalanceDif,ChipsField2'</f>
        <v>9.62</v>
      </c>
      <c r="L715">
        <v>98.6</v>
      </c>
      <c r="M715">
        <v>1.34</v>
      </c>
      <c r="N715" t="str">
        <v>39.01%</v>
      </c>
      <c r="O715" t="str">
        <v>1416萬</v>
      </c>
      <c r="P715" t="str">
        <v>+41.88</v>
      </c>
      <c r="Q715" t="str">
        <v>-10.36</v>
      </c>
      <c r="R715" t="str">
        <v>-6.54</v>
      </c>
      <c r="S715">
        <v>-20</v>
      </c>
      <c r="T715">
        <v>0</v>
      </c>
      <c r="U715">
        <f t="array" ref="U715:AD715">[1]!'3617.TW-ChipsField3,ChipsField1,ChipsField25,CashAndStockDividend,CashDividendYieldRate,ProfitFourSeason,ProfitSingle,CName,ExchangeIndustry,CompanyPos'</f>
        <v>-26</v>
      </c>
      <c r="V715">
        <v>70</v>
      </c>
      <c r="W715" t="str">
        <v>2022/07/20</v>
      </c>
      <c r="X715" t="str">
        <v>1.00</v>
      </c>
      <c r="Y715">
        <v>1.01</v>
      </c>
      <c r="Z715" t="str">
        <v>9.11</v>
      </c>
      <c r="AA715" t="str">
        <v>6.03</v>
      </c>
      <c r="AB715" t="str">
        <v>碩天</v>
      </c>
      <c r="AC715" t="str">
        <v>上市其他電子</v>
      </c>
      <c r="AD715" t="str">
        <v>北美地區UPS市場前三大品牌之一</v>
      </c>
      <c r="AE715" t="str">
        <f t="array" ref="AE715:AH715">[1]!'3617.TW-CName,InvestorConferenceDate,DateofMeetingofShareHolders,TradingDate'</f>
        <v>碩天</v>
      </c>
      <c r="AF715" t="str">
        <v>2022/09/01</v>
      </c>
      <c r="AG715" t="str">
        <v>2022/06/15</v>
      </c>
      <c r="AH715" t="str">
        <v>2022/12/22</v>
      </c>
    </row>
    <row r="716" spans="1:34" x14ac:dyDescent="0.3">
      <c r="A716" t="str">
        <f t="array" ref="A716:J716">[1]!'3665.TW-ID,Name,MarketValue,Capital,NetIncomeGrowthRate,OperIncomeGrowthRate,FinancialStatementsTime,TFXRatio,MonthlyNetSalesYoY,RevenueMonth'</f>
        <v>3665</v>
      </c>
      <c r="B716" t="str">
        <v>貿聯-KY</v>
      </c>
      <c r="C716" t="str">
        <v>402.0</v>
      </c>
      <c r="D716" t="str">
        <v>15.64</v>
      </c>
      <c r="E716" t="str">
        <v>99.76</v>
      </c>
      <c r="F716" t="str">
        <v>116.93</v>
      </c>
      <c r="G716" t="str">
        <v>2022/09</v>
      </c>
      <c r="H716" t="str">
        <v>1.37</v>
      </c>
      <c r="I716" t="str">
        <v>77.23</v>
      </c>
      <c r="J716" t="str">
        <v>2022/11</v>
      </c>
      <c r="K716" t="str">
        <f t="array" ref="K716:T716">[1]!'3665.TW-OperatingProfitRatio,Price,PriceChangeRatio,InOutRatioNumber,Value,YearReturn,MonthReturn,WeekReturn,FinanceBalanceDif,ChipsField2'</f>
        <v>10.20</v>
      </c>
      <c r="L716">
        <v>257</v>
      </c>
      <c r="M716">
        <v>2.8</v>
      </c>
      <c r="N716" t="str">
        <v>73.50%</v>
      </c>
      <c r="O716" t="str">
        <v>7.83億</v>
      </c>
      <c r="P716" t="str">
        <v>+6.86</v>
      </c>
      <c r="Q716" t="str">
        <v>+6.86</v>
      </c>
      <c r="R716" t="str">
        <v>-2.10</v>
      </c>
      <c r="S716">
        <v>-5</v>
      </c>
      <c r="T716">
        <v>1417</v>
      </c>
      <c r="U716">
        <f t="array" ref="U716:AD716">[1]!'3665.TW-ChipsField3,ChipsField1,ChipsField25,CashAndStockDividend,CashDividendYieldRate,ProfitFourSeason,ProfitSingle,CName,ExchangeIndustry,CompanyPos'</f>
        <v>-14</v>
      </c>
      <c r="V716">
        <v>-1560</v>
      </c>
      <c r="W716" t="str">
        <v>2022/07/14</v>
      </c>
      <c r="X716" t="str">
        <v>9.54</v>
      </c>
      <c r="Y716">
        <v>3.71</v>
      </c>
      <c r="Z716" t="str">
        <v>23.59</v>
      </c>
      <c r="AA716" t="str">
        <v>7.64</v>
      </c>
      <c r="AB716" t="str">
        <v>貿聯-KY</v>
      </c>
      <c r="AC716" t="str">
        <v>上市其他電子</v>
      </c>
      <c r="AD716" t="str">
        <v>Tesla電池線束主力供應商</v>
      </c>
      <c r="AE716" t="str">
        <f t="array" ref="AE716:AH716">[1]!'3665.TW-CName,InvestorConferenceDate,DateofMeetingofShareHolders,TradingDate'</f>
        <v>貿聯-KY</v>
      </c>
      <c r="AF716" t="str">
        <v>2022/12/08</v>
      </c>
      <c r="AG716" t="str">
        <v>2022/06/23</v>
      </c>
      <c r="AH716" t="str">
        <v>2022/12/22</v>
      </c>
    </row>
    <row r="717" spans="1:34" x14ac:dyDescent="0.3">
      <c r="A717" t="str">
        <f t="array" ref="A717:J717">[1]!'5225.TW-ID,Name,MarketValue,Capital,NetIncomeGrowthRate,OperIncomeGrowthRate,FinancialStatementsTime,TFXRatio,MonthlyNetSalesYoY,RevenueMonth'</f>
        <v>5225</v>
      </c>
      <c r="B717" t="str">
        <v>東科-KY</v>
      </c>
      <c r="C717" t="str">
        <v>23.2</v>
      </c>
      <c r="D717" t="str">
        <v>6.28</v>
      </c>
      <c r="E717" t="str">
        <v>3543.04</v>
      </c>
      <c r="F717" t="str">
        <v>436.84</v>
      </c>
      <c r="G717" t="str">
        <v>2022/09</v>
      </c>
      <c r="H717" t="str">
        <v>-2.82</v>
      </c>
      <c r="I717" t="str">
        <v>35.84</v>
      </c>
      <c r="J717" t="str">
        <v>2022/11</v>
      </c>
      <c r="K717" t="str">
        <f t="array" ref="K717:T717">[1]!'5225.TW-OperatingProfitRatio,Price,PriceChangeRatio,InOutRatioNumber,Value,YearReturn,MonthReturn,WeekReturn,FinanceBalanceDif,ChipsField2'</f>
        <v>2.27</v>
      </c>
      <c r="L717">
        <v>37.200000000000003</v>
      </c>
      <c r="M717">
        <v>3.33</v>
      </c>
      <c r="N717" t="str">
        <v>53.66%</v>
      </c>
      <c r="O717" t="str">
        <v>4494萬</v>
      </c>
      <c r="P717" t="str">
        <v>+79.59</v>
      </c>
      <c r="Q717" t="str">
        <v>-5.58</v>
      </c>
      <c r="R717" t="str">
        <v>-7.12</v>
      </c>
      <c r="S717">
        <v>-33</v>
      </c>
      <c r="T717">
        <v>97</v>
      </c>
      <c r="U717">
        <f t="array" ref="U717:AD717">[1]!'5225.TW-ChipsField3,ChipsField1,ChipsField25,CashAndStockDividend,CashDividendYieldRate,ProfitFourSeason,ProfitSingle,CName,ExchangeIndustry,CompanyPos'</f>
        <v>-24</v>
      </c>
      <c r="V717">
        <v>172</v>
      </c>
      <c r="W717" t="str">
        <v>2022/03/22</v>
      </c>
      <c r="X717" t="str">
        <v>0.60</v>
      </c>
      <c r="Y717">
        <v>1.61</v>
      </c>
      <c r="Z717" t="str">
        <v>10.98</v>
      </c>
      <c r="AA717" t="str">
        <v>4.10</v>
      </c>
      <c r="AB717" t="str">
        <v>東科-KY</v>
      </c>
      <c r="AC717" t="str">
        <v>上市其他電子</v>
      </c>
      <c r="AD717" t="str">
        <v>全球最大影音揚聲器OEM製造商</v>
      </c>
      <c r="AE717" t="str">
        <f t="array" ref="AE717:AH717">[1]!'5225.TW-CName,InvestorConferenceDate,DateofMeetingofShareHolders,TradingDate'</f>
        <v>東科-KY</v>
      </c>
      <c r="AF717" t="str">
        <v>2022/12/08</v>
      </c>
      <c r="AG717" t="str">
        <v>2022/06/17</v>
      </c>
      <c r="AH717" t="str">
        <v>2022/12/22</v>
      </c>
    </row>
    <row r="718" spans="1:34" x14ac:dyDescent="0.3">
      <c r="A718" t="str">
        <f t="array" ref="A718:J718">[1]!'6139.TW-ID,Name,MarketValue,Capital,NetIncomeGrowthRate,OperIncomeGrowthRate,FinancialStatementsTime,TFXRatio,MonthlyNetSalesYoY,RevenueMonth'</f>
        <v>6139</v>
      </c>
      <c r="B718" t="str">
        <v>亞翔</v>
      </c>
      <c r="C718" t="str">
        <v>84.4</v>
      </c>
      <c r="D718" t="str">
        <v>22.55</v>
      </c>
      <c r="E718" t="str">
        <v>568.83</v>
      </c>
      <c r="F718" t="str">
        <v>2180.27</v>
      </c>
      <c r="G718" t="str">
        <v>2022/09</v>
      </c>
      <c r="H718" t="str">
        <v>4.64</v>
      </c>
      <c r="I718" t="str">
        <v>21.76</v>
      </c>
      <c r="J718" t="str">
        <v>2022/11</v>
      </c>
      <c r="K718" t="str">
        <f t="array" ref="K718:T718">[1]!'6139.TW-OperatingProfitRatio,Price,PriceChangeRatio,InOutRatioNumber,Value,YearReturn,MonthReturn,WeekReturn,FinanceBalanceDif,ChipsField2'</f>
        <v>4.82</v>
      </c>
      <c r="L718">
        <v>37.4</v>
      </c>
      <c r="M718">
        <v>0.81</v>
      </c>
      <c r="N718" t="str">
        <v>43.23%</v>
      </c>
      <c r="O718" t="str">
        <v>3496萬</v>
      </c>
      <c r="P718" t="str">
        <v>+38.61</v>
      </c>
      <c r="Q718" t="str">
        <v>+16.15</v>
      </c>
      <c r="R718" t="str">
        <v>-1.32</v>
      </c>
      <c r="S718">
        <v>149</v>
      </c>
      <c r="T718">
        <v>0</v>
      </c>
      <c r="U718">
        <f t="array" ref="U718:AD718">[1]!'6139.TW-ChipsField3,ChipsField1,ChipsField25,CashAndStockDividend,CashDividendYieldRate,ProfitFourSeason,ProfitSingle,CName,ExchangeIndustry,CompanyPos'</f>
        <v>-9</v>
      </c>
      <c r="V718">
        <v>353</v>
      </c>
      <c r="W718" t="str">
        <v>2022/09/06</v>
      </c>
      <c r="X718" t="str">
        <v>1.50</v>
      </c>
      <c r="Y718">
        <v>4.01</v>
      </c>
      <c r="Z718" t="str">
        <v>3.81</v>
      </c>
      <c r="AA718" t="str">
        <v>1.18</v>
      </c>
      <c r="AB718" t="str">
        <v>亞翔</v>
      </c>
      <c r="AC718" t="str">
        <v>上市其他電子</v>
      </c>
      <c r="AD718" t="str">
        <v>台灣無塵室及機電系統整合服務等製造商</v>
      </c>
      <c r="AE718" t="str">
        <f t="array" ref="AE718:AH718">[1]!'6139.TW-CName,InvestorConferenceDate,DateofMeetingofShareHolders,TradingDate'</f>
        <v>亞翔</v>
      </c>
      <c r="AF718" t="str">
        <v>2022/12/23</v>
      </c>
      <c r="AG718" t="str">
        <v>2022/06/24</v>
      </c>
      <c r="AH718" t="str">
        <v>2022/12/22</v>
      </c>
    </row>
    <row r="719" spans="1:34" x14ac:dyDescent="0.3">
      <c r="A719" t="str">
        <f t="array" ref="A719:J719">[1]!'6192.TW-ID,Name,MarketValue,Capital,NetIncomeGrowthRate,OperIncomeGrowthRate,FinancialStatementsTime,TFXRatio,MonthlyNetSalesYoY,RevenueMonth'</f>
        <v>6192</v>
      </c>
      <c r="B719" t="str">
        <v>巨路</v>
      </c>
      <c r="C719" t="str">
        <v>67.1</v>
      </c>
      <c r="D719" t="str">
        <v>9.62</v>
      </c>
      <c r="E719" t="str">
        <v>7.95</v>
      </c>
      <c r="F719" t="str">
        <v>1.56</v>
      </c>
      <c r="G719" t="str">
        <v>2022/09</v>
      </c>
      <c r="H719" t="str">
        <v>46.03</v>
      </c>
      <c r="I719" t="str">
        <v>-7.89</v>
      </c>
      <c r="J719" t="str">
        <v>2022/11</v>
      </c>
      <c r="K719" t="str">
        <f t="array" ref="K719:T719">[1]!'6192.TW-OperatingProfitRatio,Price,PriceChangeRatio,InOutRatioNumber,Value,YearReturn,MonthReturn,WeekReturn,FinanceBalanceDif,ChipsField2'</f>
        <v>17.47</v>
      </c>
      <c r="L719">
        <v>69.8</v>
      </c>
      <c r="M719">
        <v>0.87</v>
      </c>
      <c r="N719" t="str">
        <v>48.98%</v>
      </c>
      <c r="O719" t="str">
        <v>341萬</v>
      </c>
      <c r="P719" t="str">
        <v>-6.35</v>
      </c>
      <c r="Q719" t="str">
        <v>-0.57</v>
      </c>
      <c r="R719" t="str">
        <v>-1.13</v>
      </c>
      <c r="S719">
        <v>1</v>
      </c>
      <c r="T719">
        <v>0</v>
      </c>
      <c r="U719">
        <f t="array" ref="U719:AD719">[1]!'6192.TW-ChipsField3,ChipsField1,ChipsField25,CashAndStockDividend,CashDividendYieldRate,ProfitFourSeason,ProfitSingle,CName,ExchangeIndustry,CompanyPos'</f>
        <v>-4</v>
      </c>
      <c r="V719">
        <v>-14</v>
      </c>
      <c r="W719" t="str">
        <v>2022/04/21</v>
      </c>
      <c r="X719" t="str">
        <v>4.00</v>
      </c>
      <c r="Y719">
        <v>5.73</v>
      </c>
      <c r="Z719" t="str">
        <v>8.55</v>
      </c>
      <c r="AA719" t="str">
        <v>2.55</v>
      </c>
      <c r="AB719" t="str">
        <v>巨路</v>
      </c>
      <c r="AC719" t="str">
        <v>上市其他電子</v>
      </c>
      <c r="AD719" t="str">
        <v>程控儀錶與電子材料通路商</v>
      </c>
      <c r="AE719" t="str">
        <f t="array" ref="AE719:AH719">[1]!'6192.TW-CName,InvestorConferenceDate,DateofMeetingofShareHolders,TradingDate'</f>
        <v>巨路</v>
      </c>
      <c r="AF719" t="str">
        <v>2022/11/16</v>
      </c>
      <c r="AG719" t="str">
        <v>2022/06/23</v>
      </c>
      <c r="AH719" t="str">
        <v>2022/12/22</v>
      </c>
    </row>
    <row r="720" spans="1:34" x14ac:dyDescent="0.3">
      <c r="A720" t="str">
        <f t="array" ref="A720:J720">[1]!'6196.TW-ID,Name,MarketValue,Capital,NetIncomeGrowthRate,OperIncomeGrowthRate,FinancialStatementsTime,TFXRatio,MonthlyNetSalesYoY,RevenueMonth'</f>
        <v>6196</v>
      </c>
      <c r="B720" t="str">
        <v>帆宣</v>
      </c>
      <c r="C720" t="str">
        <v>229.1</v>
      </c>
      <c r="D720" t="str">
        <v>19.50</v>
      </c>
      <c r="E720" t="str">
        <v>59.24</v>
      </c>
      <c r="F720" t="str">
        <v>67.08</v>
      </c>
      <c r="G720" t="str">
        <v>2022/09</v>
      </c>
      <c r="H720" t="str">
        <v>9.23</v>
      </c>
      <c r="I720" t="str">
        <v>19.79</v>
      </c>
      <c r="J720" t="str">
        <v>2022/11</v>
      </c>
      <c r="K720" t="str">
        <f t="array" ref="K720:T720">[1]!'6196.TW-OperatingProfitRatio,Price,PriceChangeRatio,InOutRatioNumber,Value,YearReturn,MonthReturn,WeekReturn,FinanceBalanceDif,ChipsField2'</f>
        <v>5.72</v>
      </c>
      <c r="L720">
        <v>117.5</v>
      </c>
      <c r="M720">
        <v>0</v>
      </c>
      <c r="N720" t="str">
        <v>33.01%</v>
      </c>
      <c r="O720" t="str">
        <v>4975萬</v>
      </c>
      <c r="P720" t="str">
        <v>-23.38</v>
      </c>
      <c r="Q720" t="str">
        <v>+1.29</v>
      </c>
      <c r="R720" t="str">
        <v>-4.08</v>
      </c>
      <c r="S720">
        <v>-13</v>
      </c>
      <c r="T720">
        <v>0</v>
      </c>
      <c r="U720">
        <f t="array" ref="U720:AD720">[1]!'6196.TW-ChipsField3,ChipsField1,ChipsField25,CashAndStockDividend,CashDividendYieldRate,ProfitFourSeason,ProfitSingle,CName,ExchangeIndustry,CompanyPos'</f>
        <v>0</v>
      </c>
      <c r="V720">
        <v>102</v>
      </c>
      <c r="W720" t="str">
        <v>2022/07/12</v>
      </c>
      <c r="X720" t="str">
        <v>4.45</v>
      </c>
      <c r="Y720">
        <v>3.79</v>
      </c>
      <c r="Z720" t="str">
        <v>11.27</v>
      </c>
      <c r="AA720" t="str">
        <v>4.24</v>
      </c>
      <c r="AB720" t="str">
        <v>帆宣</v>
      </c>
      <c r="AC720" t="str">
        <v>上市其他電子</v>
      </c>
      <c r="AD720" t="str">
        <v>專注於設備工程及耗材代理的廠商</v>
      </c>
      <c r="AE720" t="str">
        <f t="array" ref="AE720:AH720">[1]!'6196.TW-CName,InvestorConferenceDate,DateofMeetingofShareHolders,TradingDate'</f>
        <v>帆宣</v>
      </c>
      <c r="AF720" t="str">
        <v>2022/09/07</v>
      </c>
      <c r="AG720" t="str">
        <v>2022/05/27</v>
      </c>
      <c r="AH720" t="str">
        <v>2022/12/22</v>
      </c>
    </row>
    <row r="721" spans="1:34" x14ac:dyDescent="0.3">
      <c r="A721" t="str">
        <f t="array" ref="A721:J721">[1]!'6201.TW-ID,Name,MarketValue,Capital,NetIncomeGrowthRate,OperIncomeGrowthRate,FinancialStatementsTime,TFXRatio,MonthlyNetSalesYoY,RevenueMonth'</f>
        <v>6201</v>
      </c>
      <c r="B721" t="str">
        <v>亞弘電</v>
      </c>
      <c r="C721" t="str">
        <v>35.1</v>
      </c>
      <c r="D721" t="str">
        <v>8.92</v>
      </c>
      <c r="E721" t="str">
        <v>1.00</v>
      </c>
      <c r="F721" t="str">
        <v>-45.11</v>
      </c>
      <c r="G721" t="str">
        <v>2022/09</v>
      </c>
      <c r="H721" t="str">
        <v>65.29</v>
      </c>
      <c r="I721" t="str">
        <v>-1.38</v>
      </c>
      <c r="J721" t="str">
        <v>2022/11</v>
      </c>
      <c r="K721" t="str">
        <f t="array" ref="K721:T721">[1]!'6201.TW-OperatingProfitRatio,Price,PriceChangeRatio,InOutRatioNumber,Value,YearReturn,MonthReturn,WeekReturn,FinanceBalanceDif,ChipsField2'</f>
        <v>8.03</v>
      </c>
      <c r="L721">
        <v>39.299999999999997</v>
      </c>
      <c r="M721">
        <v>0</v>
      </c>
      <c r="N721" t="str">
        <v>85.71%</v>
      </c>
      <c r="O721" t="str">
        <v>27.5萬</v>
      </c>
      <c r="P721" t="str">
        <v>-2.74</v>
      </c>
      <c r="Q721" t="str">
        <v>-0.76</v>
      </c>
      <c r="R721" t="str">
        <v>+1.42</v>
      </c>
      <c r="S721">
        <v>0</v>
      </c>
      <c r="T721">
        <v>0</v>
      </c>
      <c r="U721">
        <f t="array" ref="U721:AD721">[1]!'6201.TW-ChipsField3,ChipsField1,ChipsField25,CashAndStockDividend,CashDividendYieldRate,ProfitFourSeason,ProfitSingle,CName,ExchangeIndustry,CompanyPos'</f>
        <v>0</v>
      </c>
      <c r="V721">
        <v>0</v>
      </c>
      <c r="W721" t="str">
        <v>2022/08/04</v>
      </c>
      <c r="X721" t="str">
        <v>3.00</v>
      </c>
      <c r="Y721">
        <v>7.63</v>
      </c>
      <c r="Z721" t="str">
        <v>3.41</v>
      </c>
      <c r="AA721" t="str">
        <v>1.10</v>
      </c>
      <c r="AB721" t="str">
        <v>亞弘電</v>
      </c>
      <c r="AC721" t="str">
        <v>上市其他電子</v>
      </c>
      <c r="AD721" t="str">
        <v>音訊及小家電ODM大廠</v>
      </c>
      <c r="AE721" t="str">
        <f t="array" ref="AE721:AH721">[1]!'6201.TW-CName,InvestorConferenceDate,DateofMeetingofShareHolders,TradingDate'</f>
        <v>亞弘電</v>
      </c>
      <c r="AF721" t="str">
        <v>2022/11/25</v>
      </c>
      <c r="AG721" t="str">
        <v>2022/06/09</v>
      </c>
      <c r="AH721" t="str">
        <v>2022/12/22</v>
      </c>
    </row>
    <row r="722" spans="1:34" x14ac:dyDescent="0.3">
      <c r="A722" t="str">
        <f t="array" ref="A722:J722">[1]!'6215.TW-ID,Name,MarketValue,Capital,NetIncomeGrowthRate,OperIncomeGrowthRate,FinancialStatementsTime,TFXRatio,MonthlyNetSalesYoY,RevenueMonth'</f>
        <v>6215</v>
      </c>
      <c r="B722" t="str">
        <v>和椿</v>
      </c>
      <c r="C722" t="str">
        <v>16.6</v>
      </c>
      <c r="D722" t="str">
        <v>8.28</v>
      </c>
      <c r="E722" t="str">
        <v>-20.64</v>
      </c>
      <c r="F722" t="str">
        <v>-8.31</v>
      </c>
      <c r="G722" t="str">
        <v>2022/09</v>
      </c>
      <c r="H722" t="str">
        <v>-12.70</v>
      </c>
      <c r="I722" t="str">
        <v>-28.55</v>
      </c>
      <c r="J722" t="str">
        <v>2022/11</v>
      </c>
      <c r="K722" t="str">
        <f t="array" ref="K722:T722">[1]!'6215.TW-OperatingProfitRatio,Price,PriceChangeRatio,InOutRatioNumber,Value,YearReturn,MonthReturn,WeekReturn,FinanceBalanceDif,ChipsField2'</f>
        <v>11.27</v>
      </c>
      <c r="L722">
        <v>20</v>
      </c>
      <c r="M722">
        <v>0</v>
      </c>
      <c r="N722" t="str">
        <v>34.74%</v>
      </c>
      <c r="O722" t="str">
        <v>190萬</v>
      </c>
      <c r="P722" t="str">
        <v>-26.02</v>
      </c>
      <c r="Q722" t="str">
        <v>-2.91</v>
      </c>
      <c r="R722" t="str">
        <v>-3.85</v>
      </c>
      <c r="S722">
        <v>-4</v>
      </c>
      <c r="T722">
        <v>0</v>
      </c>
      <c r="U722">
        <f t="array" ref="U722:AD722">[1]!'6215.TW-ChipsField3,ChipsField1,ChipsField25,CashAndStockDividend,CashDividendYieldRate,ProfitFourSeason,ProfitSingle,CName,ExchangeIndustry,CompanyPos'</f>
        <v>0</v>
      </c>
      <c r="V722">
        <v>-3</v>
      </c>
      <c r="W722" t="str">
        <v>2022/07/11</v>
      </c>
      <c r="X722" t="str">
        <v>1.80</v>
      </c>
      <c r="Y722">
        <v>9</v>
      </c>
      <c r="Z722" t="str">
        <v>2.63</v>
      </c>
      <c r="AA722" t="str">
        <v>0.71</v>
      </c>
      <c r="AB722" t="str">
        <v>和椿</v>
      </c>
      <c r="AC722" t="str">
        <v>上市其他電子</v>
      </c>
      <c r="AD722" t="str">
        <v>專業的自動化設備零組件、光電製程之工業製造商</v>
      </c>
      <c r="AE722" t="str">
        <f t="array" ref="AE722:AH722">[1]!'6215.TW-CName,InvestorConferenceDate,DateofMeetingofShareHolders,TradingDate'</f>
        <v>和椿</v>
      </c>
      <c r="AF722" t="str">
        <v>2022/12/20</v>
      </c>
      <c r="AG722" t="str">
        <v>2022/06/22</v>
      </c>
      <c r="AH722" t="str">
        <v>2022/12/22</v>
      </c>
    </row>
    <row r="723" spans="1:34" x14ac:dyDescent="0.3">
      <c r="A723" t="str">
        <f t="array" ref="A723:J723">[1]!'6283.TW-ID,Name,MarketValue,Capital,NetIncomeGrowthRate,OperIncomeGrowthRate,FinancialStatementsTime,TFXRatio,MonthlyNetSalesYoY,RevenueMonth'</f>
        <v>6283</v>
      </c>
      <c r="B723" t="str">
        <v>淳安</v>
      </c>
      <c r="C723" t="str">
        <v>43.7</v>
      </c>
      <c r="D723" t="str">
        <v>14.79</v>
      </c>
      <c r="E723" t="str">
        <v>90.11</v>
      </c>
      <c r="F723" t="str">
        <v>53.81</v>
      </c>
      <c r="G723" t="str">
        <v>2022/09</v>
      </c>
      <c r="H723" t="str">
        <v>-20.84</v>
      </c>
      <c r="I723" t="str">
        <v>-53.41</v>
      </c>
      <c r="J723" t="str">
        <v>2022/11</v>
      </c>
      <c r="K723" t="str">
        <f t="array" ref="K723:T723">[1]!'6283.TW-OperatingProfitRatio,Price,PriceChangeRatio,InOutRatioNumber,Value,YearReturn,MonthReturn,WeekReturn,FinanceBalanceDif,ChipsField2'</f>
        <v>-9.79</v>
      </c>
      <c r="L723">
        <v>32.65</v>
      </c>
      <c r="M723">
        <v>0</v>
      </c>
      <c r="N723" t="str">
        <v>17.71%</v>
      </c>
      <c r="O723" t="str">
        <v>634萬</v>
      </c>
      <c r="P723" t="str">
        <v>-30.46</v>
      </c>
      <c r="Q723" t="str">
        <v>-8.03</v>
      </c>
      <c r="R723" t="str">
        <v>-4.25</v>
      </c>
      <c r="S723">
        <v>-11</v>
      </c>
      <c r="T723">
        <v>0</v>
      </c>
      <c r="U723">
        <f t="array" ref="U723:AD723">[1]!'6283.TW-ChipsField3,ChipsField1,ChipsField25,CashAndStockDividend,CashDividendYieldRate,ProfitFourSeason,ProfitSingle,CName,ExchangeIndustry,CompanyPos'</f>
        <v>0</v>
      </c>
      <c r="V723">
        <v>22</v>
      </c>
      <c r="W723" t="str">
        <v>--</v>
      </c>
      <c r="X723" t="str">
        <v>0.00</v>
      </c>
      <c r="Y723">
        <v>0</v>
      </c>
      <c r="Z723" t="str">
        <v>0.38</v>
      </c>
      <c r="AA723" t="str">
        <v>-0.23</v>
      </c>
      <c r="AB723" t="str">
        <v>淳安</v>
      </c>
      <c r="AC723" t="str">
        <v>上市其他電子</v>
      </c>
      <c r="AD723" t="str">
        <v>鍵盤導電薄膜與車載鏡頭製造商</v>
      </c>
      <c r="AE723" t="str">
        <f t="array" ref="AE723:AH723">[1]!'6283.TW-CName,InvestorConferenceDate,DateofMeetingofShareHolders,TradingDate'</f>
        <v>淳安</v>
      </c>
      <c r="AF723" t="str">
        <v>2022/04/07</v>
      </c>
      <c r="AG723" t="str">
        <v>2022/06/23</v>
      </c>
      <c r="AH723" t="str">
        <v>2022/12/22</v>
      </c>
    </row>
    <row r="724" spans="1:34" x14ac:dyDescent="0.3">
      <c r="A724" t="str">
        <f t="array" ref="A724:J724">[1]!'6409.TW-ID,Name,MarketValue,Capital,NetIncomeGrowthRate,OperIncomeGrowthRate,FinancialStatementsTime,TFXRatio,MonthlyNetSalesYoY,RevenueMonth'</f>
        <v>6409</v>
      </c>
      <c r="B724" t="str">
        <v>旭隼</v>
      </c>
      <c r="C724" t="str">
        <v>1360.3</v>
      </c>
      <c r="D724" t="str">
        <v>8.78</v>
      </c>
      <c r="E724" t="str">
        <v>90.25</v>
      </c>
      <c r="F724" t="str">
        <v>83.06</v>
      </c>
      <c r="G724" t="str">
        <v>2022/09</v>
      </c>
      <c r="H724" t="str">
        <v>2.77</v>
      </c>
      <c r="I724" t="str">
        <v>12.08</v>
      </c>
      <c r="J724" t="str">
        <v>2022/11</v>
      </c>
      <c r="K724" t="str">
        <f t="array" ref="K724:T724">[1]!'6409.TW-OperatingProfitRatio,Price,PriceChangeRatio,InOutRatioNumber,Value,YearReturn,MonthReturn,WeekReturn,FinanceBalanceDif,ChipsField2'</f>
        <v>22.44</v>
      </c>
      <c r="L724">
        <v>1550</v>
      </c>
      <c r="M724">
        <v>-1.9</v>
      </c>
      <c r="N724" t="str">
        <v>48.00%</v>
      </c>
      <c r="O724" t="str">
        <v>1.60億</v>
      </c>
      <c r="P724" t="str">
        <v>+1.00</v>
      </c>
      <c r="Q724" t="str">
        <v>+0.65</v>
      </c>
      <c r="R724" t="str">
        <v>-10.66</v>
      </c>
      <c r="S724">
        <v>-1</v>
      </c>
      <c r="T724">
        <v>1</v>
      </c>
      <c r="U724">
        <f t="array" ref="U724:AD724">[1]!'6409.TW-ChipsField3,ChipsField1,ChipsField25,CashAndStockDividend,CashDividendYieldRate,ProfitFourSeason,ProfitSingle,CName,ExchangeIndustry,CompanyPos'</f>
        <v>-2</v>
      </c>
      <c r="V724">
        <v>5</v>
      </c>
      <c r="W724" t="str">
        <v>2022/08/24</v>
      </c>
      <c r="X724" t="str">
        <v>23.55</v>
      </c>
      <c r="Y724">
        <v>1.52</v>
      </c>
      <c r="Z724" t="str">
        <v>45.02</v>
      </c>
      <c r="AA724" t="str">
        <v>17.29</v>
      </c>
      <c r="AB724" t="str">
        <v>旭隼</v>
      </c>
      <c r="AC724" t="str">
        <v>上市其他電子</v>
      </c>
      <c r="AD724" t="str">
        <v>台灣UPS及PV Inverter之ODM製造廠商</v>
      </c>
      <c r="AE724" t="str">
        <f t="array" ref="AE724:AH724">[1]!'6409.TW-CName,InvestorConferenceDate,DateofMeetingofShareHolders,TradingDate'</f>
        <v>旭隼</v>
      </c>
      <c r="AF724" t="str">
        <v>2021/04/14</v>
      </c>
      <c r="AG724" t="str">
        <v>2022/06/17</v>
      </c>
      <c r="AH724" t="str">
        <v>2022/12/22</v>
      </c>
    </row>
    <row r="725" spans="1:34" x14ac:dyDescent="0.3">
      <c r="A725" t="str">
        <f t="array" ref="A725:J725">[1]!'6438.TW-ID,Name,MarketValue,Capital,NetIncomeGrowthRate,OperIncomeGrowthRate,FinancialStatementsTime,TFXRatio,MonthlyNetSalesYoY,RevenueMonth'</f>
        <v>6438</v>
      </c>
      <c r="B725" t="str">
        <v>迅得</v>
      </c>
      <c r="C725" t="str">
        <v>58.5</v>
      </c>
      <c r="D725" t="str">
        <v>7.14</v>
      </c>
      <c r="E725" t="str">
        <v>18.18</v>
      </c>
      <c r="F725" t="str">
        <v>10.52</v>
      </c>
      <c r="G725" t="str">
        <v>2022/09</v>
      </c>
      <c r="H725" t="str">
        <v>0.51</v>
      </c>
      <c r="I725" t="str">
        <v>12.95</v>
      </c>
      <c r="J725" t="str">
        <v>2022/11</v>
      </c>
      <c r="K725" t="str">
        <f t="array" ref="K725:T725">[1]!'6438.TW-OperatingProfitRatio,Price,PriceChangeRatio,InOutRatioNumber,Value,YearReturn,MonthReturn,WeekReturn,FinanceBalanceDif,ChipsField2'</f>
        <v>15.29</v>
      </c>
      <c r="L725">
        <v>86.8</v>
      </c>
      <c r="M725">
        <v>0.35</v>
      </c>
      <c r="N725" t="str">
        <v>31.15%</v>
      </c>
      <c r="O725" t="str">
        <v>1072萬</v>
      </c>
      <c r="P725" t="str">
        <v>-12.10</v>
      </c>
      <c r="Q725" t="str">
        <v>+0.93</v>
      </c>
      <c r="R725" t="str">
        <v>-2.69</v>
      </c>
      <c r="S725">
        <v>-1</v>
      </c>
      <c r="T725">
        <v>0</v>
      </c>
      <c r="U725">
        <f t="array" ref="U725:AD725">[1]!'6438.TW-ChipsField3,ChipsField1,ChipsField25,CashAndStockDividend,CashDividendYieldRate,ProfitFourSeason,ProfitSingle,CName,ExchangeIndustry,CompanyPos'</f>
        <v>-1</v>
      </c>
      <c r="V725">
        <v>85</v>
      </c>
      <c r="W725" t="str">
        <v>2022/06/02</v>
      </c>
      <c r="X725" t="str">
        <v>6.30</v>
      </c>
      <c r="Y725">
        <v>7.26</v>
      </c>
      <c r="Z725" t="str">
        <v>10.66</v>
      </c>
      <c r="AA725" t="str">
        <v>3.20</v>
      </c>
      <c r="AB725" t="str">
        <v>迅得</v>
      </c>
      <c r="AC725" t="str">
        <v>上市其他電子</v>
      </c>
      <c r="AD725" t="str">
        <v>主要為PCB相關之自動化設備供應商</v>
      </c>
      <c r="AE725" t="str">
        <f t="array" ref="AE725:AH725">[1]!'6438.TW-CName,InvestorConferenceDate,DateofMeetingofShareHolders,TradingDate'</f>
        <v>迅得</v>
      </c>
      <c r="AF725" t="str">
        <v>2022/11/09</v>
      </c>
      <c r="AG725" t="str">
        <v>2022/05/27</v>
      </c>
      <c r="AH725" t="str">
        <v>2022/12/22</v>
      </c>
    </row>
    <row r="726" spans="1:34" x14ac:dyDescent="0.3">
      <c r="A726" t="str">
        <f t="array" ref="A726:J726">[1]!'6558.TW-ID,Name,MarketValue,Capital,NetIncomeGrowthRate,OperIncomeGrowthRate,FinancialStatementsTime,TFXRatio,MonthlyNetSalesYoY,RevenueMonth'</f>
        <v>6558</v>
      </c>
      <c r="B726" t="str">
        <v>興能高</v>
      </c>
      <c r="C726" t="str">
        <v>19.0</v>
      </c>
      <c r="D726" t="str">
        <v>9.37</v>
      </c>
      <c r="E726" t="str">
        <v>-297.50</v>
      </c>
      <c r="F726" t="str">
        <v>-286.56</v>
      </c>
      <c r="G726" t="str">
        <v>2022/09</v>
      </c>
      <c r="H726" t="str">
        <v>-5.99</v>
      </c>
      <c r="I726" t="str">
        <v>-17.03</v>
      </c>
      <c r="J726" t="str">
        <v>2022/11</v>
      </c>
      <c r="K726" t="str">
        <f t="array" ref="K726:T726">[1]!'6558.TW-OperatingProfitRatio,Price,PriceChangeRatio,InOutRatioNumber,Value,YearReturn,MonthReturn,WeekReturn,FinanceBalanceDif,ChipsField2'</f>
        <v>-12.28</v>
      </c>
      <c r="L726">
        <v>21.95</v>
      </c>
      <c r="M726">
        <v>1.1499999999999999</v>
      </c>
      <c r="N726" t="str">
        <v>35.88%</v>
      </c>
      <c r="O726" t="str">
        <v>287萬</v>
      </c>
      <c r="P726" t="str">
        <v>-30.97</v>
      </c>
      <c r="Q726" t="str">
        <v>+6.04</v>
      </c>
      <c r="R726" t="str">
        <v>-9.86</v>
      </c>
      <c r="S726">
        <v>-15</v>
      </c>
      <c r="T726">
        <v>0</v>
      </c>
      <c r="U726">
        <f t="array" ref="U726:AD726">[1]!'6558.TW-ChipsField3,ChipsField1,ChipsField25,CashAndStockDividend,CashDividendYieldRate,ProfitFourSeason,ProfitSingle,CName,ExchangeIndustry,CompanyPos'</f>
        <v>-4</v>
      </c>
      <c r="V726">
        <v>21</v>
      </c>
      <c r="W726" t="str">
        <v>--</v>
      </c>
      <c r="X726" t="str">
        <v>0.00</v>
      </c>
      <c r="Y726">
        <v>0</v>
      </c>
      <c r="Z726" t="str">
        <v>-0.63</v>
      </c>
      <c r="AA726" t="str">
        <v>0.01</v>
      </c>
      <c r="AB726" t="str">
        <v>興能高</v>
      </c>
      <c r="AC726" t="str">
        <v>上市其他電子</v>
      </c>
      <c r="AD726" t="str">
        <v>以穿載式應用為主的鋰電池廠商</v>
      </c>
      <c r="AE726" t="str">
        <f t="array" ref="AE726:AH726">[1]!'6558.TW-CName,InvestorConferenceDate,DateofMeetingofShareHolders,TradingDate'</f>
        <v>興能高</v>
      </c>
      <c r="AF726" t="str">
        <v>2022/12/06</v>
      </c>
      <c r="AG726" t="str">
        <v>2022/06/09</v>
      </c>
      <c r="AH726" t="str">
        <v>2022/12/22</v>
      </c>
    </row>
    <row r="727" spans="1:34" x14ac:dyDescent="0.3">
      <c r="A727" t="str">
        <f t="array" ref="A727:J727">[1]!'6689.TW-ID,Name,MarketValue,Capital,NetIncomeGrowthRate,OperIncomeGrowthRate,FinancialStatementsTime,TFXRatio,MonthlyNetSalesYoY,RevenueMonth'</f>
        <v>6689</v>
      </c>
      <c r="B727" t="str">
        <v>伊雲谷</v>
      </c>
      <c r="C727" t="str">
        <v>59.8</v>
      </c>
      <c r="D727" t="str">
        <v>6.80</v>
      </c>
      <c r="E727" t="str">
        <v>-58.96</v>
      </c>
      <c r="F727" t="str">
        <v>-51.46</v>
      </c>
      <c r="G727" t="str">
        <v>2022/09</v>
      </c>
      <c r="H727" t="str">
        <v>5.97</v>
      </c>
      <c r="I727" t="str">
        <v>-1.32</v>
      </c>
      <c r="J727" t="str">
        <v>2022/11</v>
      </c>
      <c r="K727" t="str">
        <f t="array" ref="K727:T727">[1]!'6689.TW-OperatingProfitRatio,Price,PriceChangeRatio,InOutRatioNumber,Value,YearReturn,MonthReturn,WeekReturn,FinanceBalanceDif,ChipsField2'</f>
        <v>1.56</v>
      </c>
      <c r="L727">
        <v>88</v>
      </c>
      <c r="M727">
        <v>6.15</v>
      </c>
      <c r="N727" t="str">
        <v>75.63%</v>
      </c>
      <c r="O727" t="str">
        <v>6172萬</v>
      </c>
      <c r="P727" t="str">
        <v>--</v>
      </c>
      <c r="Q727" t="str">
        <v>0.00</v>
      </c>
      <c r="R727" t="str">
        <v>+2.56</v>
      </c>
      <c r="S727">
        <v>0</v>
      </c>
      <c r="T727">
        <v>0</v>
      </c>
      <c r="U727">
        <f t="array" ref="U727:AD727">[1]!'6689.TW-ChipsField3,ChipsField1,ChipsField25,CashAndStockDividend,CashDividendYieldRate,ProfitFourSeason,ProfitSingle,CName,ExchangeIndustry,CompanyPos'</f>
        <v>-5</v>
      </c>
      <c r="V727">
        <v>34</v>
      </c>
      <c r="W727" t="str">
        <v>2022/07/11</v>
      </c>
      <c r="X727" t="str">
        <v>2.50</v>
      </c>
      <c r="Y727">
        <v>2.84</v>
      </c>
      <c r="Z727" t="str">
        <v>1.73</v>
      </c>
      <c r="AA727" t="str">
        <v>0.18</v>
      </c>
      <c r="AB727" t="str">
        <v>伊雲谷</v>
      </c>
      <c r="AC727" t="str">
        <v>上市其他電子</v>
      </c>
      <c r="AD727" t="str">
        <v>Amazon旗下AWS雲端服務亞太地區代理商</v>
      </c>
      <c r="AE727" t="str">
        <f t="array" ref="AE727:AH727">[1]!'6689.TW-CName,InvestorConferenceDate,DateofMeetingofShareHolders,TradingDate'</f>
        <v>伊雲谷</v>
      </c>
      <c r="AF727" t="str">
        <v>2021/03/26</v>
      </c>
      <c r="AG727" t="str">
        <v>2022/06/23</v>
      </c>
      <c r="AH727" t="str">
        <v>2022/12/22</v>
      </c>
    </row>
    <row r="728" spans="1:34" x14ac:dyDescent="0.3">
      <c r="A728" t="str">
        <f t="array" ref="A728:J728">[1]!'6691.TW-ID,Name,MarketValue,Capital,NetIncomeGrowthRate,OperIncomeGrowthRate,FinancialStatementsTime,TFXRatio,MonthlyNetSalesYoY,RevenueMonth'</f>
        <v>6691</v>
      </c>
      <c r="B728" t="str">
        <v>洋基工程</v>
      </c>
      <c r="C728" t="str">
        <v>133.4</v>
      </c>
      <c r="D728" t="str">
        <v>6.79</v>
      </c>
      <c r="E728" t="str">
        <v>93.90</v>
      </c>
      <c r="F728" t="str">
        <v>89.45</v>
      </c>
      <c r="G728" t="str">
        <v>2022/09</v>
      </c>
      <c r="H728" t="str">
        <v>7.87</v>
      </c>
      <c r="I728" t="str">
        <v>50.43</v>
      </c>
      <c r="J728" t="str">
        <v>2022/11</v>
      </c>
      <c r="K728" t="str">
        <f t="array" ref="K728:T728">[1]!'6691.TW-OperatingProfitRatio,Price,PriceChangeRatio,InOutRatioNumber,Value,YearReturn,MonthReturn,WeekReturn,FinanceBalanceDif,ChipsField2'</f>
        <v>16.19</v>
      </c>
      <c r="L728">
        <v>196.5</v>
      </c>
      <c r="M728">
        <v>0</v>
      </c>
      <c r="N728" t="str">
        <v>29.09%</v>
      </c>
      <c r="O728" t="str">
        <v>1099萬</v>
      </c>
      <c r="P728" t="str">
        <v>--</v>
      </c>
      <c r="Q728" t="str">
        <v>+3.97</v>
      </c>
      <c r="R728" t="str">
        <v>-0.25</v>
      </c>
      <c r="S728">
        <v>5</v>
      </c>
      <c r="T728">
        <v>0</v>
      </c>
      <c r="U728">
        <f t="array" ref="U728:AD728">[1]!'6691.TW-ChipsField3,ChipsField1,ChipsField25,CashAndStockDividend,CashDividendYieldRate,ProfitFourSeason,ProfitSingle,CName,ExchangeIndustry,CompanyPos'</f>
        <v>-1</v>
      </c>
      <c r="V728">
        <v>2</v>
      </c>
      <c r="W728" t="str">
        <v>2022/07/12</v>
      </c>
      <c r="X728" t="str">
        <v>14.00</v>
      </c>
      <c r="Y728">
        <v>7.12</v>
      </c>
      <c r="Z728" t="str">
        <v>23.99</v>
      </c>
      <c r="AA728" t="str">
        <v>8.17</v>
      </c>
      <c r="AB728" t="str">
        <v>洋基工程</v>
      </c>
      <c r="AC728" t="str">
        <v>上市其他電子</v>
      </c>
      <c r="AD728" t="str">
        <v>高科技廠房無塵室機電工程業者</v>
      </c>
      <c r="AE728" t="str">
        <f t="array" ref="AE728:AH728">[1]!'6691.TW-CName,InvestorConferenceDate,DateofMeetingofShareHolders,TradingDate'</f>
        <v>洋基工程</v>
      </c>
      <c r="AF728" t="str">
        <v>2022/08/24</v>
      </c>
      <c r="AG728" t="str">
        <v>2022/05/26</v>
      </c>
      <c r="AH728" t="str">
        <v>2022/12/22</v>
      </c>
    </row>
    <row r="729" spans="1:34" x14ac:dyDescent="0.3">
      <c r="A729" t="str">
        <f t="array" ref="A729:J729">[1]!'6698.TW-ID,Name,MarketValue,Capital,NetIncomeGrowthRate,OperIncomeGrowthRate,FinancialStatementsTime,TFXRatio,MonthlyNetSalesYoY,RevenueMonth'</f>
        <v>6698</v>
      </c>
      <c r="B729" t="str">
        <v>旭暉應材</v>
      </c>
      <c r="C729" t="str">
        <v>19.0</v>
      </c>
      <c r="D729" t="str">
        <v>6.64</v>
      </c>
      <c r="E729" t="str">
        <v>-22.65</v>
      </c>
      <c r="F729" t="str">
        <v>-47.76</v>
      </c>
      <c r="G729" t="str">
        <v>2022/09</v>
      </c>
      <c r="H729" t="str">
        <v>-9.48</v>
      </c>
      <c r="I729" t="str">
        <v>23.43</v>
      </c>
      <c r="J729" t="str">
        <v>2022/11</v>
      </c>
      <c r="K729" t="str">
        <f t="array" ref="K729:T729">[1]!'6698.TW-OperatingProfitRatio,Price,PriceChangeRatio,InOutRatioNumber,Value,YearReturn,MonthReturn,WeekReturn,FinanceBalanceDif,ChipsField2'</f>
        <v>1.45</v>
      </c>
      <c r="L729">
        <v>28.6</v>
      </c>
      <c r="M729">
        <v>0.53</v>
      </c>
      <c r="N729" t="str">
        <v>41.30%</v>
      </c>
      <c r="O729" t="str">
        <v>132萬</v>
      </c>
      <c r="P729" t="str">
        <v>-47.04</v>
      </c>
      <c r="Q729" t="str">
        <v>-0.35</v>
      </c>
      <c r="R729" t="str">
        <v>-4.03</v>
      </c>
      <c r="S729">
        <v>2</v>
      </c>
      <c r="T729">
        <v>0</v>
      </c>
      <c r="U729">
        <f t="array" ref="U729:AD729">[1]!'6698.TW-ChipsField3,ChipsField1,ChipsField25,CashAndStockDividend,CashDividendYieldRate,ProfitFourSeason,ProfitSingle,CName,ExchangeIndustry,CompanyPos'</f>
        <v>0</v>
      </c>
      <c r="V729">
        <v>1</v>
      </c>
      <c r="W729" t="str">
        <v>--</v>
      </c>
      <c r="X729" t="str">
        <v>0.00</v>
      </c>
      <c r="Y729">
        <v>0</v>
      </c>
      <c r="Z729" t="str">
        <v>0.10</v>
      </c>
      <c r="AA729" t="str">
        <v>-0.25</v>
      </c>
      <c r="AB729" t="str">
        <v>旭暉應材</v>
      </c>
      <c r="AC729" t="str">
        <v>上市其他電子</v>
      </c>
      <c r="AD729" t="str">
        <v>高精細金屬遮罩生產商</v>
      </c>
      <c r="AE729" t="str">
        <f t="array" ref="AE729:AH729">[1]!'6698.TW-CName,InvestorConferenceDate,DateofMeetingofShareHolders,TradingDate'</f>
        <v>旭暉應材</v>
      </c>
      <c r="AF729" t="str">
        <v>2022/11/10</v>
      </c>
      <c r="AG729" t="str">
        <v>2022/06/08</v>
      </c>
      <c r="AH729" t="str">
        <v>2022/12/22</v>
      </c>
    </row>
    <row r="730" spans="1:34" x14ac:dyDescent="0.3">
      <c r="A730" t="str">
        <f t="array" ref="A730:J730">[1]!'6743.TW-ID,Name,MarketValue,Capital,NetIncomeGrowthRate,OperIncomeGrowthRate,FinancialStatementsTime,TFXRatio,MonthlyNetSalesYoY,RevenueMonth'</f>
        <v>6743</v>
      </c>
      <c r="B730" t="str">
        <v>安普新</v>
      </c>
      <c r="C730" t="str">
        <v>54.1</v>
      </c>
      <c r="D730" t="str">
        <v>15.00</v>
      </c>
      <c r="E730" t="str">
        <v>2298.57</v>
      </c>
      <c r="F730" t="str">
        <v>1517.18</v>
      </c>
      <c r="G730" t="str">
        <v>2022/09</v>
      </c>
      <c r="H730" t="str">
        <v>-7.14</v>
      </c>
      <c r="I730" t="str">
        <v>-39.70</v>
      </c>
      <c r="J730" t="str">
        <v>2022/11</v>
      </c>
      <c r="K730" t="str">
        <f t="array" ref="K730:T730">[1]!'6743.TW-OperatingProfitRatio,Price,PriceChangeRatio,InOutRatioNumber,Value,YearReturn,MonthReturn,WeekReturn,FinanceBalanceDif,ChipsField2'</f>
        <v>2.00</v>
      </c>
      <c r="L730">
        <v>36.049999999999997</v>
      </c>
      <c r="M730">
        <v>0.42</v>
      </c>
      <c r="N730" t="str">
        <v>48.48%</v>
      </c>
      <c r="O730" t="str">
        <v>278萬</v>
      </c>
      <c r="P730" t="str">
        <v>-49.22</v>
      </c>
      <c r="Q730" t="str">
        <v>+6.66</v>
      </c>
      <c r="R730" t="str">
        <v>-4.38</v>
      </c>
      <c r="S730">
        <v>-3</v>
      </c>
      <c r="T730">
        <v>0</v>
      </c>
      <c r="U730">
        <f t="array" ref="U730:AD730">[1]!'6743.TW-ChipsField3,ChipsField1,ChipsField25,CashAndStockDividend,CashDividendYieldRate,ProfitFourSeason,ProfitSingle,CName,ExchangeIndustry,CompanyPos'</f>
        <v>0</v>
      </c>
      <c r="V730">
        <v>1</v>
      </c>
      <c r="W730" t="str">
        <v>2022/08/03</v>
      </c>
      <c r="X730" t="str">
        <v>0.50</v>
      </c>
      <c r="Y730">
        <v>1.39</v>
      </c>
      <c r="Z730" t="str">
        <v>0.23</v>
      </c>
      <c r="AA730" t="str">
        <v>0.26</v>
      </c>
      <c r="AB730" t="str">
        <v>安普新</v>
      </c>
      <c r="AC730" t="str">
        <v>上市其他電子</v>
      </c>
      <c r="AD730" t="str">
        <v>台灣音樂娛樂或電競用耳機製造商</v>
      </c>
      <c r="AE730" t="str">
        <f t="array" ref="AE730:AH730">[1]!'6743.TW-CName,InvestorConferenceDate,DateofMeetingofShareHolders,TradingDate'</f>
        <v>安普新</v>
      </c>
      <c r="AF730" t="str">
        <v>2022/11/28</v>
      </c>
      <c r="AG730" t="str">
        <v>2022/06/14</v>
      </c>
      <c r="AH730" t="str">
        <v>2022/12/22</v>
      </c>
    </row>
    <row r="731" spans="1:34" x14ac:dyDescent="0.3">
      <c r="A731" t="str">
        <f t="array" ref="A731:J731">[1]!'6830.TW-ID,Name,MarketValue,Capital,NetIncomeGrowthRate,OperIncomeGrowthRate,FinancialStatementsTime,TFXRatio,MonthlyNetSalesYoY,RevenueMonth'</f>
        <v>6830</v>
      </c>
      <c r="B731" t="str">
        <v>汎銓</v>
      </c>
      <c r="C731" t="str">
        <v>45.9</v>
      </c>
      <c r="D731" t="str">
        <v>4.68</v>
      </c>
      <c r="E731" t="str">
        <v>15.78</v>
      </c>
      <c r="F731" t="str">
        <v>42.38</v>
      </c>
      <c r="G731" t="str">
        <v>2022/09</v>
      </c>
      <c r="H731" t="str">
        <v>8.20</v>
      </c>
      <c r="I731" t="str">
        <v>12.29</v>
      </c>
      <c r="J731" t="str">
        <v>2022/11</v>
      </c>
      <c r="K731" t="str">
        <f t="array" ref="K731:T731">[1]!'6830.TW-OperatingProfitRatio,Price,PriceChangeRatio,InOutRatioNumber,Value,YearReturn,MonthReturn,WeekReturn,FinanceBalanceDif,ChipsField2'</f>
        <v>20.70</v>
      </c>
      <c r="L731">
        <v>98.1</v>
      </c>
      <c r="M731">
        <v>3.7</v>
      </c>
      <c r="N731" t="str">
        <v>57.25%</v>
      </c>
      <c r="O731" t="str">
        <v>1376萬</v>
      </c>
      <c r="P731" t="str">
        <v>--</v>
      </c>
      <c r="Q731" t="str">
        <v>+6.05</v>
      </c>
      <c r="R731" t="str">
        <v>-1.01</v>
      </c>
      <c r="S731">
        <v>0</v>
      </c>
      <c r="T731">
        <v>0</v>
      </c>
      <c r="U731">
        <f t="array" ref="U731:AD731">[1]!'6830.TW-ChipsField3,ChipsField1,ChipsField25,CashAndStockDividend,CashDividendYieldRate,ProfitFourSeason,ProfitSingle,CName,ExchangeIndustry,CompanyPos'</f>
        <v>-9</v>
      </c>
      <c r="V731">
        <v>0</v>
      </c>
      <c r="W731" t="str">
        <v>2022/07/12</v>
      </c>
      <c r="X731" t="str">
        <v>4.50</v>
      </c>
      <c r="Y731">
        <v>4.59</v>
      </c>
      <c r="Z731" t="str">
        <v>6.65</v>
      </c>
      <c r="AA731" t="str">
        <v>1.80</v>
      </c>
      <c r="AB731" t="str">
        <v>汎銓</v>
      </c>
      <c r="AC731" t="str">
        <v>上市其他電子</v>
      </c>
      <c r="AD731" t="str">
        <v>半導體材料分析服務龍頭，市占率五成以上</v>
      </c>
      <c r="AE731" t="str">
        <f t="array" ref="AE731:AH731">[1]!'6830.TW-CName,InvestorConferenceDate,DateofMeetingofShareHolders,TradingDate'</f>
        <v>汎銓</v>
      </c>
      <c r="AF731" t="str">
        <v>2021/07/20</v>
      </c>
      <c r="AG731" t="str">
        <v>2022/06/27</v>
      </c>
      <c r="AH731" t="str">
        <v>2022/12/22</v>
      </c>
    </row>
    <row r="732" spans="1:34" x14ac:dyDescent="0.3">
      <c r="A732" t="str">
        <f t="array" ref="A732:J732">[1]!'8021.TW-ID,Name,MarketValue,Capital,NetIncomeGrowthRate,OperIncomeGrowthRate,FinancialStatementsTime,TFXRatio,MonthlyNetSalesYoY,RevenueMonth'</f>
        <v>8021</v>
      </c>
      <c r="B732" t="str">
        <v>尖點</v>
      </c>
      <c r="C732" t="str">
        <v>42.3</v>
      </c>
      <c r="D732" t="str">
        <v>14.22</v>
      </c>
      <c r="E732" t="str">
        <v>-19.64</v>
      </c>
      <c r="F732" t="str">
        <v>-12.18</v>
      </c>
      <c r="G732" t="str">
        <v>2022/09</v>
      </c>
      <c r="H732" t="str">
        <v>-2.65</v>
      </c>
      <c r="I732" t="str">
        <v>-15.69</v>
      </c>
      <c r="J732" t="str">
        <v>2022/11</v>
      </c>
      <c r="K732" t="str">
        <f t="array" ref="K732:T732">[1]!'8021.TW-OperatingProfitRatio,Price,PriceChangeRatio,InOutRatioNumber,Value,YearReturn,MonthReturn,WeekReturn,FinanceBalanceDif,ChipsField2'</f>
        <v>15.83</v>
      </c>
      <c r="L732">
        <v>29.75</v>
      </c>
      <c r="M732">
        <v>1.02</v>
      </c>
      <c r="N732" t="str">
        <v>52.87%</v>
      </c>
      <c r="O732" t="str">
        <v>734萬</v>
      </c>
      <c r="P732" t="str">
        <v>-20.27</v>
      </c>
      <c r="Q732" t="str">
        <v>+2.76</v>
      </c>
      <c r="R732" t="str">
        <v>+0.68</v>
      </c>
      <c r="S732">
        <v>-1</v>
      </c>
      <c r="T732">
        <v>0</v>
      </c>
      <c r="U732">
        <f t="array" ref="U732:AD732">[1]!'8021.TW-ChipsField3,ChipsField1,ChipsField25,CashAndStockDividend,CashDividendYieldRate,ProfitFourSeason,ProfitSingle,CName,ExchangeIndustry,CompanyPos'</f>
        <v>-6</v>
      </c>
      <c r="V732">
        <v>6</v>
      </c>
      <c r="W732" t="str">
        <v>2022/07/21</v>
      </c>
      <c r="X732" t="str">
        <v>2.30</v>
      </c>
      <c r="Y732">
        <v>7.73</v>
      </c>
      <c r="Z732" t="str">
        <v>2.62</v>
      </c>
      <c r="AA732" t="str">
        <v>0.30</v>
      </c>
      <c r="AB732" t="str">
        <v>尖點</v>
      </c>
      <c r="AC732" t="str">
        <v>上市其他電子</v>
      </c>
      <c r="AD732" t="str">
        <v>全球前三大PCB鑽針生產商之一</v>
      </c>
      <c r="AE732" t="str">
        <f t="array" ref="AE732:AH732">[1]!'8021.TW-CName,InvestorConferenceDate,DateofMeetingofShareHolders,TradingDate'</f>
        <v>尖點</v>
      </c>
      <c r="AF732" t="str">
        <v>2022/11/04</v>
      </c>
      <c r="AG732" t="str">
        <v>2022/06/09</v>
      </c>
      <c r="AH732" t="str">
        <v>2022/12/22</v>
      </c>
    </row>
    <row r="733" spans="1:34" x14ac:dyDescent="0.3">
      <c r="A733" t="str">
        <f t="array" ref="A733:J733">[1]!'8201.TW-ID,Name,MarketValue,Capital,NetIncomeGrowthRate,OperIncomeGrowthRate,FinancialStatementsTime,TFXRatio,MonthlyNetSalesYoY,RevenueMonth'</f>
        <v>8201</v>
      </c>
      <c r="B733" t="str">
        <v>無敵</v>
      </c>
      <c r="C733" t="str">
        <v>6.4</v>
      </c>
      <c r="D733" t="str">
        <v>6.24</v>
      </c>
      <c r="E733" t="str">
        <v>-139.68</v>
      </c>
      <c r="F733" t="str">
        <v>10.66</v>
      </c>
      <c r="G733" t="str">
        <v>2022/09</v>
      </c>
      <c r="H733" t="str">
        <v>-37.31</v>
      </c>
      <c r="I733" t="str">
        <v>-33.87</v>
      </c>
      <c r="J733" t="str">
        <v>2022/11</v>
      </c>
      <c r="K733" t="str">
        <f t="array" ref="K733:T733">[1]!'8201.TW-OperatingProfitRatio,Price,PriceChangeRatio,InOutRatioNumber,Value,YearReturn,MonthReturn,WeekReturn,FinanceBalanceDif,ChipsField2'</f>
        <v>-15.70</v>
      </c>
      <c r="L733">
        <v>10.25</v>
      </c>
      <c r="M733">
        <v>1.99</v>
      </c>
      <c r="N733" t="str">
        <v>22.22%</v>
      </c>
      <c r="O733" t="str">
        <v>27.4萬</v>
      </c>
      <c r="P733" t="str">
        <v>-41.09</v>
      </c>
      <c r="Q733" t="str">
        <v>-9.69</v>
      </c>
      <c r="R733" t="str">
        <v>-1.91</v>
      </c>
      <c r="S733">
        <v>-1</v>
      </c>
      <c r="T733">
        <v>0</v>
      </c>
      <c r="U733">
        <f t="array" ref="U733:AD733">[1]!'8201.TW-ChipsField3,ChipsField1,ChipsField25,CashAndStockDividend,CashDividendYieldRate,ProfitFourSeason,ProfitSingle,CName,ExchangeIndustry,CompanyPos'</f>
        <v>0</v>
      </c>
      <c r="V733">
        <v>-2</v>
      </c>
      <c r="W733" t="str">
        <v>--</v>
      </c>
      <c r="X733" t="str">
        <v>0.00</v>
      </c>
      <c r="Y733">
        <v>0</v>
      </c>
      <c r="Z733" t="str">
        <v>-1.43</v>
      </c>
      <c r="AA733" t="str">
        <v>-0.26</v>
      </c>
      <c r="AB733" t="str">
        <v>無敵</v>
      </c>
      <c r="AC733" t="str">
        <v>上市其他電子</v>
      </c>
      <c r="AD733" t="str">
        <v>英業達旗下之亞洲電子辭典領導廠商</v>
      </c>
      <c r="AE733" t="str">
        <f t="array" ref="AE733:AH733">[1]!'8201.TW-CName,InvestorConferenceDate,DateofMeetingofShareHolders,TradingDate'</f>
        <v>無敵</v>
      </c>
      <c r="AF733" t="str">
        <v>2022/09/16</v>
      </c>
      <c r="AG733" t="str">
        <v>2022/06/15</v>
      </c>
      <c r="AH733" t="str">
        <v>2022/12/22</v>
      </c>
    </row>
    <row r="734" spans="1:34" x14ac:dyDescent="0.3">
      <c r="A734" t="str">
        <f t="array" ref="A734:J734">[1]!'8499.TW-ID,Name,MarketValue,Capital,NetIncomeGrowthRate,OperIncomeGrowthRate,FinancialStatementsTime,TFXRatio,MonthlyNetSalesYoY,RevenueMonth'</f>
        <v>8499</v>
      </c>
      <c r="B734" t="str">
        <v>鼎炫-KY</v>
      </c>
      <c r="C734" t="str">
        <v>52.6</v>
      </c>
      <c r="D734" t="str">
        <v>5.19</v>
      </c>
      <c r="E734" t="str">
        <v>9.01</v>
      </c>
      <c r="F734" t="str">
        <v>-26.46</v>
      </c>
      <c r="G734" t="str">
        <v>2022/09</v>
      </c>
      <c r="H734" t="str">
        <v>6.70</v>
      </c>
      <c r="I734" t="str">
        <v>-31.02</v>
      </c>
      <c r="J734" t="str">
        <v>2022/11</v>
      </c>
      <c r="K734" t="str">
        <f t="array" ref="K734:T734">[1]!'8499.TW-OperatingProfitRatio,Price,PriceChangeRatio,InOutRatioNumber,Value,YearReturn,MonthReturn,WeekReturn,FinanceBalanceDif,ChipsField2'</f>
        <v>30.83</v>
      </c>
      <c r="L734">
        <v>101.5</v>
      </c>
      <c r="M734">
        <v>1</v>
      </c>
      <c r="N734" t="str">
        <v>36.36%</v>
      </c>
      <c r="O734" t="str">
        <v>222萬</v>
      </c>
      <c r="P734" t="str">
        <v>-12.72</v>
      </c>
      <c r="Q734" t="str">
        <v>+0.50</v>
      </c>
      <c r="R734" t="str">
        <v>-0.98</v>
      </c>
      <c r="S734">
        <v>-14</v>
      </c>
      <c r="T734">
        <v>0</v>
      </c>
      <c r="U734">
        <f t="array" ref="U734:AD734">[1]!'8499.TW-ChipsField3,ChipsField1,ChipsField25,CashAndStockDividend,CashDividendYieldRate,ProfitFourSeason,ProfitSingle,CName,ExchangeIndustry,CompanyPos'</f>
        <v>-3</v>
      </c>
      <c r="V734">
        <v>-1</v>
      </c>
      <c r="W734" t="str">
        <v>2022/11/08</v>
      </c>
      <c r="X734" t="str">
        <v>8.00</v>
      </c>
      <c r="Y734">
        <v>7.88</v>
      </c>
      <c r="Z734" t="str">
        <v>15.11</v>
      </c>
      <c r="AA734" t="str">
        <v>4.35</v>
      </c>
      <c r="AB734" t="str">
        <v>鼎炫-KY</v>
      </c>
      <c r="AC734" t="str">
        <v>上市其他電子</v>
      </c>
      <c r="AD734" t="str">
        <v>電子衡器及EMI導電材料生產商</v>
      </c>
      <c r="AE734" t="str">
        <f t="array" ref="AE734:AH734">[1]!'8499.TW-CName,InvestorConferenceDate,DateofMeetingofShareHolders,TradingDate'</f>
        <v>鼎炫-KY</v>
      </c>
      <c r="AF734" t="str">
        <v>2022/10/26</v>
      </c>
      <c r="AG734" t="str">
        <v>2022/06/29</v>
      </c>
      <c r="AH734" t="str">
        <v>2022/12/22</v>
      </c>
    </row>
    <row r="735" spans="1:34" x14ac:dyDescent="0.3">
      <c r="A735" t="str">
        <f t="array" ref="A735:J735">[1]!'1316.TW-ID,Name,MarketValue,Capital,NetIncomeGrowthRate,OperIncomeGrowthRate,FinancialStatementsTime,TFXRatio,MonthlyNetSalesYoY,RevenueMonth'</f>
        <v>1316</v>
      </c>
      <c r="B735" t="str">
        <v>上曜</v>
      </c>
      <c r="C735" t="str">
        <v>26.6</v>
      </c>
      <c r="D735" t="str">
        <v>21.90</v>
      </c>
      <c r="E735" t="str">
        <v>62.97</v>
      </c>
      <c r="F735" t="str">
        <v>606.88</v>
      </c>
      <c r="G735" t="str">
        <v>2022/09</v>
      </c>
      <c r="H735" t="str">
        <v>-56.64</v>
      </c>
      <c r="I735" t="str">
        <v>4.64</v>
      </c>
      <c r="J735" t="str">
        <v>2022/11</v>
      </c>
      <c r="K735" t="str">
        <f t="array" ref="K735:T735">[1]!'1316.TW-OperatingProfitRatio,Price,PriceChangeRatio,InOutRatioNumber,Value,YearReturn,MonthReturn,WeekReturn,FinanceBalanceDif,ChipsField2'</f>
        <v>9.22</v>
      </c>
      <c r="L735">
        <v>12</v>
      </c>
      <c r="M735">
        <v>0</v>
      </c>
      <c r="N735" t="str">
        <v>42.56%</v>
      </c>
      <c r="O735" t="str">
        <v>599萬</v>
      </c>
      <c r="P735" t="str">
        <v>-45.50</v>
      </c>
      <c r="Q735" t="str">
        <v>-2.04</v>
      </c>
      <c r="R735" t="str">
        <v>-6.98</v>
      </c>
      <c r="S735">
        <v>-60</v>
      </c>
      <c r="T735">
        <v>0</v>
      </c>
      <c r="U735">
        <f t="array" ref="U735:AD735">[1]!'1316.TW-ChipsField3,ChipsField1,ChipsField25,CashAndStockDividend,CashDividendYieldRate,ProfitFourSeason,ProfitSingle,CName,ExchangeIndustry,CompanyPos'</f>
        <v>-1</v>
      </c>
      <c r="V735">
        <v>-184</v>
      </c>
      <c r="W735" t="str">
        <v>--</v>
      </c>
      <c r="X735" t="str">
        <v>0.00</v>
      </c>
      <c r="Y735">
        <v>0</v>
      </c>
      <c r="Z735" t="str">
        <v>0.65</v>
      </c>
      <c r="AA735" t="str">
        <v>0.50</v>
      </c>
      <c r="AB735" t="str">
        <v>上曜</v>
      </c>
      <c r="AC735" t="str">
        <v>上市建材營造</v>
      </c>
      <c r="AD735" t="str">
        <v>主要經營PU合成皮樹脂及營建業務</v>
      </c>
      <c r="AE735" t="str">
        <f t="array" ref="AE735:AH735">[1]!'1316.TW-CName,InvestorConferenceDate,DateofMeetingofShareHolders,TradingDate'</f>
        <v>上曜</v>
      </c>
      <c r="AF735" t="str">
        <v>2022/09/30</v>
      </c>
      <c r="AG735" t="str">
        <v>2022/05/27</v>
      </c>
      <c r="AH735" t="str">
        <v>2022/12/22</v>
      </c>
    </row>
    <row r="736" spans="1:34" x14ac:dyDescent="0.3">
      <c r="A736" t="str">
        <f t="array" ref="A736:J736">[1]!'1436.TW-ID,Name,MarketValue,Capital,NetIncomeGrowthRate,OperIncomeGrowthRate,FinancialStatementsTime,TFXRatio,MonthlyNetSalesYoY,RevenueMonth'</f>
        <v>1436</v>
      </c>
      <c r="B736" t="str">
        <v>華友聯</v>
      </c>
      <c r="C736" t="str">
        <v>54.0</v>
      </c>
      <c r="D736" t="str">
        <v>9.67</v>
      </c>
      <c r="E736" t="str">
        <v>4.26</v>
      </c>
      <c r="F736" t="str">
        <v>28.09</v>
      </c>
      <c r="G736" t="str">
        <v>2022/09</v>
      </c>
      <c r="H736" t="str">
        <v>-59.44</v>
      </c>
      <c r="I736" t="str">
        <v>373.51</v>
      </c>
      <c r="J736" t="str">
        <v>2022/11</v>
      </c>
      <c r="K736" t="str">
        <f t="array" ref="K736:T736">[1]!'1436.TW-OperatingProfitRatio,Price,PriceChangeRatio,InOutRatioNumber,Value,YearReturn,MonthReturn,WeekReturn,FinanceBalanceDif,ChipsField2'</f>
        <v>22.67</v>
      </c>
      <c r="L736">
        <v>56.1</v>
      </c>
      <c r="M736">
        <v>0.18</v>
      </c>
      <c r="N736" t="str">
        <v>66.67%</v>
      </c>
      <c r="O736" t="str">
        <v>33.7萬</v>
      </c>
      <c r="P736" t="str">
        <v>+11.36</v>
      </c>
      <c r="Q736" t="str">
        <v>-0.18</v>
      </c>
      <c r="R736" t="str">
        <v>-1.58</v>
      </c>
      <c r="S736">
        <v>0</v>
      </c>
      <c r="T736">
        <v>0</v>
      </c>
      <c r="U736">
        <f t="array" ref="U736:AD736">[1]!'1436.TW-ChipsField3,ChipsField1,ChipsField25,CashAndStockDividend,CashDividendYieldRate,ProfitFourSeason,ProfitSingle,CName,ExchangeIndustry,CompanyPos'</f>
        <v>0</v>
      </c>
      <c r="V736">
        <v>1</v>
      </c>
      <c r="W736" t="str">
        <v>2022/07/26</v>
      </c>
      <c r="X736" t="str">
        <v>4.15</v>
      </c>
      <c r="Y736">
        <v>7.4</v>
      </c>
      <c r="Z736" t="str">
        <v>5.29</v>
      </c>
      <c r="AA736" t="str">
        <v>5.06</v>
      </c>
      <c r="AB736" t="str">
        <v>華友聯</v>
      </c>
      <c r="AC736" t="str">
        <v>上市建材營造</v>
      </c>
      <c r="AD736" t="str">
        <v>轉型為以市地重劃為主的建商</v>
      </c>
      <c r="AE736" t="str">
        <f t="array" ref="AE736:AH736">[1]!'1436.TW-CName,InvestorConferenceDate,DateofMeetingofShareHolders,TradingDate'</f>
        <v>華友聯</v>
      </c>
      <c r="AF736" t="str">
        <v>2022/11/10</v>
      </c>
      <c r="AG736" t="str">
        <v>2022/06/23</v>
      </c>
      <c r="AH736" t="str">
        <v>2022/12/22</v>
      </c>
    </row>
    <row r="737" spans="1:34" x14ac:dyDescent="0.3">
      <c r="A737" t="str">
        <f t="array" ref="A737:J737">[1]!'1438.TW-ID,Name,MarketValue,Capital,NetIncomeGrowthRate,OperIncomeGrowthRate,FinancialStatementsTime,TFXRatio,MonthlyNetSalesYoY,RevenueMonth'</f>
        <v>1438</v>
      </c>
      <c r="B737" t="str">
        <v>三地開發</v>
      </c>
      <c r="C737" t="str">
        <v>22.6</v>
      </c>
      <c r="D737" t="str">
        <v>9.12</v>
      </c>
      <c r="E737" t="str">
        <v>4121.95</v>
      </c>
      <c r="F737" t="str">
        <v>3918.07</v>
      </c>
      <c r="G737" t="str">
        <v>2022/09</v>
      </c>
      <c r="H737" t="str">
        <v>7451.53</v>
      </c>
      <c r="I737" t="str">
        <v>25.71</v>
      </c>
      <c r="J737" t="str">
        <v>2022/11</v>
      </c>
      <c r="K737" t="str">
        <f t="array" ref="K737:T737">[1]!'1438.TW-OperatingProfitRatio,Price,PriceChangeRatio,InOutRatioNumber,Value,YearReturn,MonthReturn,WeekReturn,FinanceBalanceDif,ChipsField2'</f>
        <v>89.25</v>
      </c>
      <c r="L737">
        <v>31.75</v>
      </c>
      <c r="M737">
        <v>0.47</v>
      </c>
      <c r="N737" t="str">
        <v>63.64%</v>
      </c>
      <c r="O737" t="str">
        <v>38.0萬</v>
      </c>
      <c r="P737" t="str">
        <v>+4.61</v>
      </c>
      <c r="Q737" t="str">
        <v>+8.55</v>
      </c>
      <c r="R737" t="str">
        <v>-1.70</v>
      </c>
      <c r="S737">
        <v>16</v>
      </c>
      <c r="T737">
        <v>0</v>
      </c>
      <c r="U737">
        <f t="array" ref="U737:AD737">[1]!'1438.TW-ChipsField3,ChipsField1,ChipsField25,CashAndStockDividend,CashDividendYieldRate,ProfitFourSeason,ProfitSingle,CName,ExchangeIndustry,CompanyPos'</f>
        <v>0</v>
      </c>
      <c r="V737">
        <v>0</v>
      </c>
      <c r="W737" t="str">
        <v>--</v>
      </c>
      <c r="X737" t="str">
        <v>0.00</v>
      </c>
      <c r="Y737">
        <v>0</v>
      </c>
      <c r="Z737" t="str">
        <v>5.99</v>
      </c>
      <c r="AA737" t="str">
        <v>-0.31</v>
      </c>
      <c r="AB737" t="str">
        <v>三地開發</v>
      </c>
      <c r="AC737" t="str">
        <v>上市建材營造</v>
      </c>
      <c r="AD737" t="str">
        <v>轉型營建業，開發桃園地區房產為主</v>
      </c>
      <c r="AE737" t="str">
        <f t="array" ref="AE737:AH737">[1]!'1438.TW-CName,InvestorConferenceDate,DateofMeetingofShareHolders,TradingDate'</f>
        <v>三地開發</v>
      </c>
      <c r="AF737" t="str">
        <v>2022/12/16</v>
      </c>
      <c r="AG737" t="str">
        <v>2022/06/21</v>
      </c>
      <c r="AH737" t="str">
        <v>2022/12/22</v>
      </c>
    </row>
    <row r="738" spans="1:34" x14ac:dyDescent="0.3">
      <c r="A738" t="str">
        <f t="array" ref="A738:J738">[1]!'1442.TW-ID,Name,MarketValue,Capital,NetIncomeGrowthRate,OperIncomeGrowthRate,FinancialStatementsTime,TFXRatio,MonthlyNetSalesYoY,RevenueMonth'</f>
        <v>1442</v>
      </c>
      <c r="B738" t="str">
        <v>名軒</v>
      </c>
      <c r="C738" t="str">
        <v>134.2</v>
      </c>
      <c r="D738" t="str">
        <v>36.62</v>
      </c>
      <c r="E738" t="str">
        <v>-69.22</v>
      </c>
      <c r="F738" t="str">
        <v>-102.02</v>
      </c>
      <c r="G738" t="str">
        <v>2022/09</v>
      </c>
      <c r="H738" t="str">
        <v>-96.91</v>
      </c>
      <c r="I738" t="str">
        <v>-97.09</v>
      </c>
      <c r="J738" t="str">
        <v>2022/11</v>
      </c>
      <c r="K738" t="str">
        <f t="array" ref="K738:T738">[1]!'1442.TW-OperatingProfitRatio,Price,PriceChangeRatio,InOutRatioNumber,Value,YearReturn,MonthReturn,WeekReturn,FinanceBalanceDif,ChipsField2'</f>
        <v>-1.74</v>
      </c>
      <c r="L738">
        <v>36.65</v>
      </c>
      <c r="M738">
        <v>1.52</v>
      </c>
      <c r="N738" t="str">
        <v>38.93%</v>
      </c>
      <c r="O738" t="str">
        <v>1780萬</v>
      </c>
      <c r="P738" t="str">
        <v>+68.92</v>
      </c>
      <c r="Q738" t="str">
        <v>+5.77</v>
      </c>
      <c r="R738" t="str">
        <v>+0.55</v>
      </c>
      <c r="S738">
        <v>26</v>
      </c>
      <c r="T738">
        <v>0</v>
      </c>
      <c r="U738">
        <f t="array" ref="U738:AD738">[1]!'1442.TW-ChipsField3,ChipsField1,ChipsField25,CashAndStockDividend,CashDividendYieldRate,ProfitFourSeason,ProfitSingle,CName,ExchangeIndustry,CompanyPos'</f>
        <v>-3</v>
      </c>
      <c r="V738">
        <v>72</v>
      </c>
      <c r="W738" t="str">
        <v>2022/08/02</v>
      </c>
      <c r="X738" t="str">
        <v>1.20</v>
      </c>
      <c r="Y738">
        <v>3.27</v>
      </c>
      <c r="Z738" t="str">
        <v>0.42</v>
      </c>
      <c r="AA738" t="str">
        <v>0.13</v>
      </c>
      <c r="AB738" t="str">
        <v>名軒</v>
      </c>
      <c r="AC738" t="str">
        <v>上市建材營造</v>
      </c>
      <c r="AD738" t="str">
        <v>麗寶建設集團旗下成員</v>
      </c>
      <c r="AE738" t="str">
        <f t="array" ref="AE738:AH738">[1]!'1442.TW-CName,InvestorConferenceDate,DateofMeetingofShareHolders,TradingDate'</f>
        <v>名軒</v>
      </c>
      <c r="AF738" t="str">
        <v>2022/11/25</v>
      </c>
      <c r="AG738" t="str">
        <v>2022/06/15</v>
      </c>
      <c r="AH738" t="str">
        <v>2022/12/22</v>
      </c>
    </row>
    <row r="739" spans="1:34" x14ac:dyDescent="0.3">
      <c r="A739" t="str">
        <f t="array" ref="A739:J739">[1]!'1453.TW-ID,Name,MarketValue,Capital,NetIncomeGrowthRate,OperIncomeGrowthRate,FinancialStatementsTime,TFXRatio,MonthlyNetSalesYoY,RevenueMonth'</f>
        <v>1453</v>
      </c>
      <c r="B739" t="str">
        <v>大將</v>
      </c>
      <c r="C739" t="str">
        <v>15.7</v>
      </c>
      <c r="D739" t="str">
        <v>10.36</v>
      </c>
      <c r="E739" t="str">
        <v>-631.78</v>
      </c>
      <c r="F739" t="str">
        <v>-72.48</v>
      </c>
      <c r="G739" t="str">
        <v>2022/09</v>
      </c>
      <c r="H739" t="str">
        <v>0.00</v>
      </c>
      <c r="I739" t="str">
        <v>50.00</v>
      </c>
      <c r="J739" t="str">
        <v>2022/11</v>
      </c>
      <c r="K739" t="str">
        <f t="array" ref="K739:T739">[1]!'1453.TW-OperatingProfitRatio,Price,PriceChangeRatio,InOutRatioNumber,Value,YearReturn,MonthReturn,WeekReturn,FinanceBalanceDif,ChipsField2'</f>
        <v>-10.26</v>
      </c>
      <c r="L739">
        <v>15.15</v>
      </c>
      <c r="M739">
        <v>-0.33</v>
      </c>
      <c r="N739" t="str">
        <v>39.20%</v>
      </c>
      <c r="O739" t="str">
        <v>192萬</v>
      </c>
      <c r="P739" t="str">
        <v>+67.61</v>
      </c>
      <c r="Q739" t="str">
        <v>-0.98</v>
      </c>
      <c r="R739" t="str">
        <v>-8.46</v>
      </c>
      <c r="S739">
        <v>-6</v>
      </c>
      <c r="T739">
        <v>0</v>
      </c>
      <c r="U739">
        <f t="array" ref="U739:AD739">[1]!'1453.TW-ChipsField3,ChipsField1,ChipsField25,CashAndStockDividend,CashDividendYieldRate,ProfitFourSeason,ProfitSingle,CName,ExchangeIndustry,CompanyPos'</f>
        <v>0</v>
      </c>
      <c r="V739">
        <v>19</v>
      </c>
      <c r="W739" t="str">
        <v>--</v>
      </c>
      <c r="X739" t="str">
        <v>0.30</v>
      </c>
      <c r="Y739">
        <v>1.98</v>
      </c>
      <c r="Z739" t="str">
        <v>0.91</v>
      </c>
      <c r="AA739" t="str">
        <v>0.00</v>
      </c>
      <c r="AB739" t="str">
        <v>大將</v>
      </c>
      <c r="AC739" t="str">
        <v>上市建材營造</v>
      </c>
      <c r="AD739" t="str">
        <v>主要經營營建開發及紡織買賣</v>
      </c>
      <c r="AE739" t="str">
        <f t="array" ref="AE739:AH739">[1]!'1453.TW-CName,InvestorConferenceDate,DateofMeetingofShareHolders,TradingDate'</f>
        <v>大將</v>
      </c>
      <c r="AF739" t="str">
        <v>2022/12/02</v>
      </c>
      <c r="AG739" t="str">
        <v>2022/06/16</v>
      </c>
      <c r="AH739" t="str">
        <v>2022/12/22</v>
      </c>
    </row>
    <row r="740" spans="1:34" x14ac:dyDescent="0.3">
      <c r="A740" t="str">
        <f t="array" ref="A740:J740">[1]!'1456.TW-ID,Name,MarketValue,Capital,NetIncomeGrowthRate,OperIncomeGrowthRate,FinancialStatementsTime,TFXRatio,MonthlyNetSalesYoY,RevenueMonth'</f>
        <v>1456</v>
      </c>
      <c r="B740" t="str">
        <v>怡華</v>
      </c>
      <c r="C740" t="str">
        <v>14.3</v>
      </c>
      <c r="D740" t="str">
        <v>9.37</v>
      </c>
      <c r="E740" t="str">
        <v>-130.54</v>
      </c>
      <c r="F740" t="str">
        <v>-87.41</v>
      </c>
      <c r="G740" t="str">
        <v>2022/09</v>
      </c>
      <c r="H740" t="str">
        <v>36.83</v>
      </c>
      <c r="I740" t="str">
        <v>-53.82</v>
      </c>
      <c r="J740" t="str">
        <v>2022/11</v>
      </c>
      <c r="K740" t="str">
        <f t="array" ref="K740:T740">[1]!'1456.TW-OperatingProfitRatio,Price,PriceChangeRatio,InOutRatioNumber,Value,YearReturn,MonthReturn,WeekReturn,FinanceBalanceDif,ChipsField2'</f>
        <v>11.20</v>
      </c>
      <c r="L740">
        <v>15.25</v>
      </c>
      <c r="M740">
        <v>0</v>
      </c>
      <c r="N740" t="str">
        <v>38.10%</v>
      </c>
      <c r="O740" t="str">
        <v>36.7萬</v>
      </c>
      <c r="P740" t="str">
        <v>-24.83</v>
      </c>
      <c r="Q740" t="str">
        <v>-6.44</v>
      </c>
      <c r="R740" t="str">
        <v>-4.98</v>
      </c>
      <c r="S740">
        <v>-7</v>
      </c>
      <c r="T740">
        <v>0</v>
      </c>
      <c r="U740">
        <f t="array" ref="U740:AD740">[1]!'1456.TW-ChipsField3,ChipsField1,ChipsField25,CashAndStockDividend,CashDividendYieldRate,ProfitFourSeason,ProfitSingle,CName,ExchangeIndustry,CompanyPos'</f>
        <v>0</v>
      </c>
      <c r="V740">
        <v>1</v>
      </c>
      <c r="W740" t="str">
        <v>2022/06/16</v>
      </c>
      <c r="X740" t="str">
        <v>1.50</v>
      </c>
      <c r="Y740">
        <v>9.84</v>
      </c>
      <c r="Z740" t="str">
        <v>0.21</v>
      </c>
      <c r="AA740" t="str">
        <v>-0.30</v>
      </c>
      <c r="AB740" t="str">
        <v>怡華</v>
      </c>
      <c r="AC740" t="str">
        <v>上市建材營造</v>
      </c>
      <c r="AD740" t="str">
        <v>元邦集團旗下，為綜合性紡織廠及營建商</v>
      </c>
      <c r="AE740" t="str">
        <f t="array" ref="AE740:AH740">[1]!'1456.TW-CName,InvestorConferenceDate,DateofMeetingofShareHolders,TradingDate'</f>
        <v>怡華</v>
      </c>
      <c r="AF740" t="str">
        <v>2022/09/23</v>
      </c>
      <c r="AG740" t="str">
        <v>2022/05/30</v>
      </c>
      <c r="AH740" t="str">
        <v>2022/12/22</v>
      </c>
    </row>
    <row r="741" spans="1:34" x14ac:dyDescent="0.3">
      <c r="A741" t="str">
        <f t="array" ref="A741:J741">[1]!'1805.TW-ID,Name,MarketValue,Capital,NetIncomeGrowthRate,OperIncomeGrowthRate,FinancialStatementsTime,TFXRatio,MonthlyNetSalesYoY,RevenueMonth'</f>
        <v>1805</v>
      </c>
      <c r="B741" t="str">
        <v>寶徠</v>
      </c>
      <c r="C741" t="str">
        <v>8.7</v>
      </c>
      <c r="D741" t="str">
        <v>10.03</v>
      </c>
      <c r="E741" t="str">
        <v>-80.36</v>
      </c>
      <c r="F741" t="str">
        <v>-142.40</v>
      </c>
      <c r="G741" t="str">
        <v>2022/09</v>
      </c>
      <c r="H741" t="str">
        <v>-24.56</v>
      </c>
      <c r="I741" t="str">
        <v>-98.78</v>
      </c>
      <c r="J741" t="str">
        <v>2022/11</v>
      </c>
      <c r="K741" t="str">
        <f t="array" ref="K741:T741">[1]!'1805.TW-OperatingProfitRatio,Price,PriceChangeRatio,InOutRatioNumber,Value,YearReturn,MonthReturn,WeekReturn,FinanceBalanceDif,ChipsField2'</f>
        <v>-12.85</v>
      </c>
      <c r="L741">
        <v>10.9</v>
      </c>
      <c r="M741">
        <v>0</v>
      </c>
      <c r="N741" t="str">
        <v>31.03%</v>
      </c>
      <c r="O741" t="str">
        <v>31.3萬</v>
      </c>
      <c r="P741" t="str">
        <v>-22.14</v>
      </c>
      <c r="Q741" t="str">
        <v>-0.46</v>
      </c>
      <c r="R741" t="str">
        <v>+1.40</v>
      </c>
      <c r="S741">
        <v>0</v>
      </c>
      <c r="T741">
        <v>0</v>
      </c>
      <c r="U741">
        <f t="array" ref="U741:AD741">[1]!'1805.TW-ChipsField3,ChipsField1,ChipsField25,CashAndStockDividend,CashDividendYieldRate,ProfitFourSeason,ProfitSingle,CName,ExchangeIndustry,CompanyPos'</f>
        <v>0</v>
      </c>
      <c r="V741">
        <v>0</v>
      </c>
      <c r="W741" t="str">
        <v>--</v>
      </c>
      <c r="X741" t="str">
        <v>0.00</v>
      </c>
      <c r="Y741">
        <v>0</v>
      </c>
      <c r="Z741" t="str">
        <v>-0.55</v>
      </c>
      <c r="AA741" t="str">
        <v>-0.13</v>
      </c>
      <c r="AB741" t="str">
        <v>寶徠</v>
      </c>
      <c r="AC741" t="str">
        <v>上市建材營造</v>
      </c>
      <c r="AD741" t="str">
        <v>知名建案「寶徠花園廣場」建商</v>
      </c>
      <c r="AE741" t="str">
        <f t="array" ref="AE741:AH741">[1]!'1805.TW-CName,InvestorConferenceDate,DateofMeetingofShareHolders,TradingDate'</f>
        <v>寶徠</v>
      </c>
      <c r="AF741" t="str">
        <v>--</v>
      </c>
      <c r="AG741" t="str">
        <v>2022/06/30</v>
      </c>
      <c r="AH741" t="str">
        <v>2022/12/22</v>
      </c>
    </row>
    <row r="742" spans="1:34" x14ac:dyDescent="0.3">
      <c r="A742" t="str">
        <f t="array" ref="A742:J742">[1]!'1808.TW-ID,Name,MarketValue,Capital,NetIncomeGrowthRate,OperIncomeGrowthRate,FinancialStatementsTime,TFXRatio,MonthlyNetSalesYoY,RevenueMonth'</f>
        <v>1808</v>
      </c>
      <c r="B742" t="str">
        <v>潤隆</v>
      </c>
      <c r="C742" t="str">
        <v>302.2</v>
      </c>
      <c r="D742" t="str">
        <v>45.10</v>
      </c>
      <c r="E742" t="str">
        <v>-105.86</v>
      </c>
      <c r="F742" t="str">
        <v>-105.54</v>
      </c>
      <c r="G742" t="str">
        <v>2022/09</v>
      </c>
      <c r="H742" t="str">
        <v>-65.69</v>
      </c>
      <c r="I742" t="str">
        <v>-98.53</v>
      </c>
      <c r="J742" t="str">
        <v>2022/11</v>
      </c>
      <c r="K742" t="str">
        <f t="array" ref="K742:T742">[1]!'1808.TW-OperatingProfitRatio,Price,PriceChangeRatio,InOutRatioNumber,Value,YearReturn,MonthReturn,WeekReturn,FinanceBalanceDif,ChipsField2'</f>
        <v>-8.46</v>
      </c>
      <c r="L742">
        <v>67</v>
      </c>
      <c r="M742">
        <v>1.82</v>
      </c>
      <c r="N742" t="str">
        <v>41.52%</v>
      </c>
      <c r="O742" t="str">
        <v>2665萬</v>
      </c>
      <c r="P742" t="str">
        <v>+35.24</v>
      </c>
      <c r="Q742" t="str">
        <v>+9.84</v>
      </c>
      <c r="R742" t="str">
        <v>+1.21</v>
      </c>
      <c r="S742">
        <v>31</v>
      </c>
      <c r="T742">
        <v>0</v>
      </c>
      <c r="U742">
        <f t="array" ref="U742:AD742">[1]!'1808.TW-ChipsField3,ChipsField1,ChipsField25,CashAndStockDividend,CashDividendYieldRate,ProfitFourSeason,ProfitSingle,CName,ExchangeIndustry,CompanyPos'</f>
        <v>-18</v>
      </c>
      <c r="V742">
        <v>147</v>
      </c>
      <c r="W742" t="str">
        <v>2022/09/26</v>
      </c>
      <c r="X742" t="str">
        <v>3.50</v>
      </c>
      <c r="Y742">
        <v>5.22</v>
      </c>
      <c r="Z742" t="str">
        <v>1.32</v>
      </c>
      <c r="AA742" t="str">
        <v>-0.23</v>
      </c>
      <c r="AB742" t="str">
        <v>潤隆</v>
      </c>
      <c r="AC742" t="str">
        <v>上市建材營造</v>
      </c>
      <c r="AD742" t="str">
        <v>興富發集團旗下建商</v>
      </c>
      <c r="AE742" t="str">
        <f t="array" ref="AE742:AH742">[1]!'1808.TW-CName,InvestorConferenceDate,DateofMeetingofShareHolders,TradingDate'</f>
        <v>潤隆</v>
      </c>
      <c r="AF742" t="str">
        <v>2022/12/06</v>
      </c>
      <c r="AG742" t="str">
        <v>2022/06/09</v>
      </c>
      <c r="AH742" t="str">
        <v>2022/12/22</v>
      </c>
    </row>
    <row r="743" spans="1:34" x14ac:dyDescent="0.3">
      <c r="A743" t="str">
        <f t="array" ref="A743:J743">[1]!'2501.TW-ID,Name,MarketValue,Capital,NetIncomeGrowthRate,OperIncomeGrowthRate,FinancialStatementsTime,TFXRatio,MonthlyNetSalesYoY,RevenueMonth'</f>
        <v>2501</v>
      </c>
      <c r="B743" t="str">
        <v>國建</v>
      </c>
      <c r="C743" t="str">
        <v>176.3</v>
      </c>
      <c r="D743" t="str">
        <v>115.96</v>
      </c>
      <c r="E743" t="str">
        <v>182.25</v>
      </c>
      <c r="F743" t="str">
        <v>201.60</v>
      </c>
      <c r="G743" t="str">
        <v>2022/09</v>
      </c>
      <c r="H743" t="str">
        <v>76.49</v>
      </c>
      <c r="I743" t="str">
        <v>211.78</v>
      </c>
      <c r="J743" t="str">
        <v>2022/11</v>
      </c>
      <c r="K743" t="str">
        <f t="array" ref="K743:T743">[1]!'2501.TW-OperatingProfitRatio,Price,PriceChangeRatio,InOutRatioNumber,Value,YearReturn,MonthReturn,WeekReturn,FinanceBalanceDif,ChipsField2'</f>
        <v>3.33</v>
      </c>
      <c r="L743">
        <v>15.2</v>
      </c>
      <c r="M743">
        <v>0.33</v>
      </c>
      <c r="N743" t="str">
        <v>34.99%</v>
      </c>
      <c r="O743" t="str">
        <v>1003萬</v>
      </c>
      <c r="P743" t="str">
        <v>-17.25</v>
      </c>
      <c r="Q743" t="str">
        <v>+1.33</v>
      </c>
      <c r="R743" t="str">
        <v>-3.80</v>
      </c>
      <c r="S743">
        <v>3</v>
      </c>
      <c r="T743">
        <v>0</v>
      </c>
      <c r="U743">
        <f t="array" ref="U743:AD743">[1]!'2501.TW-ChipsField3,ChipsField1,ChipsField25,CashAndStockDividend,CashDividendYieldRate,ProfitFourSeason,ProfitSingle,CName,ExchangeIndustry,CompanyPos'</f>
        <v>-50</v>
      </c>
      <c r="V743">
        <v>-187</v>
      </c>
      <c r="W743" t="str">
        <v>2022/07/14</v>
      </c>
      <c r="X743" t="str">
        <v>0.60</v>
      </c>
      <c r="Y743">
        <v>3.95</v>
      </c>
      <c r="Z743" t="str">
        <v>1.02</v>
      </c>
      <c r="AA743" t="str">
        <v>0.38</v>
      </c>
      <c r="AB743" t="str">
        <v>國建</v>
      </c>
      <c r="AC743" t="str">
        <v>上市建材營造</v>
      </c>
      <c r="AD743" t="str">
        <v>屬霖園集團之台灣老牌營建開發業者</v>
      </c>
      <c r="AE743" t="str">
        <f t="array" ref="AE743:AH743">[1]!'2501.TW-CName,InvestorConferenceDate,DateofMeetingofShareHolders,TradingDate'</f>
        <v>國建</v>
      </c>
      <c r="AF743" t="str">
        <v>2022/11/21</v>
      </c>
      <c r="AG743" t="str">
        <v>2022/06/17</v>
      </c>
      <c r="AH743" t="str">
        <v>2022/12/22</v>
      </c>
    </row>
    <row r="744" spans="1:34" x14ac:dyDescent="0.3">
      <c r="A744" t="str">
        <f t="array" ref="A744:J744">[1]!'2504.TW-ID,Name,MarketValue,Capital,NetIncomeGrowthRate,OperIncomeGrowthRate,FinancialStatementsTime,TFXRatio,MonthlyNetSalesYoY,RevenueMonth'</f>
        <v>2504</v>
      </c>
      <c r="B744" t="str">
        <v>國產</v>
      </c>
      <c r="C744" t="str">
        <v>293.2</v>
      </c>
      <c r="D744" t="str">
        <v>118.00</v>
      </c>
      <c r="E744" t="str">
        <v>66.46</v>
      </c>
      <c r="F744" t="str">
        <v>4.02</v>
      </c>
      <c r="G744" t="str">
        <v>2022/09</v>
      </c>
      <c r="H744" t="str">
        <v>-0.14</v>
      </c>
      <c r="I744" t="str">
        <v>-3.65</v>
      </c>
      <c r="J744" t="str">
        <v>2022/11</v>
      </c>
      <c r="K744" t="str">
        <f t="array" ref="K744:T744">[1]!'2504.TW-OperatingProfitRatio,Price,PriceChangeRatio,InOutRatioNumber,Value,YearReturn,MonthReturn,WeekReturn,FinanceBalanceDif,ChipsField2'</f>
        <v>15.41</v>
      </c>
      <c r="L744">
        <v>24.85</v>
      </c>
      <c r="M744">
        <v>0.4</v>
      </c>
      <c r="N744" t="str">
        <v>50.76%</v>
      </c>
      <c r="O744" t="str">
        <v>2157萬</v>
      </c>
      <c r="P744" t="str">
        <v>-11.10</v>
      </c>
      <c r="Q744" t="str">
        <v>-0.40</v>
      </c>
      <c r="R744" t="str">
        <v>-1.78</v>
      </c>
      <c r="S744">
        <v>-6</v>
      </c>
      <c r="T744">
        <v>77</v>
      </c>
      <c r="U744">
        <f t="array" ref="U744:AD744">[1]!'2504.TW-ChipsField3,ChipsField1,ChipsField25,CashAndStockDividend,CashDividendYieldRate,ProfitFourSeason,ProfitSingle,CName,ExchangeIndustry,CompanyPos'</f>
        <v>-61</v>
      </c>
      <c r="V744">
        <v>-5</v>
      </c>
      <c r="W744" t="str">
        <v>2022/06/23</v>
      </c>
      <c r="X744" t="str">
        <v>1.80</v>
      </c>
      <c r="Y744">
        <v>7.24</v>
      </c>
      <c r="Z744" t="str">
        <v>3.61</v>
      </c>
      <c r="AA744" t="str">
        <v>0.57</v>
      </c>
      <c r="AB744" t="str">
        <v>國產</v>
      </c>
      <c r="AC744" t="str">
        <v>上市建材營造</v>
      </c>
      <c r="AD744" t="str">
        <v>台灣知名預拌混凝土大廠</v>
      </c>
      <c r="AE744" t="str">
        <f t="array" ref="AE744:AH744">[1]!'2504.TW-CName,InvestorConferenceDate,DateofMeetingofShareHolders,TradingDate'</f>
        <v>國產</v>
      </c>
      <c r="AF744" t="str">
        <v>--</v>
      </c>
      <c r="AG744" t="str">
        <v>2022/05/31</v>
      </c>
      <c r="AH744" t="str">
        <v>2022/12/22</v>
      </c>
    </row>
    <row r="745" spans="1:34" x14ac:dyDescent="0.3">
      <c r="A745" t="str">
        <f t="array" ref="A745:J745">[1]!'2505.TW-ID,Name,MarketValue,Capital,NetIncomeGrowthRate,OperIncomeGrowthRate,FinancialStatementsTime,TFXRatio,MonthlyNetSalesYoY,RevenueMonth'</f>
        <v>2505</v>
      </c>
      <c r="B745" t="str">
        <v>國揚</v>
      </c>
      <c r="C745" t="str">
        <v>69.9</v>
      </c>
      <c r="D745" t="str">
        <v>38.00</v>
      </c>
      <c r="E745" t="str">
        <v>-34.16</v>
      </c>
      <c r="F745" t="str">
        <v>-56.29</v>
      </c>
      <c r="G745" t="str">
        <v>2022/09</v>
      </c>
      <c r="H745" t="str">
        <v>173.69</v>
      </c>
      <c r="I745" t="str">
        <v>10.61</v>
      </c>
      <c r="J745" t="str">
        <v>2022/11</v>
      </c>
      <c r="K745" t="str">
        <f t="array" ref="K745:T745">[1]!'2505.TW-OperatingProfitRatio,Price,PriceChangeRatio,InOutRatioNumber,Value,YearReturn,MonthReturn,WeekReturn,FinanceBalanceDif,ChipsField2'</f>
        <v>11.95</v>
      </c>
      <c r="L745">
        <v>18.399999999999999</v>
      </c>
      <c r="M745">
        <v>1.1000000000000001</v>
      </c>
      <c r="N745" t="str">
        <v>56.74%</v>
      </c>
      <c r="O745" t="str">
        <v>258萬</v>
      </c>
      <c r="P745" t="str">
        <v>-21.54</v>
      </c>
      <c r="Q745" t="str">
        <v>-3.66</v>
      </c>
      <c r="R745" t="str">
        <v>-2.65</v>
      </c>
      <c r="S745">
        <v>37</v>
      </c>
      <c r="T745">
        <v>0</v>
      </c>
      <c r="U745">
        <f t="array" ref="U745:AD745">[1]!'2505.TW-ChipsField3,ChipsField1,ChipsField25,CashAndStockDividend,CashDividendYieldRate,ProfitFourSeason,ProfitSingle,CName,ExchangeIndustry,CompanyPos'</f>
        <v>-15</v>
      </c>
      <c r="V745">
        <v>-6</v>
      </c>
      <c r="W745" t="str">
        <v>2021/11/24</v>
      </c>
      <c r="X745" t="str">
        <v>1.00</v>
      </c>
      <c r="Y745">
        <v>13.59</v>
      </c>
      <c r="Z745" t="str">
        <v>1.83</v>
      </c>
      <c r="AA745" t="str">
        <v>0.31</v>
      </c>
      <c r="AB745" t="str">
        <v>國揚</v>
      </c>
      <c r="AC745" t="str">
        <v>上市建材營造</v>
      </c>
      <c r="AD745" t="str">
        <v>整合百貨、飯店、休閒、地產的營建商</v>
      </c>
      <c r="AE745" t="str">
        <f t="array" ref="AE745:AH745">[1]!'2505.TW-CName,InvestorConferenceDate,DateofMeetingofShareHolders,TradingDate'</f>
        <v>國揚</v>
      </c>
      <c r="AF745" t="str">
        <v>2022/12/02</v>
      </c>
      <c r="AG745" t="str">
        <v>2022/06/17</v>
      </c>
      <c r="AH745" t="str">
        <v>2022/12/22</v>
      </c>
    </row>
    <row r="746" spans="1:34" x14ac:dyDescent="0.3">
      <c r="A746" t="str">
        <f t="array" ref="A746:J746">[1]!'2506.TW-ID,Name,MarketValue,Capital,NetIncomeGrowthRate,OperIncomeGrowthRate,FinancialStatementsTime,TFXRatio,MonthlyNetSalesYoY,RevenueMonth'</f>
        <v>2506</v>
      </c>
      <c r="B746" t="str">
        <v>太設</v>
      </c>
      <c r="C746" t="str">
        <v>35.7</v>
      </c>
      <c r="D746" t="str">
        <v>38.70</v>
      </c>
      <c r="E746" t="str">
        <v>473.36</v>
      </c>
      <c r="F746" t="str">
        <v>570.09</v>
      </c>
      <c r="G746" t="str">
        <v>2022/09</v>
      </c>
      <c r="H746" t="str">
        <v>-28.83</v>
      </c>
      <c r="I746" t="str">
        <v>-17.55</v>
      </c>
      <c r="J746" t="str">
        <v>2022/11</v>
      </c>
      <c r="K746" t="str">
        <f t="array" ref="K746:T746">[1]!'2506.TW-OperatingProfitRatio,Price,PriceChangeRatio,InOutRatioNumber,Value,YearReturn,MonthReturn,WeekReturn,FinanceBalanceDif,ChipsField2'</f>
        <v>137.27</v>
      </c>
      <c r="L746">
        <v>9.2200000000000006</v>
      </c>
      <c r="M746">
        <v>0.44</v>
      </c>
      <c r="N746" t="str">
        <v>60.59%</v>
      </c>
      <c r="O746" t="str">
        <v>159萬</v>
      </c>
      <c r="P746" t="str">
        <v>-3.85</v>
      </c>
      <c r="Q746" t="str">
        <v>+0.22</v>
      </c>
      <c r="R746" t="str">
        <v>-2.23</v>
      </c>
      <c r="S746">
        <v>5</v>
      </c>
      <c r="T746">
        <v>0</v>
      </c>
      <c r="U746">
        <f t="array" ref="U746:AD746">[1]!'2506.TW-ChipsField3,ChipsField1,ChipsField25,CashAndStockDividend,CashDividendYieldRate,ProfitFourSeason,ProfitSingle,CName,ExchangeIndustry,CompanyPos'</f>
        <v>-3</v>
      </c>
      <c r="V746">
        <v>-16</v>
      </c>
      <c r="W746" t="str">
        <v>2022/11/17</v>
      </c>
      <c r="X746" t="str">
        <v>0.10</v>
      </c>
      <c r="Y746">
        <v>1.08</v>
      </c>
      <c r="Z746" t="str">
        <v>1.95</v>
      </c>
      <c r="AA746" t="str">
        <v>0.02</v>
      </c>
      <c r="AB746" t="str">
        <v>太設</v>
      </c>
      <c r="AC746" t="str">
        <v>上市建材營造</v>
      </c>
      <c r="AD746" t="str">
        <v>多角化經營建設、百貨及休閒等事業</v>
      </c>
      <c r="AE746" t="str">
        <f t="array" ref="AE746:AH746">[1]!'2506.TW-CName,InvestorConferenceDate,DateofMeetingofShareHolders,TradingDate'</f>
        <v>太設</v>
      </c>
      <c r="AF746" t="str">
        <v>2022/11/28</v>
      </c>
      <c r="AG746" t="str">
        <v>2022/06/14</v>
      </c>
      <c r="AH746" t="str">
        <v>2022/12/22</v>
      </c>
    </row>
    <row r="747" spans="1:34" x14ac:dyDescent="0.3">
      <c r="A747" t="str">
        <f t="array" ref="A747:J747">[1]!'2509.TW-ID,Name,MarketValue,Capital,NetIncomeGrowthRate,OperIncomeGrowthRate,FinancialStatementsTime,TFXRatio,MonthlyNetSalesYoY,RevenueMonth'</f>
        <v>2509</v>
      </c>
      <c r="B747" t="str">
        <v>全坤建</v>
      </c>
      <c r="C747" t="str">
        <v>32.2</v>
      </c>
      <c r="D747" t="str">
        <v>22.46</v>
      </c>
      <c r="E747" t="str">
        <v>-260.41</v>
      </c>
      <c r="F747" t="str">
        <v>-160.15</v>
      </c>
      <c r="G747" t="str">
        <v>2022/09</v>
      </c>
      <c r="H747" t="str">
        <v>-1.27</v>
      </c>
      <c r="I747" t="str">
        <v>-50.51</v>
      </c>
      <c r="J747" t="str">
        <v>2022/11</v>
      </c>
      <c r="K747" t="str">
        <f t="array" ref="K747:T747">[1]!'2509.TW-OperatingProfitRatio,Price,PriceChangeRatio,InOutRatioNumber,Value,YearReturn,MonthReturn,WeekReturn,FinanceBalanceDif,ChipsField2'</f>
        <v>-37.65</v>
      </c>
      <c r="L747">
        <v>14.35</v>
      </c>
      <c r="M747">
        <v>0</v>
      </c>
      <c r="N747" t="str">
        <v>16.67%</v>
      </c>
      <c r="O747" t="str">
        <v>34.4萬</v>
      </c>
      <c r="P747" t="str">
        <v>-21.15</v>
      </c>
      <c r="Q747" t="str">
        <v>+0.35</v>
      </c>
      <c r="R747" t="str">
        <v>-1.37</v>
      </c>
      <c r="S747">
        <v>0</v>
      </c>
      <c r="T747">
        <v>0</v>
      </c>
      <c r="U747">
        <f t="array" ref="U747:AD747">[1]!'2509.TW-ChipsField3,ChipsField1,ChipsField25,CashAndStockDividend,CashDividendYieldRate,ProfitFourSeason,ProfitSingle,CName,ExchangeIndustry,CompanyPos'</f>
        <v>0</v>
      </c>
      <c r="V747">
        <v>0</v>
      </c>
      <c r="W747" t="str">
        <v>--</v>
      </c>
      <c r="X747" t="str">
        <v>0.00</v>
      </c>
      <c r="Y747">
        <v>0</v>
      </c>
      <c r="Z747" t="str">
        <v>-0.52</v>
      </c>
      <c r="AA747" t="str">
        <v>-0.13</v>
      </c>
      <c r="AB747" t="str">
        <v>全坤建</v>
      </c>
      <c r="AC747" t="str">
        <v>上市建材營造</v>
      </c>
      <c r="AD747" t="str">
        <v>推案集中於大台北地區的建商</v>
      </c>
      <c r="AE747" t="str">
        <f t="array" ref="AE747:AH747">[1]!'2509.TW-CName,InvestorConferenceDate,DateofMeetingofShareHolders,TradingDate'</f>
        <v>全坤建</v>
      </c>
      <c r="AF747" t="str">
        <v>2022/07/05</v>
      </c>
      <c r="AG747" t="str">
        <v>2022/06/08</v>
      </c>
      <c r="AH747" t="str">
        <v>2022/12/22</v>
      </c>
    </row>
    <row r="748" spans="1:34" x14ac:dyDescent="0.3">
      <c r="A748" t="str">
        <f t="array" ref="A748:J748">[1]!'2511.TW-ID,Name,MarketValue,Capital,NetIncomeGrowthRate,OperIncomeGrowthRate,FinancialStatementsTime,TFXRatio,MonthlyNetSalesYoY,RevenueMonth'</f>
        <v>2511</v>
      </c>
      <c r="B748" t="str">
        <v>太子</v>
      </c>
      <c r="C748" t="str">
        <v>172.9</v>
      </c>
      <c r="D748" t="str">
        <v>162.33</v>
      </c>
      <c r="E748" t="str">
        <v>-6.13</v>
      </c>
      <c r="F748" t="str">
        <v>164.81</v>
      </c>
      <c r="G748" t="str">
        <v>2022/09</v>
      </c>
      <c r="H748" t="str">
        <v>-8.28</v>
      </c>
      <c r="I748" t="str">
        <v>-59.70</v>
      </c>
      <c r="J748" t="str">
        <v>2022/11</v>
      </c>
      <c r="K748" t="str">
        <f t="array" ref="K748:T748">[1]!'2511.TW-OperatingProfitRatio,Price,PriceChangeRatio,InOutRatioNumber,Value,YearReturn,MonthReturn,WeekReturn,FinanceBalanceDif,ChipsField2'</f>
        <v>16.64</v>
      </c>
      <c r="L748">
        <v>10.65</v>
      </c>
      <c r="M748">
        <v>0.47</v>
      </c>
      <c r="N748" t="str">
        <v>35.00%</v>
      </c>
      <c r="O748" t="str">
        <v>234萬</v>
      </c>
      <c r="P748" t="str">
        <v>-16.71</v>
      </c>
      <c r="Q748" t="str">
        <v>+1.43</v>
      </c>
      <c r="R748" t="str">
        <v>-1.39</v>
      </c>
      <c r="S748">
        <v>105</v>
      </c>
      <c r="T748">
        <v>0</v>
      </c>
      <c r="U748">
        <f t="array" ref="U748:AD748">[1]!'2511.TW-ChipsField3,ChipsField1,ChipsField25,CashAndStockDividend,CashDividendYieldRate,ProfitFourSeason,ProfitSingle,CName,ExchangeIndustry,CompanyPos'</f>
        <v>0</v>
      </c>
      <c r="V748">
        <v>-273</v>
      </c>
      <c r="W748" t="str">
        <v>2022/07/28</v>
      </c>
      <c r="X748" t="str">
        <v>0.50</v>
      </c>
      <c r="Y748">
        <v>4.6900000000000004</v>
      </c>
      <c r="Z748" t="str">
        <v>0.88</v>
      </c>
      <c r="AA748" t="str">
        <v>0.11</v>
      </c>
      <c r="AB748" t="str">
        <v>太子</v>
      </c>
      <c r="AC748" t="str">
        <v>上市建材營造</v>
      </c>
      <c r="AD748" t="str">
        <v>統一集團旗下建商</v>
      </c>
      <c r="AE748" t="str">
        <f t="array" ref="AE748:AH748">[1]!'2511.TW-CName,InvestorConferenceDate,DateofMeetingofShareHolders,TradingDate'</f>
        <v>太子</v>
      </c>
      <c r="AF748" t="str">
        <v>2022/09/13</v>
      </c>
      <c r="AG748" t="str">
        <v>2022/06/17</v>
      </c>
      <c r="AH748" t="str">
        <v>2022/12/22</v>
      </c>
    </row>
    <row r="749" spans="1:34" x14ac:dyDescent="0.3">
      <c r="A749" t="str">
        <f t="array" ref="A749:J749">[1]!'2515.TW-ID,Name,MarketValue,Capital,NetIncomeGrowthRate,OperIncomeGrowthRate,FinancialStatementsTime,TFXRatio,MonthlyNetSalesYoY,RevenueMonth'</f>
        <v>2515</v>
      </c>
      <c r="B749" t="str">
        <v>中工</v>
      </c>
      <c r="C749" t="str">
        <v>126.9</v>
      </c>
      <c r="D749" t="str">
        <v>153.09</v>
      </c>
      <c r="E749" t="str">
        <v>103.59</v>
      </c>
      <c r="F749" t="str">
        <v>-29.70</v>
      </c>
      <c r="G749" t="str">
        <v>2022/09</v>
      </c>
      <c r="H749" t="str">
        <v>10.24</v>
      </c>
      <c r="I749" t="str">
        <v>-10.33</v>
      </c>
      <c r="J749" t="str">
        <v>2022/11</v>
      </c>
      <c r="K749" t="str">
        <f t="array" ref="K749:T749">[1]!'2515.TW-OperatingProfitRatio,Price,PriceChangeRatio,InOutRatioNumber,Value,YearReturn,MonthReturn,WeekReturn,FinanceBalanceDif,ChipsField2'</f>
        <v>3.20</v>
      </c>
      <c r="L749">
        <v>8.2899999999999991</v>
      </c>
      <c r="M749">
        <v>0</v>
      </c>
      <c r="N749" t="str">
        <v>38.73%</v>
      </c>
      <c r="O749" t="str">
        <v>1038萬</v>
      </c>
      <c r="P749" t="str">
        <v>-0.42</v>
      </c>
      <c r="Q749" t="str">
        <v>+2.85</v>
      </c>
      <c r="R749" t="str">
        <v>-2.59</v>
      </c>
      <c r="S749">
        <v>-179</v>
      </c>
      <c r="T749">
        <v>0</v>
      </c>
      <c r="U749">
        <f t="array" ref="U749:AD749">[1]!'2515.TW-ChipsField3,ChipsField1,ChipsField25,CashAndStockDividend,CashDividendYieldRate,ProfitFourSeason,ProfitSingle,CName,ExchangeIndustry,CompanyPos'</f>
        <v>-126</v>
      </c>
      <c r="V749">
        <v>254</v>
      </c>
      <c r="W749" t="str">
        <v>2022/09/22</v>
      </c>
      <c r="X749" t="str">
        <v>0.53</v>
      </c>
      <c r="Y749">
        <v>6.39</v>
      </c>
      <c r="Z749" t="str">
        <v>1.94</v>
      </c>
      <c r="AA749" t="str">
        <v>0.07</v>
      </c>
      <c r="AB749" t="str">
        <v>中工</v>
      </c>
      <c r="AC749" t="str">
        <v>上市建材營造</v>
      </c>
      <c r="AD749" t="str">
        <v>威京集團成員之一，為專業建築工程廠商</v>
      </c>
      <c r="AE749" t="str">
        <f t="array" ref="AE749:AH749">[1]!'2515.TW-CName,InvestorConferenceDate,DateofMeetingofShareHolders,TradingDate'</f>
        <v>中工</v>
      </c>
      <c r="AF749" t="str">
        <v>2022/06/29</v>
      </c>
      <c r="AG749" t="str">
        <v>2022/05/31</v>
      </c>
      <c r="AH749" t="str">
        <v>2022/12/22</v>
      </c>
    </row>
    <row r="750" spans="1:34" x14ac:dyDescent="0.3">
      <c r="A750" t="str">
        <f t="array" ref="A750:J750">[1]!'2516.TW-ID,Name,MarketValue,Capital,NetIncomeGrowthRate,OperIncomeGrowthRate,FinancialStatementsTime,TFXRatio,MonthlyNetSalesYoY,RevenueMonth'</f>
        <v>2516</v>
      </c>
      <c r="B750" t="str">
        <v>新建</v>
      </c>
      <c r="C750" t="str">
        <v>11.3</v>
      </c>
      <c r="D750" t="str">
        <v>22.63</v>
      </c>
      <c r="E750" t="str">
        <v>-608.57</v>
      </c>
      <c r="F750" t="str">
        <v>-639.48</v>
      </c>
      <c r="G750" t="str">
        <v>2022/09</v>
      </c>
      <c r="H750" t="str">
        <v>-11.49</v>
      </c>
      <c r="I750" t="str">
        <v>0.57</v>
      </c>
      <c r="J750" t="str">
        <v>2022/11</v>
      </c>
      <c r="K750" t="str">
        <f t="array" ref="K750:T750">[1]!'2516.TW-OperatingProfitRatio,Price,PriceChangeRatio,InOutRatioNumber,Value,YearReturn,MonthReturn,WeekReturn,FinanceBalanceDif,ChipsField2'</f>
        <v>-6.55</v>
      </c>
      <c r="L750">
        <v>4.99</v>
      </c>
      <c r="M750">
        <v>0.4</v>
      </c>
      <c r="N750" t="str">
        <v>61.39%</v>
      </c>
      <c r="O750" t="str">
        <v>50.4萬</v>
      </c>
      <c r="P750" t="str">
        <v>-19.26</v>
      </c>
      <c r="Q750" t="str">
        <v>-0.20</v>
      </c>
      <c r="R750" t="str">
        <v>-2.16</v>
      </c>
      <c r="S750">
        <v>0</v>
      </c>
      <c r="T750">
        <v>0</v>
      </c>
      <c r="U750">
        <f t="array" ref="U750:AD750">[1]!'2516.TW-ChipsField3,ChipsField1,ChipsField25,CashAndStockDividend,CashDividendYieldRate,ProfitFourSeason,ProfitSingle,CName,ExchangeIndustry,CompanyPos'</f>
        <v>0</v>
      </c>
      <c r="V750">
        <v>0</v>
      </c>
      <c r="W750" t="str">
        <v>--</v>
      </c>
      <c r="X750" t="str">
        <v>0.00</v>
      </c>
      <c r="Y750">
        <v>0</v>
      </c>
      <c r="Z750" t="str">
        <v>-1.31</v>
      </c>
      <c r="AA750" t="str">
        <v>-0.03</v>
      </c>
      <c r="AB750" t="str">
        <v>新建</v>
      </c>
      <c r="AC750" t="str">
        <v>上市建材營造</v>
      </c>
      <c r="AD750" t="str">
        <v>主要承攬公共工程為主之營造廠商</v>
      </c>
      <c r="AE750" t="str">
        <f t="array" ref="AE750:AH750">[1]!'2516.TW-CName,InvestorConferenceDate,DateofMeetingofShareHolders,TradingDate'</f>
        <v>新建</v>
      </c>
      <c r="AF750" t="str">
        <v>2022/11/02</v>
      </c>
      <c r="AG750" t="str">
        <v>2022/06/24</v>
      </c>
      <c r="AH750" t="str">
        <v>2022/12/22</v>
      </c>
    </row>
    <row r="751" spans="1:34" x14ac:dyDescent="0.3">
      <c r="A751" t="str">
        <f t="array" ref="A751:J751">[1]!'2520.TW-ID,Name,MarketValue,Capital,NetIncomeGrowthRate,OperIncomeGrowthRate,FinancialStatementsTime,TFXRatio,MonthlyNetSalesYoY,RevenueMonth'</f>
        <v>2520</v>
      </c>
      <c r="B751" t="str">
        <v>冠德</v>
      </c>
      <c r="C751" t="str">
        <v>157.7</v>
      </c>
      <c r="D751" t="str">
        <v>55.42</v>
      </c>
      <c r="E751" t="str">
        <v>-28.77</v>
      </c>
      <c r="F751" t="str">
        <v>-26.73</v>
      </c>
      <c r="G751" t="str">
        <v>2022/09</v>
      </c>
      <c r="H751" t="str">
        <v>97.22</v>
      </c>
      <c r="I751" t="str">
        <v>133.78</v>
      </c>
      <c r="J751" t="str">
        <v>2022/11</v>
      </c>
      <c r="K751" t="str">
        <f t="array" ref="K751:T751">[1]!'2520.TW-OperatingProfitRatio,Price,PriceChangeRatio,InOutRatioNumber,Value,YearReturn,MonthReturn,WeekReturn,FinanceBalanceDif,ChipsField2'</f>
        <v>19.13</v>
      </c>
      <c r="L751">
        <v>28.45</v>
      </c>
      <c r="M751">
        <v>0.71</v>
      </c>
      <c r="N751" t="str">
        <v>39.67%</v>
      </c>
      <c r="O751" t="str">
        <v>689萬</v>
      </c>
      <c r="P751" t="str">
        <v>-17.57</v>
      </c>
      <c r="Q751" t="str">
        <v>+3.08</v>
      </c>
      <c r="R751" t="str">
        <v>-1.04</v>
      </c>
      <c r="S751">
        <v>3</v>
      </c>
      <c r="T751">
        <v>0</v>
      </c>
      <c r="U751">
        <f t="array" ref="U751:AD751">[1]!'2520.TW-ChipsField3,ChipsField1,ChipsField25,CashAndStockDividend,CashDividendYieldRate,ProfitFourSeason,ProfitSingle,CName,ExchangeIndustry,CompanyPos'</f>
        <v>-43</v>
      </c>
      <c r="V751">
        <v>-56</v>
      </c>
      <c r="W751" t="str">
        <v>2022/08/01</v>
      </c>
      <c r="X751" t="str">
        <v>2.50</v>
      </c>
      <c r="Y751">
        <v>8.7899999999999991</v>
      </c>
      <c r="Z751" t="str">
        <v>4.90</v>
      </c>
      <c r="AA751" t="str">
        <v>0.60</v>
      </c>
      <c r="AB751" t="str">
        <v>冠德</v>
      </c>
      <c r="AC751" t="str">
        <v>上市建材營造</v>
      </c>
      <c r="AD751" t="str">
        <v>大台北地區的中大型建商</v>
      </c>
      <c r="AE751" t="str">
        <f t="array" ref="AE751:AH751">[1]!'2520.TW-CName,InvestorConferenceDate,DateofMeetingofShareHolders,TradingDate'</f>
        <v>冠德</v>
      </c>
      <c r="AF751" t="str">
        <v>2022/11/24</v>
      </c>
      <c r="AG751" t="str">
        <v>2022/06/29</v>
      </c>
      <c r="AH751" t="str">
        <v>2022/12/22</v>
      </c>
    </row>
    <row r="752" spans="1:34" x14ac:dyDescent="0.3">
      <c r="A752" t="str">
        <f t="array" ref="A752:J752">[1]!'2524.TW-ID,Name,MarketValue,Capital,NetIncomeGrowthRate,OperIncomeGrowthRate,FinancialStatementsTime,TFXRatio,MonthlyNetSalesYoY,RevenueMonth'</f>
        <v>2524</v>
      </c>
      <c r="B752" t="str">
        <v>京城</v>
      </c>
      <c r="C752" t="str">
        <v>123.6</v>
      </c>
      <c r="D752" t="str">
        <v>36.91</v>
      </c>
      <c r="E752" t="str">
        <v>-59.91</v>
      </c>
      <c r="F752" t="str">
        <v>-49.01</v>
      </c>
      <c r="G752" t="str">
        <v>2022/09</v>
      </c>
      <c r="H752" t="str">
        <v>346.57</v>
      </c>
      <c r="I752" t="str">
        <v>-55.07</v>
      </c>
      <c r="J752" t="str">
        <v>2022/11</v>
      </c>
      <c r="K752" t="str">
        <f t="array" ref="K752:T752">[1]!'2524.TW-OperatingProfitRatio,Price,PriceChangeRatio,InOutRatioNumber,Value,YearReturn,MonthReturn,WeekReturn,FinanceBalanceDif,ChipsField2'</f>
        <v>30.98</v>
      </c>
      <c r="L752">
        <v>33.200000000000003</v>
      </c>
      <c r="M752">
        <v>3.27</v>
      </c>
      <c r="N752" t="str">
        <v>65.52%</v>
      </c>
      <c r="O752" t="str">
        <v>94.8萬</v>
      </c>
      <c r="P752" t="str">
        <v>-16.79</v>
      </c>
      <c r="Q752" t="str">
        <v>-1.34</v>
      </c>
      <c r="R752" t="str">
        <v>-1.63</v>
      </c>
      <c r="S752">
        <v>0</v>
      </c>
      <c r="T752">
        <v>0</v>
      </c>
      <c r="U752">
        <f t="array" ref="U752:AD752">[1]!'2524.TW-ChipsField3,ChipsField1,ChipsField25,CashAndStockDividend,CashDividendYieldRate,ProfitFourSeason,ProfitSingle,CName,ExchangeIndustry,CompanyPos'</f>
        <v>0</v>
      </c>
      <c r="V752">
        <v>0</v>
      </c>
      <c r="W752" t="str">
        <v>--</v>
      </c>
      <c r="X752" t="str">
        <v>0.00</v>
      </c>
      <c r="Y752">
        <v>0</v>
      </c>
      <c r="Z752" t="str">
        <v>2.78</v>
      </c>
      <c r="AA752" t="str">
        <v>0.21</v>
      </c>
      <c r="AB752" t="str">
        <v>京城</v>
      </c>
      <c r="AC752" t="str">
        <v>上市建材營造</v>
      </c>
      <c r="AD752" t="str">
        <v>高雄地區知名建商</v>
      </c>
      <c r="AE752" t="str">
        <f t="array" ref="AE752:AH752">[1]!'2524.TW-CName,InvestorConferenceDate,DateofMeetingofShareHolders,TradingDate'</f>
        <v>京城</v>
      </c>
      <c r="AF752" t="str">
        <v>2022/12/21</v>
      </c>
      <c r="AG752" t="str">
        <v>2022/06/23</v>
      </c>
      <c r="AH752" t="str">
        <v>2022/12/22</v>
      </c>
    </row>
    <row r="753" spans="1:34" x14ac:dyDescent="0.3">
      <c r="A753" t="str">
        <f t="array" ref="A753:J753">[1]!'2527.TW-ID,Name,MarketValue,Capital,NetIncomeGrowthRate,OperIncomeGrowthRate,FinancialStatementsTime,TFXRatio,MonthlyNetSalesYoY,RevenueMonth'</f>
        <v>2527</v>
      </c>
      <c r="B753" t="str">
        <v>宏璟</v>
      </c>
      <c r="C753" t="str">
        <v>56.6</v>
      </c>
      <c r="D753" t="str">
        <v>27.03</v>
      </c>
      <c r="E753" t="str">
        <v>-73.00</v>
      </c>
      <c r="F753" t="str">
        <v>-85.16</v>
      </c>
      <c r="G753" t="str">
        <v>2022/09</v>
      </c>
      <c r="H753" t="str">
        <v>42.18</v>
      </c>
      <c r="I753" t="str">
        <v>-84.44</v>
      </c>
      <c r="J753" t="str">
        <v>2022/11</v>
      </c>
      <c r="K753" t="str">
        <f t="array" ref="K753:T753">[1]!'2527.TW-OperatingProfitRatio,Price,PriceChangeRatio,InOutRatioNumber,Value,YearReturn,MonthReturn,WeekReturn,FinanceBalanceDif,ChipsField2'</f>
        <v>17.67</v>
      </c>
      <c r="L753">
        <v>20.95</v>
      </c>
      <c r="M753">
        <v>0.72</v>
      </c>
      <c r="N753" t="str">
        <v>13.64%</v>
      </c>
      <c r="O753" t="str">
        <v>46.0萬</v>
      </c>
      <c r="P753" t="str">
        <v>-24.42</v>
      </c>
      <c r="Q753" t="str">
        <v>+1.45</v>
      </c>
      <c r="R753" t="str">
        <v>-3.23</v>
      </c>
      <c r="S753">
        <v>0</v>
      </c>
      <c r="T753">
        <v>0</v>
      </c>
      <c r="U753">
        <f t="array" ref="U753:AD753">[1]!'2527.TW-ChipsField3,ChipsField1,ChipsField25,CashAndStockDividend,CashDividendYieldRate,ProfitFourSeason,ProfitSingle,CName,ExchangeIndustry,CompanyPos'</f>
        <v>-1</v>
      </c>
      <c r="V753">
        <v>5</v>
      </c>
      <c r="W753" t="str">
        <v>2022/08/22</v>
      </c>
      <c r="X753" t="str">
        <v>3.00</v>
      </c>
      <c r="Y753">
        <v>14.32</v>
      </c>
      <c r="Z753" t="str">
        <v>2.21</v>
      </c>
      <c r="AA753" t="str">
        <v>1.00</v>
      </c>
      <c r="AB753" t="str">
        <v>宏璟</v>
      </c>
      <c r="AC753" t="str">
        <v>上市建材營造</v>
      </c>
      <c r="AD753" t="str">
        <v>日月光集團旗下建商</v>
      </c>
      <c r="AE753" t="str">
        <f t="array" ref="AE753:AH753">[1]!'2527.TW-CName,InvestorConferenceDate,DateofMeetingofShareHolders,TradingDate'</f>
        <v>宏璟</v>
      </c>
      <c r="AF753" t="str">
        <v>2022/12/07</v>
      </c>
      <c r="AG753" t="str">
        <v>2022/06/27</v>
      </c>
      <c r="AH753" t="str">
        <v>2022/12/22</v>
      </c>
    </row>
    <row r="754" spans="1:34" x14ac:dyDescent="0.3">
      <c r="A754" t="str">
        <f t="array" ref="A754:J754">[1]!'2528.TW-ID,Name,MarketValue,Capital,NetIncomeGrowthRate,OperIncomeGrowthRate,FinancialStatementsTime,TFXRatio,MonthlyNetSalesYoY,RevenueMonth'</f>
        <v>2528</v>
      </c>
      <c r="B754" t="str">
        <v>皇普</v>
      </c>
      <c r="C754" t="str">
        <v>43.8</v>
      </c>
      <c r="D754" t="str">
        <v>38.00</v>
      </c>
      <c r="E754" t="str">
        <v>1.72</v>
      </c>
      <c r="F754" t="str">
        <v>29.19</v>
      </c>
      <c r="G754" t="str">
        <v>2022/09</v>
      </c>
      <c r="H754" t="str">
        <v>-37.25</v>
      </c>
      <c r="I754" t="str">
        <v>52.38</v>
      </c>
      <c r="J754" t="str">
        <v>2022/11</v>
      </c>
      <c r="K754" t="str">
        <f t="array" ref="K754:T754">[1]!'2528.TW-OperatingProfitRatio,Price,PriceChangeRatio,InOutRatioNumber,Value,YearReturn,MonthReturn,WeekReturn,FinanceBalanceDif,ChipsField2'</f>
        <v>18.81</v>
      </c>
      <c r="L754">
        <v>15.8</v>
      </c>
      <c r="M754">
        <v>0.64</v>
      </c>
      <c r="N754" t="str">
        <v>61.54%</v>
      </c>
      <c r="O754" t="str">
        <v>42.6萬</v>
      </c>
      <c r="P754" t="str">
        <v>-25.62</v>
      </c>
      <c r="Q754" t="str">
        <v>-5.95</v>
      </c>
      <c r="R754" t="str">
        <v>-1.86</v>
      </c>
      <c r="S754">
        <v>1</v>
      </c>
      <c r="T754">
        <v>0</v>
      </c>
      <c r="U754">
        <f t="array" ref="U754:AD754">[1]!'2528.TW-ChipsField3,ChipsField1,ChipsField25,CashAndStockDividend,CashDividendYieldRate,ProfitFourSeason,ProfitSingle,CName,ExchangeIndustry,CompanyPos'</f>
        <v>-3</v>
      </c>
      <c r="V754">
        <v>2</v>
      </c>
      <c r="W754" t="str">
        <v>2022/04/14</v>
      </c>
      <c r="X754" t="str">
        <v>0.47</v>
      </c>
      <c r="Y754">
        <v>2.97</v>
      </c>
      <c r="Z754" t="str">
        <v>1.39</v>
      </c>
      <c r="AA754" t="str">
        <v>-0.03</v>
      </c>
      <c r="AB754" t="str">
        <v>皇普</v>
      </c>
      <c r="AC754" t="str">
        <v>上市建材營造</v>
      </c>
      <c r="AD754" t="str">
        <v>以大台北地區推案為主的建商</v>
      </c>
      <c r="AE754" t="str">
        <f t="array" ref="AE754:AH754">[1]!'2528.TW-CName,InvestorConferenceDate,DateofMeetingofShareHolders,TradingDate'</f>
        <v>皇普</v>
      </c>
      <c r="AF754" t="str">
        <v>2022/11/17</v>
      </c>
      <c r="AG754" t="str">
        <v>2022/06/16</v>
      </c>
      <c r="AH754" t="str">
        <v>2022/12/22</v>
      </c>
    </row>
    <row r="755" spans="1:34" x14ac:dyDescent="0.3">
      <c r="A755" t="str">
        <f t="array" ref="A755:J755">[1]!'2530.TW-ID,Name,MarketValue,Capital,NetIncomeGrowthRate,OperIncomeGrowthRate,FinancialStatementsTime,TFXRatio,MonthlyNetSalesYoY,RevenueMonth'</f>
        <v>2530</v>
      </c>
      <c r="B755" t="str">
        <v>華建</v>
      </c>
      <c r="C755" t="str">
        <v>90.6</v>
      </c>
      <c r="D755" t="str">
        <v>84.00</v>
      </c>
      <c r="E755" t="str">
        <v>186.79</v>
      </c>
      <c r="F755" t="str">
        <v>263.04</v>
      </c>
      <c r="G755" t="str">
        <v>2022/09</v>
      </c>
      <c r="H755" t="str">
        <v>-99.92</v>
      </c>
      <c r="I755" t="str">
        <v>32.98</v>
      </c>
      <c r="J755" t="str">
        <v>2022/11</v>
      </c>
      <c r="K755" t="str">
        <f t="array" ref="K755:T755">[1]!'2530.TW-OperatingProfitRatio,Price,PriceChangeRatio,InOutRatioNumber,Value,YearReturn,MonthReturn,WeekReturn,FinanceBalanceDif,ChipsField2'</f>
        <v>12.34</v>
      </c>
      <c r="L755">
        <v>17.399999999999999</v>
      </c>
      <c r="M755">
        <v>-0.28999999999999998</v>
      </c>
      <c r="N755" t="str">
        <v>35.25%</v>
      </c>
      <c r="O755" t="str">
        <v>687萬</v>
      </c>
      <c r="P755" t="str">
        <v>+20.83</v>
      </c>
      <c r="Q755" t="str">
        <v>-7.69</v>
      </c>
      <c r="R755" t="str">
        <v>-2.79</v>
      </c>
      <c r="S755">
        <v>-14</v>
      </c>
      <c r="T755">
        <v>0</v>
      </c>
      <c r="U755">
        <f t="array" ref="U755:AD755">[1]!'2530.TW-ChipsField3,ChipsField1,ChipsField25,CashAndStockDividend,CashDividendYieldRate,ProfitFourSeason,ProfitSingle,CName,ExchangeIndustry,CompanyPos'</f>
        <v>-3</v>
      </c>
      <c r="V755">
        <v>14</v>
      </c>
      <c r="W755" t="str">
        <v>--</v>
      </c>
      <c r="X755" t="str">
        <v>0.00</v>
      </c>
      <c r="Y755">
        <v>0</v>
      </c>
      <c r="Z755" t="str">
        <v>0.09</v>
      </c>
      <c r="AA755" t="str">
        <v>0.05</v>
      </c>
      <c r="AB755" t="str">
        <v>華建</v>
      </c>
      <c r="AC755" t="str">
        <v>上市建材營造</v>
      </c>
      <c r="AD755" t="str">
        <v>推案集中於大台北地區的建商</v>
      </c>
      <c r="AE755" t="str">
        <f t="array" ref="AE755:AH755">[1]!'2530.TW-CName,InvestorConferenceDate,DateofMeetingofShareHolders,TradingDate'</f>
        <v>華建</v>
      </c>
      <c r="AF755" t="str">
        <v>2022/12/06</v>
      </c>
      <c r="AG755" t="str">
        <v>2022/06/30</v>
      </c>
      <c r="AH755" t="str">
        <v>2022/12/22</v>
      </c>
    </row>
    <row r="756" spans="1:34" x14ac:dyDescent="0.3">
      <c r="A756" t="str">
        <f t="array" ref="A756:J756">[1]!'2534.TW-ID,Name,MarketValue,Capital,NetIncomeGrowthRate,OperIncomeGrowthRate,FinancialStatementsTime,TFXRatio,MonthlyNetSalesYoY,RevenueMonth'</f>
        <v>2534</v>
      </c>
      <c r="B756" t="str">
        <v>宏盛</v>
      </c>
      <c r="C756" t="str">
        <v>108.1</v>
      </c>
      <c r="D756" t="str">
        <v>47.42</v>
      </c>
      <c r="E756" t="str">
        <v>56.20</v>
      </c>
      <c r="F756" t="str">
        <v>40.11</v>
      </c>
      <c r="G756" t="str">
        <v>2022/09</v>
      </c>
      <c r="H756" t="str">
        <v>38.89</v>
      </c>
      <c r="I756" t="str">
        <v>368.71</v>
      </c>
      <c r="J756" t="str">
        <v>2022/11</v>
      </c>
      <c r="K756" t="str">
        <f t="array" ref="K756:T756">[1]!'2534.TW-OperatingProfitRatio,Price,PriceChangeRatio,InOutRatioNumber,Value,YearReturn,MonthReturn,WeekReturn,FinanceBalanceDif,ChipsField2'</f>
        <v>30.69</v>
      </c>
      <c r="L756">
        <v>22.8</v>
      </c>
      <c r="M756">
        <v>-0.44</v>
      </c>
      <c r="N756" t="str">
        <v>38.19%</v>
      </c>
      <c r="O756" t="str">
        <v>7617萬</v>
      </c>
      <c r="P756" t="str">
        <v>+0.08</v>
      </c>
      <c r="Q756" t="str">
        <v>-11.28</v>
      </c>
      <c r="R756" t="str">
        <v>-7.32</v>
      </c>
      <c r="S756">
        <v>72</v>
      </c>
      <c r="T756">
        <v>0</v>
      </c>
      <c r="U756">
        <f t="array" ref="U756:AD756">[1]!'2534.TW-ChipsField3,ChipsField1,ChipsField25,CashAndStockDividend,CashDividendYieldRate,ProfitFourSeason,ProfitSingle,CName,ExchangeIndustry,CompanyPos'</f>
        <v>-20</v>
      </c>
      <c r="V756">
        <v>-251</v>
      </c>
      <c r="W756" t="str">
        <v>2022/08/08</v>
      </c>
      <c r="X756" t="str">
        <v>1.20</v>
      </c>
      <c r="Y756">
        <v>5.26</v>
      </c>
      <c r="Z756" t="str">
        <v>2.46</v>
      </c>
      <c r="AA756" t="str">
        <v>0.52</v>
      </c>
      <c r="AB756" t="str">
        <v>宏盛</v>
      </c>
      <c r="AC756" t="str">
        <v>上市建材營造</v>
      </c>
      <c r="AD756" t="str">
        <v>宏泰集團旗下建商，以仁愛帝寶豪宅推案而知名</v>
      </c>
      <c r="AE756" t="str">
        <f t="array" ref="AE756:AH756">[1]!'2534.TW-CName,InvestorConferenceDate,DateofMeetingofShareHolders,TradingDate'</f>
        <v>宏盛</v>
      </c>
      <c r="AF756" t="str">
        <v>2022/11/17</v>
      </c>
      <c r="AG756" t="str">
        <v>2022/06/15</v>
      </c>
      <c r="AH756" t="str">
        <v>2022/12/22</v>
      </c>
    </row>
    <row r="757" spans="1:34" x14ac:dyDescent="0.3">
      <c r="A757" t="str">
        <f t="array" ref="A757:J757">[1]!'2535.TW-ID,Name,MarketValue,Capital,NetIncomeGrowthRate,OperIncomeGrowthRate,FinancialStatementsTime,TFXRatio,MonthlyNetSalesYoY,RevenueMonth'</f>
        <v>2535</v>
      </c>
      <c r="B757" t="str">
        <v>達欣工</v>
      </c>
      <c r="C757" t="str">
        <v>100.4</v>
      </c>
      <c r="D757" t="str">
        <v>33.85</v>
      </c>
      <c r="E757" t="str">
        <v>-8.36</v>
      </c>
      <c r="F757" t="str">
        <v>26.87</v>
      </c>
      <c r="G757" t="str">
        <v>2022/09</v>
      </c>
      <c r="H757" t="str">
        <v>-18.91</v>
      </c>
      <c r="I757" t="str">
        <v>-16.90</v>
      </c>
      <c r="J757" t="str">
        <v>2022/11</v>
      </c>
      <c r="K757" t="str">
        <f t="array" ref="K757:T757">[1]!'2535.TW-OperatingProfitRatio,Price,PriceChangeRatio,InOutRatioNumber,Value,YearReturn,MonthReturn,WeekReturn,FinanceBalanceDif,ChipsField2'</f>
        <v>10.73</v>
      </c>
      <c r="L757">
        <v>29.65</v>
      </c>
      <c r="M757">
        <v>0.17</v>
      </c>
      <c r="N757" t="str">
        <v>35.48%</v>
      </c>
      <c r="O757" t="str">
        <v>374萬</v>
      </c>
      <c r="P757" t="str">
        <v>-0.43</v>
      </c>
      <c r="Q757" t="str">
        <v>+0.17</v>
      </c>
      <c r="R757" t="str">
        <v>+0.17</v>
      </c>
      <c r="S757">
        <v>15</v>
      </c>
      <c r="T757">
        <v>0</v>
      </c>
      <c r="U757">
        <f t="array" ref="U757:AD757">[1]!'2535.TW-ChipsField3,ChipsField1,ChipsField25,CashAndStockDividend,CashDividendYieldRate,ProfitFourSeason,ProfitSingle,CName,ExchangeIndustry,CompanyPos'</f>
        <v>-12</v>
      </c>
      <c r="V757">
        <v>-68</v>
      </c>
      <c r="W757" t="str">
        <v>2022/04/08</v>
      </c>
      <c r="X757" t="str">
        <v>2.50</v>
      </c>
      <c r="Y757">
        <v>8.43</v>
      </c>
      <c r="Z757" t="str">
        <v>3.57</v>
      </c>
      <c r="AA757" t="str">
        <v>0.59</v>
      </c>
      <c r="AB757" t="str">
        <v>達欣工</v>
      </c>
      <c r="AC757" t="str">
        <v>上市建材營造</v>
      </c>
      <c r="AD757" t="str">
        <v>台灣主要甲級營造廠之一</v>
      </c>
      <c r="AE757" t="str">
        <f t="array" ref="AE757:AH757">[1]!'2535.TW-CName,InvestorConferenceDate,DateofMeetingofShareHolders,TradingDate'</f>
        <v>達欣工</v>
      </c>
      <c r="AF757" t="str">
        <v>--</v>
      </c>
      <c r="AG757" t="str">
        <v>2022/06/10</v>
      </c>
      <c r="AH757" t="str">
        <v>2022/12/22</v>
      </c>
    </row>
    <row r="758" spans="1:34" x14ac:dyDescent="0.3">
      <c r="A758" t="str">
        <f t="array" ref="A758:J758">[1]!'2536.TW-ID,Name,MarketValue,Capital,NetIncomeGrowthRate,OperIncomeGrowthRate,FinancialStatementsTime,TFXRatio,MonthlyNetSalesYoY,RevenueMonth'</f>
        <v>2536</v>
      </c>
      <c r="B758" t="str">
        <v>宏普</v>
      </c>
      <c r="C758" t="str">
        <v>74.2</v>
      </c>
      <c r="D758" t="str">
        <v>33.28</v>
      </c>
      <c r="E758" t="str">
        <v>979.28</v>
      </c>
      <c r="F758" t="str">
        <v>407.36</v>
      </c>
      <c r="G758" t="str">
        <v>2022/09</v>
      </c>
      <c r="H758" t="str">
        <v>0.00</v>
      </c>
      <c r="I758" t="str">
        <v>-16.94</v>
      </c>
      <c r="J758" t="str">
        <v>2022/11</v>
      </c>
      <c r="K758" t="str">
        <f t="array" ref="K758:T758">[1]!'2536.TW-OperatingProfitRatio,Price,PriceChangeRatio,InOutRatioNumber,Value,YearReturn,MonthReturn,WeekReturn,FinanceBalanceDif,ChipsField2'</f>
        <v>45.40</v>
      </c>
      <c r="L758">
        <v>22.3</v>
      </c>
      <c r="M758">
        <v>0.22</v>
      </c>
      <c r="N758" t="str">
        <v>8.00%</v>
      </c>
      <c r="O758" t="str">
        <v>55.6萬</v>
      </c>
      <c r="P758" t="str">
        <v>-3.46</v>
      </c>
      <c r="Q758" t="str">
        <v>-0.67</v>
      </c>
      <c r="R758" t="str">
        <v>-0.67</v>
      </c>
      <c r="S758">
        <v>0</v>
      </c>
      <c r="T758">
        <v>0</v>
      </c>
      <c r="U758">
        <f t="array" ref="U758:AD758">[1]!'2536.TW-ChipsField3,ChipsField1,ChipsField25,CashAndStockDividend,CashDividendYieldRate,ProfitFourSeason,ProfitSingle,CName,ExchangeIndustry,CompanyPos'</f>
        <v>-3</v>
      </c>
      <c r="V758">
        <v>-4</v>
      </c>
      <c r="W758" t="str">
        <v>--</v>
      </c>
      <c r="X758" t="str">
        <v>0.00</v>
      </c>
      <c r="Y758">
        <v>0</v>
      </c>
      <c r="Z758" t="str">
        <v>0.00</v>
      </c>
      <c r="AA758" t="str">
        <v>-0.22</v>
      </c>
      <c r="AB758" t="str">
        <v>宏普</v>
      </c>
      <c r="AC758" t="str">
        <v>上市建材營造</v>
      </c>
      <c r="AD758" t="str">
        <v>推案集中於大台北地區之建商</v>
      </c>
      <c r="AE758" t="str">
        <f t="array" ref="AE758:AH758">[1]!'2536.TW-CName,InvestorConferenceDate,DateofMeetingofShareHolders,TradingDate'</f>
        <v>宏普</v>
      </c>
      <c r="AF758" t="str">
        <v>2022/09/14</v>
      </c>
      <c r="AG758" t="str">
        <v>2022/06/15</v>
      </c>
      <c r="AH758" t="str">
        <v>2022/12/22</v>
      </c>
    </row>
    <row r="759" spans="1:34" x14ac:dyDescent="0.3">
      <c r="A759" t="str">
        <f t="array" ref="A759:J759">[1]!'2537.TW-ID,Name,MarketValue,Capital,NetIncomeGrowthRate,OperIncomeGrowthRate,FinancialStatementsTime,TFXRatio,MonthlyNetSalesYoY,RevenueMonth'</f>
        <v>2537</v>
      </c>
      <c r="B759" t="str">
        <v>聯上發</v>
      </c>
      <c r="C759" t="str">
        <v>21.5</v>
      </c>
      <c r="D759" t="str">
        <v>30.06</v>
      </c>
      <c r="E759" t="str">
        <v>-68.85</v>
      </c>
      <c r="F759" t="str">
        <v>-43.18</v>
      </c>
      <c r="G759" t="str">
        <v>2022/09</v>
      </c>
      <c r="H759" t="str">
        <v>55478.10</v>
      </c>
      <c r="I759" t="str">
        <v>19.10</v>
      </c>
      <c r="J759" t="str">
        <v>2022/11</v>
      </c>
      <c r="K759" t="str">
        <f t="array" ref="K759:T759">[1]!'2537.TW-OperatingProfitRatio,Price,PriceChangeRatio,InOutRatioNumber,Value,YearReturn,MonthReturn,WeekReturn,FinanceBalanceDif,ChipsField2'</f>
        <v>15.55</v>
      </c>
      <c r="L759">
        <v>7.16</v>
      </c>
      <c r="M759">
        <v>1.1299999999999999</v>
      </c>
      <c r="N759" t="str">
        <v>36.84%</v>
      </c>
      <c r="O759" t="str">
        <v>247萬</v>
      </c>
      <c r="P759" t="str">
        <v>-22.83</v>
      </c>
      <c r="Q759" t="str">
        <v>+1.70</v>
      </c>
      <c r="R759" t="str">
        <v>-1.38</v>
      </c>
      <c r="S759">
        <v>-30</v>
      </c>
      <c r="T759">
        <v>0</v>
      </c>
      <c r="U759">
        <f t="array" ref="U759:AD759">[1]!'2537.TW-ChipsField3,ChipsField1,ChipsField25,CashAndStockDividend,CashDividendYieldRate,ProfitFourSeason,ProfitSingle,CName,ExchangeIndustry,CompanyPos'</f>
        <v>0</v>
      </c>
      <c r="V759">
        <v>30</v>
      </c>
      <c r="W759" t="str">
        <v>2022/08/02</v>
      </c>
      <c r="X759" t="str">
        <v>0.90</v>
      </c>
      <c r="Y759">
        <v>12.57</v>
      </c>
      <c r="Z759" t="str">
        <v>0.56</v>
      </c>
      <c r="AA759" t="str">
        <v>0.07</v>
      </c>
      <c r="AB759" t="str">
        <v>聯上發</v>
      </c>
      <c r="AC759" t="str">
        <v>上市建材營造</v>
      </c>
      <c r="AD759" t="str">
        <v>聯上集團旗下建商，負責大台北及桃園地區推案</v>
      </c>
      <c r="AE759" t="str">
        <f t="array" ref="AE759:AH759">[1]!'2537.TW-CName,InvestorConferenceDate,DateofMeetingofShareHolders,TradingDate'</f>
        <v>聯上發</v>
      </c>
      <c r="AF759" t="str">
        <v>2021/11/25</v>
      </c>
      <c r="AG759" t="str">
        <v>2022/06/23</v>
      </c>
      <c r="AH759" t="str">
        <v>2022/12/22</v>
      </c>
    </row>
    <row r="760" spans="1:34" x14ac:dyDescent="0.3">
      <c r="A760" t="str">
        <f t="array" ref="A760:J760">[1]!'2538.TW-ID,Name,MarketValue,Capital,NetIncomeGrowthRate,OperIncomeGrowthRate,FinancialStatementsTime,TFXRatio,MonthlyNetSalesYoY,RevenueMonth'</f>
        <v>2538</v>
      </c>
      <c r="B760" t="str">
        <v>基泰</v>
      </c>
      <c r="C760" t="str">
        <v>52.4</v>
      </c>
      <c r="D760" t="str">
        <v>43.84</v>
      </c>
      <c r="E760" t="str">
        <v>350.51</v>
      </c>
      <c r="F760" t="str">
        <v>203.25</v>
      </c>
      <c r="G760" t="str">
        <v>2022/09</v>
      </c>
      <c r="H760" t="str">
        <v>-2.59</v>
      </c>
      <c r="I760" t="str">
        <v>6.54</v>
      </c>
      <c r="J760" t="str">
        <v>2022/11</v>
      </c>
      <c r="K760" t="str">
        <f t="array" ref="K760:T760">[1]!'2538.TW-OperatingProfitRatio,Price,PriceChangeRatio,InOutRatioNumber,Value,YearReturn,MonthReturn,WeekReturn,FinanceBalanceDif,ChipsField2'</f>
        <v>16.47</v>
      </c>
      <c r="L760">
        <v>11.95</v>
      </c>
      <c r="M760">
        <v>0.42</v>
      </c>
      <c r="N760" t="str">
        <v>15.56%</v>
      </c>
      <c r="O760" t="str">
        <v>360萬</v>
      </c>
      <c r="P760" t="str">
        <v>+0.19</v>
      </c>
      <c r="Q760" t="str">
        <v>-2.45</v>
      </c>
      <c r="R760" t="str">
        <v>-1.24</v>
      </c>
      <c r="S760">
        <v>-10</v>
      </c>
      <c r="T760">
        <v>0</v>
      </c>
      <c r="U760">
        <f t="array" ref="U760:AD760">[1]!'2538.TW-ChipsField3,ChipsField1,ChipsField25,CashAndStockDividend,CashDividendYieldRate,ProfitFourSeason,ProfitSingle,CName,ExchangeIndustry,CompanyPos'</f>
        <v>-3</v>
      </c>
      <c r="V760">
        <v>-80</v>
      </c>
      <c r="W760" t="str">
        <v>2022/07/05</v>
      </c>
      <c r="X760" t="str">
        <v>0.50</v>
      </c>
      <c r="Y760">
        <v>4.18</v>
      </c>
      <c r="Z760" t="str">
        <v>0.69</v>
      </c>
      <c r="AA760" t="str">
        <v>0.37</v>
      </c>
      <c r="AB760" t="str">
        <v>基泰</v>
      </c>
      <c r="AC760" t="str">
        <v>上市建材營造</v>
      </c>
      <c r="AD760" t="str">
        <v>推案集中於大台北地區之建商</v>
      </c>
      <c r="AE760" t="str">
        <f t="array" ref="AE760:AH760">[1]!'2538.TW-CName,InvestorConferenceDate,DateofMeetingofShareHolders,TradingDate'</f>
        <v>基泰</v>
      </c>
      <c r="AF760" t="str">
        <v>2022/09/28</v>
      </c>
      <c r="AG760" t="str">
        <v>2022/06/15</v>
      </c>
      <c r="AH760" t="str">
        <v>2022/12/22</v>
      </c>
    </row>
    <row r="761" spans="1:34" x14ac:dyDescent="0.3">
      <c r="A761" t="str">
        <f t="array" ref="A761:J761">[1]!'2539.TW-ID,Name,MarketValue,Capital,NetIncomeGrowthRate,OperIncomeGrowthRate,FinancialStatementsTime,TFXRatio,MonthlyNetSalesYoY,RevenueMonth'</f>
        <v>2539</v>
      </c>
      <c r="B761" t="str">
        <v>櫻花建</v>
      </c>
      <c r="C761" t="str">
        <v>234.8</v>
      </c>
      <c r="D761" t="str">
        <v>73.51</v>
      </c>
      <c r="E761" t="str">
        <v>352.85</v>
      </c>
      <c r="F761" t="str">
        <v>318.63</v>
      </c>
      <c r="G761" t="str">
        <v>2022/09</v>
      </c>
      <c r="H761" t="str">
        <v>--</v>
      </c>
      <c r="I761" t="str">
        <v>-100.00</v>
      </c>
      <c r="J761" t="str">
        <v>2022/11</v>
      </c>
      <c r="K761" t="str">
        <f t="array" ref="K761:T761">[1]!'2539.TW-OperatingProfitRatio,Price,PriceChangeRatio,InOutRatioNumber,Value,YearReturn,MonthReturn,WeekReturn,FinanceBalanceDif,ChipsField2'</f>
        <v>31.18</v>
      </c>
      <c r="L761">
        <v>31.95</v>
      </c>
      <c r="M761">
        <v>0</v>
      </c>
      <c r="N761" t="str">
        <v>28.57%</v>
      </c>
      <c r="O761" t="str">
        <v>134萬</v>
      </c>
      <c r="P761" t="str">
        <v>+17.50</v>
      </c>
      <c r="Q761" t="str">
        <v>0.00</v>
      </c>
      <c r="R761" t="str">
        <v>-1.24</v>
      </c>
      <c r="S761">
        <v>-4</v>
      </c>
      <c r="T761">
        <v>0</v>
      </c>
      <c r="U761">
        <f t="array" ref="U761:AD761">[1]!'2539.TW-ChipsField3,ChipsField1,ChipsField25,CashAndStockDividend,CashDividendYieldRate,ProfitFourSeason,ProfitSingle,CName,ExchangeIndustry,CompanyPos'</f>
        <v>-3</v>
      </c>
      <c r="V761">
        <v>4</v>
      </c>
      <c r="W761" t="str">
        <v>2022/08/31</v>
      </c>
      <c r="X761" t="str">
        <v>1.59</v>
      </c>
      <c r="Y761">
        <v>4.9800000000000004</v>
      </c>
      <c r="Z761" t="str">
        <v>2.93</v>
      </c>
      <c r="AA761" t="str">
        <v>1.00</v>
      </c>
      <c r="AB761" t="str">
        <v>櫻花建</v>
      </c>
      <c r="AC761" t="str">
        <v>上市建材營造</v>
      </c>
      <c r="AD761" t="str">
        <v>推案集中於大台中地區之建商</v>
      </c>
      <c r="AE761" t="str">
        <f t="array" ref="AE761:AH761">[1]!'2539.TW-CName,InvestorConferenceDate,DateofMeetingofShareHolders,TradingDate'</f>
        <v>櫻花建</v>
      </c>
      <c r="AF761" t="str">
        <v>2022/12/21</v>
      </c>
      <c r="AG761" t="str">
        <v>2022/06/16</v>
      </c>
      <c r="AH761" t="str">
        <v>2022/12/22</v>
      </c>
    </row>
    <row r="762" spans="1:34" x14ac:dyDescent="0.3">
      <c r="A762" t="str">
        <f t="array" ref="A762:J762">[1]!'2540.TW-ID,Name,MarketValue,Capital,NetIncomeGrowthRate,OperIncomeGrowthRate,FinancialStatementsTime,TFXRatio,MonthlyNetSalesYoY,RevenueMonth'</f>
        <v>2540</v>
      </c>
      <c r="B762" t="str">
        <v>愛山林</v>
      </c>
      <c r="C762" t="str">
        <v>194.5</v>
      </c>
      <c r="D762" t="str">
        <v>26.61</v>
      </c>
      <c r="E762" t="str">
        <v>-66.95</v>
      </c>
      <c r="F762" t="str">
        <v>-61.86</v>
      </c>
      <c r="G762" t="str">
        <v>2022/09</v>
      </c>
      <c r="H762" t="str">
        <v>-23.26</v>
      </c>
      <c r="I762" t="str">
        <v>-51.98</v>
      </c>
      <c r="J762" t="str">
        <v>2022/11</v>
      </c>
      <c r="K762" t="str">
        <f t="array" ref="K762:T762">[1]!'2540.TW-OperatingProfitRatio,Price,PriceChangeRatio,InOutRatioNumber,Value,YearReturn,MonthReturn,WeekReturn,FinanceBalanceDif,ChipsField2'</f>
        <v>9.30</v>
      </c>
      <c r="L762">
        <v>73.099999999999994</v>
      </c>
      <c r="M762">
        <v>0.69</v>
      </c>
      <c r="N762" t="str">
        <v>90.10%</v>
      </c>
      <c r="O762" t="str">
        <v>2982萬</v>
      </c>
      <c r="P762" t="str">
        <v>+70.34</v>
      </c>
      <c r="Q762" t="str">
        <v>-2.53</v>
      </c>
      <c r="R762" t="str">
        <v>+0.14</v>
      </c>
      <c r="S762">
        <v>-2</v>
      </c>
      <c r="T762">
        <v>0</v>
      </c>
      <c r="U762">
        <f t="array" ref="U762:AD762">[1]!'2540.TW-ChipsField3,ChipsField1,ChipsField25,CashAndStockDividend,CashDividendYieldRate,ProfitFourSeason,ProfitSingle,CName,ExchangeIndustry,CompanyPos'</f>
        <v>-3</v>
      </c>
      <c r="V762">
        <v>18</v>
      </c>
      <c r="W762" t="str">
        <v>2022/09/19</v>
      </c>
      <c r="X762" t="str">
        <v>10.00</v>
      </c>
      <c r="Y762">
        <v>13.68</v>
      </c>
      <c r="Z762" t="str">
        <v>4.41</v>
      </c>
      <c r="AA762" t="str">
        <v>0.16</v>
      </c>
      <c r="AB762" t="str">
        <v>愛山林</v>
      </c>
      <c r="AC762" t="str">
        <v>上市建材營造</v>
      </c>
      <c r="AD762" t="str">
        <v>甲山林旗下建商及代銷商</v>
      </c>
      <c r="AE762" t="str">
        <f t="array" ref="AE762:AH762">[1]!'2540.TW-CName,InvestorConferenceDate,DateofMeetingofShareHolders,TradingDate'</f>
        <v>愛山林</v>
      </c>
      <c r="AF762" t="str">
        <v>2022/12/09</v>
      </c>
      <c r="AG762" t="str">
        <v>2022/06/30</v>
      </c>
      <c r="AH762" t="str">
        <v>2022/12/22</v>
      </c>
    </row>
    <row r="763" spans="1:34" x14ac:dyDescent="0.3">
      <c r="A763" t="str">
        <f t="array" ref="A763:J763">[1]!'2542.TW-ID,Name,MarketValue,Capital,NetIncomeGrowthRate,OperIncomeGrowthRate,FinancialStatementsTime,TFXRatio,MonthlyNetSalesYoY,RevenueMonth'</f>
        <v>2542</v>
      </c>
      <c r="B763" t="str">
        <v>興富發</v>
      </c>
      <c r="C763" t="str">
        <v>720.2</v>
      </c>
      <c r="D763" t="str">
        <v>171.47</v>
      </c>
      <c r="E763" t="str">
        <v>-84.09</v>
      </c>
      <c r="F763" t="str">
        <v>-73.89</v>
      </c>
      <c r="G763" t="str">
        <v>2022/09</v>
      </c>
      <c r="H763" t="str">
        <v>25.97</v>
      </c>
      <c r="I763" t="str">
        <v>-0.56</v>
      </c>
      <c r="J763" t="str">
        <v>2022/11</v>
      </c>
      <c r="K763" t="str">
        <f t="array" ref="K763:T763">[1]!'2542.TW-OperatingProfitRatio,Price,PriceChangeRatio,InOutRatioNumber,Value,YearReturn,MonthReturn,WeekReturn,FinanceBalanceDif,ChipsField2'</f>
        <v>17.24</v>
      </c>
      <c r="L763">
        <v>42</v>
      </c>
      <c r="M763">
        <v>5</v>
      </c>
      <c r="N763" t="str">
        <v>54.80%</v>
      </c>
      <c r="O763" t="str">
        <v>8.62億</v>
      </c>
      <c r="P763" t="str">
        <v>+7.31</v>
      </c>
      <c r="Q763" t="str">
        <v>-4.44</v>
      </c>
      <c r="R763" t="str">
        <v>-1.41</v>
      </c>
      <c r="S763">
        <v>294</v>
      </c>
      <c r="T763">
        <v>6056</v>
      </c>
      <c r="U763">
        <f t="array" ref="U763:AD763">[1]!'2542.TW-ChipsField3,ChipsField1,ChipsField25,CashAndStockDividend,CashDividendYieldRate,ProfitFourSeason,ProfitSingle,CName,ExchangeIndustry,CompanyPos'</f>
        <v>-308</v>
      </c>
      <c r="V763">
        <v>-11684</v>
      </c>
      <c r="W763" t="str">
        <v>2022/09/26</v>
      </c>
      <c r="X763" t="str">
        <v>5.01</v>
      </c>
      <c r="Y763">
        <v>11.93</v>
      </c>
      <c r="Z763" t="str">
        <v>1.46</v>
      </c>
      <c r="AA763" t="str">
        <v>0.19</v>
      </c>
      <c r="AB763" t="str">
        <v>興富發</v>
      </c>
      <c r="AC763" t="str">
        <v>上市建材營造</v>
      </c>
      <c r="AD763" t="str">
        <v>台灣前十大推案建商</v>
      </c>
      <c r="AE763" t="str">
        <f t="array" ref="AE763:AH763">[1]!'2542.TW-CName,InvestorConferenceDate,DateofMeetingofShareHolders,TradingDate'</f>
        <v>興富發</v>
      </c>
      <c r="AF763" t="str">
        <v>2022/12/06</v>
      </c>
      <c r="AG763" t="str">
        <v>2022/06/14</v>
      </c>
      <c r="AH763" t="str">
        <v>2022/12/22</v>
      </c>
    </row>
    <row r="764" spans="1:34" x14ac:dyDescent="0.3">
      <c r="A764" t="str">
        <f t="array" ref="A764:J764">[1]!'2543.TW-ID,Name,MarketValue,Capital,NetIncomeGrowthRate,OperIncomeGrowthRate,FinancialStatementsTime,TFXRatio,MonthlyNetSalesYoY,RevenueMonth'</f>
        <v>2543</v>
      </c>
      <c r="B764" t="str">
        <v>皇昌</v>
      </c>
      <c r="C764" t="str">
        <v>21.2</v>
      </c>
      <c r="D764" t="str">
        <v>23.75</v>
      </c>
      <c r="E764" t="str">
        <v>229.45</v>
      </c>
      <c r="F764" t="str">
        <v>146.16</v>
      </c>
      <c r="G764" t="str">
        <v>2022/09</v>
      </c>
      <c r="H764" t="str">
        <v>25.14</v>
      </c>
      <c r="I764" t="str">
        <v>4.38</v>
      </c>
      <c r="J764" t="str">
        <v>2022/11</v>
      </c>
      <c r="K764" t="str">
        <f t="array" ref="K764:T764">[1]!'2543.TW-OperatingProfitRatio,Price,PriceChangeRatio,InOutRatioNumber,Value,YearReturn,MonthReturn,WeekReturn,FinanceBalanceDif,ChipsField2'</f>
        <v>4.37</v>
      </c>
      <c r="L764">
        <v>8.91</v>
      </c>
      <c r="M764">
        <v>0.91</v>
      </c>
      <c r="N764" t="str">
        <v>31.25%</v>
      </c>
      <c r="O764" t="str">
        <v>43.4萬</v>
      </c>
      <c r="P764" t="str">
        <v>+12.93</v>
      </c>
      <c r="Q764" t="str">
        <v>+5.95</v>
      </c>
      <c r="R764" t="str">
        <v>-2.94</v>
      </c>
      <c r="S764">
        <v>-35</v>
      </c>
      <c r="T764">
        <v>0</v>
      </c>
      <c r="U764">
        <f t="array" ref="U764:AD764">[1]!'2543.TW-ChipsField3,ChipsField1,ChipsField25,CashAndStockDividend,CashDividendYieldRate,ProfitFourSeason,ProfitSingle,CName,ExchangeIndustry,CompanyPos'</f>
        <v>0</v>
      </c>
      <c r="V764">
        <v>-8</v>
      </c>
      <c r="W764" t="str">
        <v>--</v>
      </c>
      <c r="X764" t="str">
        <v>0.00</v>
      </c>
      <c r="Y764">
        <v>0</v>
      </c>
      <c r="Z764" t="str">
        <v>2.21</v>
      </c>
      <c r="AA764" t="str">
        <v>-0.02</v>
      </c>
      <c r="AB764" t="str">
        <v>皇昌</v>
      </c>
      <c r="AC764" t="str">
        <v>上市建材營造</v>
      </c>
      <c r="AD764" t="str">
        <v>主要承攬公共工程之營造廠</v>
      </c>
      <c r="AE764" t="str">
        <f t="array" ref="AE764:AH764">[1]!'2543.TW-CName,InvestorConferenceDate,DateofMeetingofShareHolders,TradingDate'</f>
        <v>皇昌</v>
      </c>
      <c r="AF764" t="str">
        <v>2022/12/05</v>
      </c>
      <c r="AG764" t="str">
        <v>2022/06/21</v>
      </c>
      <c r="AH764" t="str">
        <v>2022/12/22</v>
      </c>
    </row>
    <row r="765" spans="1:34" x14ac:dyDescent="0.3">
      <c r="A765" t="str">
        <f t="array" ref="A765:J765">[1]!'2545.TW-ID,Name,MarketValue,Capital,NetIncomeGrowthRate,OperIncomeGrowthRate,FinancialStatementsTime,TFXRatio,MonthlyNetSalesYoY,RevenueMonth'</f>
        <v>2545</v>
      </c>
      <c r="B765" t="str">
        <v>皇翔</v>
      </c>
      <c r="C765" t="str">
        <v>131.9</v>
      </c>
      <c r="D765" t="str">
        <v>32.77</v>
      </c>
      <c r="E765" t="str">
        <v>73.03</v>
      </c>
      <c r="F765" t="str">
        <v>35.37</v>
      </c>
      <c r="G765" t="str">
        <v>2022/09</v>
      </c>
      <c r="H765" t="str">
        <v>-12.89</v>
      </c>
      <c r="I765" t="str">
        <v>-62.89</v>
      </c>
      <c r="J765" t="str">
        <v>2022/11</v>
      </c>
      <c r="K765" t="str">
        <f t="array" ref="K765:T765">[1]!'2545.TW-OperatingProfitRatio,Price,PriceChangeRatio,InOutRatioNumber,Value,YearReturn,MonthReturn,WeekReturn,FinanceBalanceDif,ChipsField2'</f>
        <v>30.16</v>
      </c>
      <c r="L765">
        <v>40.25</v>
      </c>
      <c r="M765">
        <v>0</v>
      </c>
      <c r="N765" t="str">
        <v>25.45%</v>
      </c>
      <c r="O765" t="str">
        <v>888萬</v>
      </c>
      <c r="P765" t="str">
        <v>+22.74</v>
      </c>
      <c r="Q765" t="str">
        <v>-2.31</v>
      </c>
      <c r="R765" t="str">
        <v>-2.31</v>
      </c>
      <c r="S765">
        <v>-1</v>
      </c>
      <c r="T765">
        <v>0</v>
      </c>
      <c r="U765">
        <f t="array" ref="U765:AD765">[1]!'2545.TW-ChipsField3,ChipsField1,ChipsField25,CashAndStockDividend,CashDividendYieldRate,ProfitFourSeason,ProfitSingle,CName,ExchangeIndustry,CompanyPos'</f>
        <v>-4</v>
      </c>
      <c r="V765">
        <v>-32</v>
      </c>
      <c r="W765" t="str">
        <v>2022/06/20</v>
      </c>
      <c r="X765" t="str">
        <v>6.30</v>
      </c>
      <c r="Y765">
        <v>15.65</v>
      </c>
      <c r="Z765" t="str">
        <v>9.70</v>
      </c>
      <c r="AA765" t="str">
        <v>0.98</v>
      </c>
      <c r="AB765" t="str">
        <v>皇翔</v>
      </c>
      <c r="AC765" t="str">
        <v>上市建材營造</v>
      </c>
      <c r="AD765" t="str">
        <v>推案集中於大台北地區建商，知名推案為皇翔御琚</v>
      </c>
      <c r="AE765" t="str">
        <f t="array" ref="AE765:AH765">[1]!'2545.TW-CName,InvestorConferenceDate,DateofMeetingofShareHolders,TradingDate'</f>
        <v>皇翔</v>
      </c>
      <c r="AF765" t="str">
        <v>2022/11/10</v>
      </c>
      <c r="AG765" t="str">
        <v>2022/06/01</v>
      </c>
      <c r="AH765" t="str">
        <v>2022/12/22</v>
      </c>
    </row>
    <row r="766" spans="1:34" x14ac:dyDescent="0.3">
      <c r="A766" t="str">
        <f t="array" ref="A766:J766">[1]!'2546.TW-ID,Name,MarketValue,Capital,NetIncomeGrowthRate,OperIncomeGrowthRate,FinancialStatementsTime,TFXRatio,MonthlyNetSalesYoY,RevenueMonth'</f>
        <v>2546</v>
      </c>
      <c r="B766" t="str">
        <v>根基</v>
      </c>
      <c r="C766" t="str">
        <v>58.8</v>
      </c>
      <c r="D766" t="str">
        <v>11.66</v>
      </c>
      <c r="E766" t="str">
        <v>1.20</v>
      </c>
      <c r="F766" t="str">
        <v>10.14</v>
      </c>
      <c r="G766" t="str">
        <v>2022/09</v>
      </c>
      <c r="H766" t="str">
        <v>49.69</v>
      </c>
      <c r="I766" t="str">
        <v>117.14</v>
      </c>
      <c r="J766" t="str">
        <v>2022/11</v>
      </c>
      <c r="K766" t="str">
        <f t="array" ref="K766:T766">[1]!'2546.TW-OperatingProfitRatio,Price,PriceChangeRatio,InOutRatioNumber,Value,YearReturn,MonthReturn,WeekReturn,FinanceBalanceDif,ChipsField2'</f>
        <v>7.89</v>
      </c>
      <c r="L766">
        <v>50.4</v>
      </c>
      <c r="M766">
        <v>0.6</v>
      </c>
      <c r="N766" t="str">
        <v>19.51%</v>
      </c>
      <c r="O766" t="str">
        <v>206萬</v>
      </c>
      <c r="P766" t="str">
        <v>+19.05</v>
      </c>
      <c r="Q766" t="str">
        <v>+3.07</v>
      </c>
      <c r="R766" t="str">
        <v>-1.18</v>
      </c>
      <c r="S766">
        <v>0</v>
      </c>
      <c r="T766">
        <v>0</v>
      </c>
      <c r="U766">
        <f t="array" ref="U766:AD766">[1]!'2546.TW-ChipsField3,ChipsField1,ChipsField25,CashAndStockDividend,CashDividendYieldRate,ProfitFourSeason,ProfitSingle,CName,ExchangeIndustry,CompanyPos'</f>
        <v>20</v>
      </c>
      <c r="V766">
        <v>6</v>
      </c>
      <c r="W766" t="str">
        <v>2022/08/01</v>
      </c>
      <c r="X766" t="str">
        <v>3.60</v>
      </c>
      <c r="Y766">
        <v>7.14</v>
      </c>
      <c r="Z766" t="str">
        <v>6.87</v>
      </c>
      <c r="AA766" t="str">
        <v>2.30</v>
      </c>
      <c r="AB766" t="str">
        <v>根基</v>
      </c>
      <c r="AC766" t="str">
        <v>上市建材營造</v>
      </c>
      <c r="AD766" t="str">
        <v>冠德旗下住宅及土木工程營造廠</v>
      </c>
      <c r="AE766" t="str">
        <f t="array" ref="AE766:AH766">[1]!'2546.TW-CName,InvestorConferenceDate,DateofMeetingofShareHolders,TradingDate'</f>
        <v>根基</v>
      </c>
      <c r="AF766" t="str">
        <v>2022/11/24</v>
      </c>
      <c r="AG766" t="str">
        <v>2022/06/15</v>
      </c>
      <c r="AH766" t="str">
        <v>2022/12/22</v>
      </c>
    </row>
    <row r="767" spans="1:34" x14ac:dyDescent="0.3">
      <c r="A767" t="str">
        <f t="array" ref="A767:J767">[1]!'2547.TW-ID,Name,MarketValue,Capital,NetIncomeGrowthRate,OperIncomeGrowthRate,FinancialStatementsTime,TFXRatio,MonthlyNetSalesYoY,RevenueMonth'</f>
        <v>2547</v>
      </c>
      <c r="B767" t="str">
        <v>日勝生</v>
      </c>
      <c r="C767" t="str">
        <v>80.1</v>
      </c>
      <c r="D767" t="str">
        <v>88.01</v>
      </c>
      <c r="E767" t="str">
        <v>125.88</v>
      </c>
      <c r="F767" t="str">
        <v>59.24</v>
      </c>
      <c r="G767" t="str">
        <v>2022/09</v>
      </c>
      <c r="H767" t="str">
        <v>-12.77</v>
      </c>
      <c r="I767" t="str">
        <v>-27.70</v>
      </c>
      <c r="J767" t="str">
        <v>2022/11</v>
      </c>
      <c r="K767" t="str">
        <f t="array" ref="K767:T767">[1]!'2547.TW-OperatingProfitRatio,Price,PriceChangeRatio,InOutRatioNumber,Value,YearReturn,MonthReturn,WeekReturn,FinanceBalanceDif,ChipsField2'</f>
        <v>16.57</v>
      </c>
      <c r="L767">
        <v>9.1</v>
      </c>
      <c r="M767">
        <v>0.44</v>
      </c>
      <c r="N767" t="str">
        <v>45.10%</v>
      </c>
      <c r="O767" t="str">
        <v>237萬</v>
      </c>
      <c r="P767" t="str">
        <v>-6.90</v>
      </c>
      <c r="Q767" t="str">
        <v>-0.76</v>
      </c>
      <c r="R767" t="str">
        <v>-0.87</v>
      </c>
      <c r="S767">
        <v>0</v>
      </c>
      <c r="T767">
        <v>0</v>
      </c>
      <c r="U767">
        <f t="array" ref="U767:AD767">[1]!'2547.TW-ChipsField3,ChipsField1,ChipsField25,CashAndStockDividend,CashDividendYieldRate,ProfitFourSeason,ProfitSingle,CName,ExchangeIndustry,CompanyPos'</f>
        <v>-6</v>
      </c>
      <c r="V767">
        <v>-85</v>
      </c>
      <c r="W767" t="str">
        <v>2022/08/09</v>
      </c>
      <c r="X767" t="str">
        <v>0.20</v>
      </c>
      <c r="Y767">
        <v>2.2000000000000002</v>
      </c>
      <c r="Z767" t="str">
        <v>0.30</v>
      </c>
      <c r="AA767" t="str">
        <v>-0.03</v>
      </c>
      <c r="AB767" t="str">
        <v>日勝生</v>
      </c>
      <c r="AC767" t="str">
        <v>上市建材營造</v>
      </c>
      <c r="AD767" t="str">
        <v>以政府開發案起家，橫跨建築、百貨及觀光的中型建商</v>
      </c>
      <c r="AE767" t="str">
        <f t="array" ref="AE767:AH767">[1]!'2547.TW-CName,InvestorConferenceDate,DateofMeetingofShareHolders,TradingDate'</f>
        <v>日勝生</v>
      </c>
      <c r="AF767" t="str">
        <v>2022/12/07</v>
      </c>
      <c r="AG767" t="str">
        <v>2022/05/27</v>
      </c>
      <c r="AH767" t="str">
        <v>2022/12/22</v>
      </c>
    </row>
    <row r="768" spans="1:34" x14ac:dyDescent="0.3">
      <c r="A768" t="str">
        <f t="array" ref="A768:J768">[1]!'2548.TW-ID,Name,MarketValue,Capital,NetIncomeGrowthRate,OperIncomeGrowthRate,FinancialStatementsTime,TFXRatio,MonthlyNetSalesYoY,RevenueMonth'</f>
        <v>2548</v>
      </c>
      <c r="B768" t="str">
        <v>華固</v>
      </c>
      <c r="C768" t="str">
        <v>244.4</v>
      </c>
      <c r="D768" t="str">
        <v>27.68</v>
      </c>
      <c r="E768" t="str">
        <v>80.45</v>
      </c>
      <c r="F768" t="str">
        <v>86.18</v>
      </c>
      <c r="G768" t="str">
        <v>2022/09</v>
      </c>
      <c r="H768" t="str">
        <v>-52.42</v>
      </c>
      <c r="I768" t="str">
        <v>-96.76</v>
      </c>
      <c r="J768" t="str">
        <v>2022/11</v>
      </c>
      <c r="K768" t="str">
        <f t="array" ref="K768:T768">[1]!'2548.TW-OperatingProfitRatio,Price,PriceChangeRatio,InOutRatioNumber,Value,YearReturn,MonthReturn,WeekReturn,FinanceBalanceDif,ChipsField2'</f>
        <v>25.97</v>
      </c>
      <c r="L768">
        <v>88.3</v>
      </c>
      <c r="M768">
        <v>0</v>
      </c>
      <c r="N768" t="str">
        <v>35.03%</v>
      </c>
      <c r="O768" t="str">
        <v>1559萬</v>
      </c>
      <c r="P768" t="str">
        <v>+4.91</v>
      </c>
      <c r="Q768" t="str">
        <v>+2.56</v>
      </c>
      <c r="R768" t="str">
        <v>+0.80</v>
      </c>
      <c r="S768">
        <v>15</v>
      </c>
      <c r="T768">
        <v>0</v>
      </c>
      <c r="U768">
        <f t="array" ref="U768:AD768">[1]!'2548.TW-ChipsField3,ChipsField1,ChipsField25,CashAndStockDividend,CashDividendYieldRate,ProfitFourSeason,ProfitSingle,CName,ExchangeIndustry,CompanyPos'</f>
        <v>-13</v>
      </c>
      <c r="V768">
        <v>-6</v>
      </c>
      <c r="W768" t="str">
        <v>2022/06/22</v>
      </c>
      <c r="X768" t="str">
        <v>7.50</v>
      </c>
      <c r="Y768">
        <v>8.49</v>
      </c>
      <c r="Z768" t="str">
        <v>15.41</v>
      </c>
      <c r="AA768" t="str">
        <v>0.97</v>
      </c>
      <c r="AB768" t="str">
        <v>華固</v>
      </c>
      <c r="AC768" t="str">
        <v>上市建材營造</v>
      </c>
      <c r="AD768" t="str">
        <v>大台北地區中型建商，並轉向地上權開發</v>
      </c>
      <c r="AE768" t="str">
        <f t="array" ref="AE768:AH768">[1]!'2548.TW-CName,InvestorConferenceDate,DateofMeetingofShareHolders,TradingDate'</f>
        <v>華固</v>
      </c>
      <c r="AF768" t="str">
        <v>2022/12/14</v>
      </c>
      <c r="AG768" t="str">
        <v>2022/05/31</v>
      </c>
      <c r="AH768" t="str">
        <v>2022/12/22</v>
      </c>
    </row>
    <row r="769" spans="1:34" x14ac:dyDescent="0.3">
      <c r="A769" t="str">
        <f t="array" ref="A769:J769">[1]!'2597.TW-ID,Name,MarketValue,Capital,NetIncomeGrowthRate,OperIncomeGrowthRate,FinancialStatementsTime,TFXRatio,MonthlyNetSalesYoY,RevenueMonth'</f>
        <v>2597</v>
      </c>
      <c r="B769" t="str">
        <v>潤弘</v>
      </c>
      <c r="C769" t="str">
        <v>224.7</v>
      </c>
      <c r="D769" t="str">
        <v>18.50</v>
      </c>
      <c r="E769" t="str">
        <v>25.60</v>
      </c>
      <c r="F769" t="str">
        <v>5.74</v>
      </c>
      <c r="G769" t="str">
        <v>2022/09</v>
      </c>
      <c r="H769" t="str">
        <v>5.81</v>
      </c>
      <c r="I769" t="str">
        <v>15.72</v>
      </c>
      <c r="J769" t="str">
        <v>2022/11</v>
      </c>
      <c r="K769" t="str">
        <f t="array" ref="K769:T769">[1]!'2597.TW-OperatingProfitRatio,Price,PriceChangeRatio,InOutRatioNumber,Value,YearReturn,MonthReturn,WeekReturn,FinanceBalanceDif,ChipsField2'</f>
        <v>9.73</v>
      </c>
      <c r="L769">
        <v>121.5</v>
      </c>
      <c r="M769">
        <v>0.41</v>
      </c>
      <c r="N769" t="str">
        <v>42.55%</v>
      </c>
      <c r="O769" t="str">
        <v>1160萬</v>
      </c>
      <c r="P769" t="str">
        <v>+10.14</v>
      </c>
      <c r="Q769" t="str">
        <v>+16.27</v>
      </c>
      <c r="R769" t="str">
        <v>+2.10</v>
      </c>
      <c r="S769">
        <v>1</v>
      </c>
      <c r="T769">
        <v>81</v>
      </c>
      <c r="U769">
        <f t="array" ref="U769:AD769">[1]!'2597.TW-ChipsField3,ChipsField1,ChipsField25,CashAndStockDividend,CashDividendYieldRate,ProfitFourSeason,ProfitSingle,CName,ExchangeIndustry,CompanyPos'</f>
        <v>-18</v>
      </c>
      <c r="V769">
        <v>-9</v>
      </c>
      <c r="W769" t="str">
        <v>2022/07/12</v>
      </c>
      <c r="X769" t="str">
        <v>9.00</v>
      </c>
      <c r="Y769">
        <v>7.41</v>
      </c>
      <c r="Z769" t="str">
        <v>11.23</v>
      </c>
      <c r="AA769" t="str">
        <v>3.97</v>
      </c>
      <c r="AB769" t="str">
        <v>潤弘</v>
      </c>
      <c r="AC769" t="str">
        <v>上市建材營造</v>
      </c>
      <c r="AD769" t="str">
        <v>潤泰集團旗下營造廠</v>
      </c>
      <c r="AE769" t="str">
        <f t="array" ref="AE769:AH769">[1]!'2597.TW-CName,InvestorConferenceDate,DateofMeetingofShareHolders,TradingDate'</f>
        <v>潤弘</v>
      </c>
      <c r="AF769" t="str">
        <v>2022/11/25</v>
      </c>
      <c r="AG769" t="str">
        <v>2022/05/27</v>
      </c>
      <c r="AH769" t="str">
        <v>2022/12/22</v>
      </c>
    </row>
    <row r="770" spans="1:34" x14ac:dyDescent="0.3">
      <c r="A770" t="str">
        <f t="array" ref="A770:J770">[1]!'2923.TW-ID,Name,MarketValue,Capital,NetIncomeGrowthRate,OperIncomeGrowthRate,FinancialStatementsTime,TFXRatio,MonthlyNetSalesYoY,RevenueMonth'</f>
        <v>2923</v>
      </c>
      <c r="B770" t="str">
        <v>鼎固-KY</v>
      </c>
      <c r="C770" t="str">
        <v>374.2</v>
      </c>
      <c r="D770" t="str">
        <v>174.03</v>
      </c>
      <c r="E770" t="str">
        <v>-44.09</v>
      </c>
      <c r="F770" t="str">
        <v>115.77</v>
      </c>
      <c r="G770" t="str">
        <v>2022/09</v>
      </c>
      <c r="H770" t="str">
        <v>-2.61</v>
      </c>
      <c r="I770" t="str">
        <v>-45.76</v>
      </c>
      <c r="J770" t="str">
        <v>2022/11</v>
      </c>
      <c r="K770" t="str">
        <f t="array" ref="K770:T770">[1]!'2923.TW-OperatingProfitRatio,Price,PriceChangeRatio,InOutRatioNumber,Value,YearReturn,MonthReturn,WeekReturn,FinanceBalanceDif,ChipsField2'</f>
        <v>47.49</v>
      </c>
      <c r="L770">
        <v>21.5</v>
      </c>
      <c r="M770">
        <v>-1.38</v>
      </c>
      <c r="N770" t="str">
        <v>0.00%</v>
      </c>
      <c r="O770" t="str">
        <v>2.15萬</v>
      </c>
      <c r="P770" t="str">
        <v>-14.30</v>
      </c>
      <c r="Q770" t="str">
        <v>-1.38</v>
      </c>
      <c r="R770" t="str">
        <v>-10.04</v>
      </c>
      <c r="S770">
        <v>0</v>
      </c>
      <c r="T770">
        <v>0</v>
      </c>
      <c r="U770">
        <f t="array" ref="U770:AD770">[1]!'2923.TW-ChipsField3,ChipsField1,ChipsField25,CashAndStockDividend,CashDividendYieldRate,ProfitFourSeason,ProfitSingle,CName,ExchangeIndustry,CompanyPos'</f>
        <v>-1</v>
      </c>
      <c r="V770">
        <v>0</v>
      </c>
      <c r="W770" t="str">
        <v>2022/09/12</v>
      </c>
      <c r="X770" t="str">
        <v>1.20</v>
      </c>
      <c r="Y770">
        <v>5.58</v>
      </c>
      <c r="Z770" t="str">
        <v>0.37</v>
      </c>
      <c r="AA770" t="str">
        <v>-0.24</v>
      </c>
      <c r="AB770" t="str">
        <v>鼎固-KY</v>
      </c>
      <c r="AC770" t="str">
        <v>上市建材營造</v>
      </c>
      <c r="AD770" t="str">
        <v>日月光轉投資的大陸房地產開發商</v>
      </c>
      <c r="AE770" t="str">
        <f t="array" ref="AE770:AH770">[1]!'2923.TW-CName,InvestorConferenceDate,DateofMeetingofShareHolders,TradingDate'</f>
        <v>鼎固-KY</v>
      </c>
      <c r="AF770" t="str">
        <v>2022/11/07</v>
      </c>
      <c r="AG770" t="str">
        <v>2022/06/24</v>
      </c>
      <c r="AH770" t="str">
        <v>2022/12/22</v>
      </c>
    </row>
    <row r="771" spans="1:34" x14ac:dyDescent="0.3">
      <c r="A771" t="str">
        <f t="array" ref="A771:J771">[1]!'3052.TW-ID,Name,MarketValue,Capital,NetIncomeGrowthRate,OperIncomeGrowthRate,FinancialStatementsTime,TFXRatio,MonthlyNetSalesYoY,RevenueMonth'</f>
        <v>3052</v>
      </c>
      <c r="B771" t="str">
        <v>夆典</v>
      </c>
      <c r="C771" t="str">
        <v>23.8</v>
      </c>
      <c r="D771" t="str">
        <v>22.87</v>
      </c>
      <c r="E771" t="str">
        <v>89.87</v>
      </c>
      <c r="F771" t="str">
        <v>83.52</v>
      </c>
      <c r="G771" t="str">
        <v>2022/09</v>
      </c>
      <c r="H771" t="str">
        <v>-21.60</v>
      </c>
      <c r="I771" t="str">
        <v>8.93</v>
      </c>
      <c r="J771" t="str">
        <v>2022/11</v>
      </c>
      <c r="K771" t="str">
        <f t="array" ref="K771:T771">[1]!'3052.TW-OperatingProfitRatio,Price,PriceChangeRatio,InOutRatioNumber,Value,YearReturn,MonthReturn,WeekReturn,FinanceBalanceDif,ChipsField2'</f>
        <v>7.87</v>
      </c>
      <c r="L771">
        <v>10.4</v>
      </c>
      <c r="M771">
        <v>0</v>
      </c>
      <c r="N771" t="str">
        <v>8.41%</v>
      </c>
      <c r="O771" t="str">
        <v>221萬</v>
      </c>
      <c r="P771" t="str">
        <v>+1.59</v>
      </c>
      <c r="Q771" t="str">
        <v>+2.97</v>
      </c>
      <c r="R771" t="str">
        <v>-0.95</v>
      </c>
      <c r="S771">
        <v>-2</v>
      </c>
      <c r="T771">
        <v>0</v>
      </c>
      <c r="U771">
        <f t="array" ref="U771:AD771">[1]!'3052.TW-ChipsField3,ChipsField1,ChipsField25,CashAndStockDividend,CashDividendYieldRate,ProfitFourSeason,ProfitSingle,CName,ExchangeIndustry,CompanyPos'</f>
        <v>0</v>
      </c>
      <c r="V771">
        <v>-1</v>
      </c>
      <c r="W771" t="str">
        <v>2022/09/29</v>
      </c>
      <c r="X771" t="str">
        <v>0.25</v>
      </c>
      <c r="Y771">
        <v>2.4</v>
      </c>
      <c r="Z771" t="str">
        <v>0.88</v>
      </c>
      <c r="AA771" t="str">
        <v>0.27</v>
      </c>
      <c r="AB771" t="str">
        <v>夆典</v>
      </c>
      <c r="AC771" t="str">
        <v>上市建材營造</v>
      </c>
      <c r="AD771" t="str">
        <v>提供工程整合服務之廠商</v>
      </c>
      <c r="AE771" t="str">
        <f t="array" ref="AE771:AH771">[1]!'3052.TW-CName,InvestorConferenceDate,DateofMeetingofShareHolders,TradingDate'</f>
        <v>夆典</v>
      </c>
      <c r="AF771" t="str">
        <v>2022/11/08</v>
      </c>
      <c r="AG771" t="str">
        <v>2022/06/17</v>
      </c>
      <c r="AH771" t="str">
        <v>2022/12/22</v>
      </c>
    </row>
    <row r="772" spans="1:34" x14ac:dyDescent="0.3">
      <c r="A772" t="str">
        <f t="array" ref="A772:J772">[1]!'3056.TW-ID,Name,MarketValue,Capital,NetIncomeGrowthRate,OperIncomeGrowthRate,FinancialStatementsTime,TFXRatio,MonthlyNetSalesYoY,RevenueMonth'</f>
        <v>3056</v>
      </c>
      <c r="B772" t="str">
        <v>總太</v>
      </c>
      <c r="C772" t="str">
        <v>73.7</v>
      </c>
      <c r="D772" t="str">
        <v>24.27</v>
      </c>
      <c r="E772" t="str">
        <v>106.76</v>
      </c>
      <c r="F772" t="str">
        <v>96.78</v>
      </c>
      <c r="G772" t="str">
        <v>2022/09</v>
      </c>
      <c r="H772" t="str">
        <v>-94.31</v>
      </c>
      <c r="I772" t="str">
        <v>1201.83</v>
      </c>
      <c r="J772" t="str">
        <v>2022/11</v>
      </c>
      <c r="K772" t="str">
        <f t="array" ref="K772:T772">[1]!'3056.TW-OperatingProfitRatio,Price,PriceChangeRatio,InOutRatioNumber,Value,YearReturn,MonthReturn,WeekReturn,FinanceBalanceDif,ChipsField2'</f>
        <v>28.52</v>
      </c>
      <c r="L772">
        <v>30.35</v>
      </c>
      <c r="M772">
        <v>1.17</v>
      </c>
      <c r="N772" t="str">
        <v>63.90%</v>
      </c>
      <c r="O772" t="str">
        <v>956萬</v>
      </c>
      <c r="P772" t="str">
        <v>-20.77</v>
      </c>
      <c r="Q772" t="str">
        <v>-8.03</v>
      </c>
      <c r="R772" t="str">
        <v>-1.78</v>
      </c>
      <c r="S772">
        <v>4</v>
      </c>
      <c r="T772">
        <v>0</v>
      </c>
      <c r="U772">
        <f t="array" ref="U772:AD772">[1]!'3056.TW-ChipsField3,ChipsField1,ChipsField25,CashAndStockDividend,CashDividendYieldRate,ProfitFourSeason,ProfitSingle,CName,ExchangeIndustry,CompanyPos'</f>
        <v>-18</v>
      </c>
      <c r="V772">
        <v>186</v>
      </c>
      <c r="W772" t="str">
        <v>2022/06/23</v>
      </c>
      <c r="X772" t="str">
        <v>1.50</v>
      </c>
      <c r="Y772">
        <v>4.9400000000000004</v>
      </c>
      <c r="Z772" t="str">
        <v>6.29</v>
      </c>
      <c r="AA772" t="str">
        <v>4.82</v>
      </c>
      <c r="AB772" t="str">
        <v>總太</v>
      </c>
      <c r="AC772" t="str">
        <v>上市建材營造</v>
      </c>
      <c r="AD772" t="str">
        <v>推案集中於中部地區之建商</v>
      </c>
      <c r="AE772" t="str">
        <f t="array" ref="AE772:AH772">[1]!'3056.TW-CName,InvestorConferenceDate,DateofMeetingofShareHolders,TradingDate'</f>
        <v>總太</v>
      </c>
      <c r="AF772" t="str">
        <v>2022/11/23</v>
      </c>
      <c r="AG772" t="str">
        <v>2022/06/08</v>
      </c>
      <c r="AH772" t="str">
        <v>2022/12/22</v>
      </c>
    </row>
    <row r="773" spans="1:34" x14ac:dyDescent="0.3">
      <c r="A773" t="str">
        <f t="array" ref="A773:J773">[1]!'3266.TW-ID,Name,MarketValue,Capital,NetIncomeGrowthRate,OperIncomeGrowthRate,FinancialStatementsTime,TFXRatio,MonthlyNetSalesYoY,RevenueMonth'</f>
        <v>3266</v>
      </c>
      <c r="B773" t="str">
        <v>昇陽</v>
      </c>
      <c r="C773" t="str">
        <v>41.7</v>
      </c>
      <c r="D773" t="str">
        <v>35.23</v>
      </c>
      <c r="E773" t="str">
        <v>-11.54</v>
      </c>
      <c r="F773" t="str">
        <v>5.86</v>
      </c>
      <c r="G773" t="str">
        <v>2022/09</v>
      </c>
      <c r="H773" t="str">
        <v>33.94</v>
      </c>
      <c r="I773" t="str">
        <v>125.57</v>
      </c>
      <c r="J773" t="str">
        <v>2022/11</v>
      </c>
      <c r="K773" t="str">
        <f t="array" ref="K773:T773">[1]!'3266.TW-OperatingProfitRatio,Price,PriceChangeRatio,InOutRatioNumber,Value,YearReturn,MonthReturn,WeekReturn,FinanceBalanceDif,ChipsField2'</f>
        <v>6.58</v>
      </c>
      <c r="L773">
        <v>11.85</v>
      </c>
      <c r="M773">
        <v>0</v>
      </c>
      <c r="N773" t="str">
        <v>13.33%</v>
      </c>
      <c r="O773" t="str">
        <v>18.9萬</v>
      </c>
      <c r="P773" t="str">
        <v>-12.87</v>
      </c>
      <c r="Q773" t="str">
        <v>+6.76</v>
      </c>
      <c r="R773" t="str">
        <v>-1.66</v>
      </c>
      <c r="S773">
        <v>-2</v>
      </c>
      <c r="T773">
        <v>0</v>
      </c>
      <c r="U773">
        <f t="array" ref="U773:AD773">[1]!'3266.TW-ChipsField3,ChipsField1,ChipsField25,CashAndStockDividend,CashDividendYieldRate,ProfitFourSeason,ProfitSingle,CName,ExchangeIndustry,CompanyPos'</f>
        <v>-3</v>
      </c>
      <c r="V773">
        <v>-4</v>
      </c>
      <c r="W773" t="str">
        <v>--</v>
      </c>
      <c r="X773" t="str">
        <v>0.00</v>
      </c>
      <c r="Y773">
        <v>0</v>
      </c>
      <c r="Z773" t="str">
        <v>0.36</v>
      </c>
      <c r="AA773" t="str">
        <v>-0.03</v>
      </c>
      <c r="AB773" t="str">
        <v>昇陽</v>
      </c>
      <c r="AC773" t="str">
        <v>上市建材營造</v>
      </c>
      <c r="AD773" t="str">
        <v>推案集中於大台北地區之建商</v>
      </c>
      <c r="AE773" t="str">
        <f t="array" ref="AE773:AH773">[1]!'3266.TW-CName,InvestorConferenceDate,DateofMeetingofShareHolders,TradingDate'</f>
        <v>昇陽</v>
      </c>
      <c r="AF773" t="str">
        <v>2022/11/23</v>
      </c>
      <c r="AG773" t="str">
        <v>2022/06/09</v>
      </c>
      <c r="AH773" t="str">
        <v>2022/12/22</v>
      </c>
    </row>
    <row r="774" spans="1:34" x14ac:dyDescent="0.3">
      <c r="A774" t="str">
        <f t="array" ref="A774:J774">[1]!'3703.TW-ID,Name,MarketValue,Capital,NetIncomeGrowthRate,OperIncomeGrowthRate,FinancialStatementsTime,TFXRatio,MonthlyNetSalesYoY,RevenueMonth'</f>
        <v>3703</v>
      </c>
      <c r="B774" t="str">
        <v>欣陸</v>
      </c>
      <c r="C774" t="str">
        <v>231.3</v>
      </c>
      <c r="D774" t="str">
        <v>82.32</v>
      </c>
      <c r="E774" t="str">
        <v>145.06</v>
      </c>
      <c r="F774" t="str">
        <v>115.77</v>
      </c>
      <c r="G774" t="str">
        <v>2022/09</v>
      </c>
      <c r="H774" t="str">
        <v>-32.61</v>
      </c>
      <c r="I774" t="str">
        <v>-42.47</v>
      </c>
      <c r="J774" t="str">
        <v>2022/11</v>
      </c>
      <c r="K774" t="str">
        <f t="array" ref="K774:T774">[1]!'3703.TW-OperatingProfitRatio,Price,PriceChangeRatio,InOutRatioNumber,Value,YearReturn,MonthReturn,WeekReturn,FinanceBalanceDif,ChipsField2'</f>
        <v>11.89</v>
      </c>
      <c r="L774">
        <v>28.1</v>
      </c>
      <c r="M774">
        <v>0.9</v>
      </c>
      <c r="N774" t="str">
        <v>45.77%</v>
      </c>
      <c r="O774" t="str">
        <v>1614萬</v>
      </c>
      <c r="P774" t="str">
        <v>+17.75</v>
      </c>
      <c r="Q774" t="str">
        <v>-1.58</v>
      </c>
      <c r="R774" t="str">
        <v>-1.06</v>
      </c>
      <c r="S774">
        <v>4</v>
      </c>
      <c r="T774">
        <v>0</v>
      </c>
      <c r="U774">
        <f t="array" ref="U774:AD774">[1]!'3703.TW-ChipsField3,ChipsField1,ChipsField25,CashAndStockDividend,CashDividendYieldRate,ProfitFourSeason,ProfitSingle,CName,ExchangeIndustry,CompanyPos'</f>
        <v>-64</v>
      </c>
      <c r="V774">
        <v>64</v>
      </c>
      <c r="W774" t="str">
        <v>2022/06/30</v>
      </c>
      <c r="X774" t="str">
        <v>1.68</v>
      </c>
      <c r="Y774">
        <v>5.98</v>
      </c>
      <c r="Z774" t="str">
        <v>4.23</v>
      </c>
      <c r="AA774" t="str">
        <v>0.57</v>
      </c>
      <c r="AB774" t="str">
        <v>欣陸</v>
      </c>
      <c r="AC774" t="str">
        <v>上市建材營造</v>
      </c>
      <c r="AD774" t="str">
        <v>由大陸建設換股成立之建設、營造控股公司</v>
      </c>
      <c r="AE774" t="str">
        <f t="array" ref="AE774:AH774">[1]!'3703.TW-CName,InvestorConferenceDate,DateofMeetingofShareHolders,TradingDate'</f>
        <v>欣陸</v>
      </c>
      <c r="AF774" t="str">
        <v>2022/12/27</v>
      </c>
      <c r="AG774" t="str">
        <v>2022/06/09</v>
      </c>
      <c r="AH774" t="str">
        <v>2022/12/22</v>
      </c>
    </row>
    <row r="775" spans="1:34" x14ac:dyDescent="0.3">
      <c r="A775" t="str">
        <f t="array" ref="A775:J775">[1]!'5515.TW-ID,Name,MarketValue,Capital,NetIncomeGrowthRate,OperIncomeGrowthRate,FinancialStatementsTime,TFXRatio,MonthlyNetSalesYoY,RevenueMonth'</f>
        <v>5515</v>
      </c>
      <c r="B775" t="str">
        <v>建國</v>
      </c>
      <c r="C775" t="str">
        <v>28.5</v>
      </c>
      <c r="D775" t="str">
        <v>25.20</v>
      </c>
      <c r="E775" t="str">
        <v>-67.43</v>
      </c>
      <c r="F775" t="str">
        <v>-17.95</v>
      </c>
      <c r="G775" t="str">
        <v>2022/09</v>
      </c>
      <c r="H775" t="str">
        <v>47.08</v>
      </c>
      <c r="I775" t="str">
        <v>14.74</v>
      </c>
      <c r="J775" t="str">
        <v>2022/11</v>
      </c>
      <c r="K775" t="str">
        <f t="array" ref="K775:T775">[1]!'5515.TW-OperatingProfitRatio,Price,PriceChangeRatio,InOutRatioNumber,Value,YearReturn,MonthReturn,WeekReturn,FinanceBalanceDif,ChipsField2'</f>
        <v>6.36</v>
      </c>
      <c r="L775">
        <v>11.3</v>
      </c>
      <c r="M775">
        <v>0.44</v>
      </c>
      <c r="N775" t="str">
        <v>20.00%</v>
      </c>
      <c r="O775" t="str">
        <v>24.9萬</v>
      </c>
      <c r="P775" t="str">
        <v>-11.17</v>
      </c>
      <c r="Q775" t="str">
        <v>+2.26</v>
      </c>
      <c r="R775" t="str">
        <v>-1.31</v>
      </c>
      <c r="S775">
        <v>3</v>
      </c>
      <c r="T775">
        <v>0</v>
      </c>
      <c r="U775">
        <f t="array" ref="U775:AD775">[1]!'5515.TW-ChipsField3,ChipsField1,ChipsField25,CashAndStockDividend,CashDividendYieldRate,ProfitFourSeason,ProfitSingle,CName,ExchangeIndustry,CompanyPos'</f>
        <v>-3</v>
      </c>
      <c r="V775">
        <v>-9</v>
      </c>
      <c r="W775" t="str">
        <v>2022/08/01</v>
      </c>
      <c r="X775" t="str">
        <v>1.02</v>
      </c>
      <c r="Y775">
        <v>9.0299999999999994</v>
      </c>
      <c r="Z775" t="str">
        <v>0.61</v>
      </c>
      <c r="AA775" t="str">
        <v>0.22</v>
      </c>
      <c r="AB775" t="str">
        <v>建國</v>
      </c>
      <c r="AC775" t="str">
        <v>上市建材營造</v>
      </c>
      <c r="AD775" t="str">
        <v>建築統包工程服務商</v>
      </c>
      <c r="AE775" t="str">
        <f t="array" ref="AE775:AH775">[1]!'5515.TW-CName,InvestorConferenceDate,DateofMeetingofShareHolders,TradingDate'</f>
        <v>建國</v>
      </c>
      <c r="AF775" t="str">
        <v>2022/08/25</v>
      </c>
      <c r="AG775" t="str">
        <v>2022/06/21</v>
      </c>
      <c r="AH775" t="str">
        <v>2022/12/22</v>
      </c>
    </row>
    <row r="776" spans="1:34" x14ac:dyDescent="0.3">
      <c r="A776" t="str">
        <f t="array" ref="A776:J776">[1]!'5519.TW-ID,Name,MarketValue,Capital,NetIncomeGrowthRate,OperIncomeGrowthRate,FinancialStatementsTime,TFXRatio,MonthlyNetSalesYoY,RevenueMonth'</f>
        <v>5519</v>
      </c>
      <c r="B776" t="str">
        <v>隆大</v>
      </c>
      <c r="C776" t="str">
        <v>49.8</v>
      </c>
      <c r="D776" t="str">
        <v>21.92</v>
      </c>
      <c r="E776" t="str">
        <v>133.13</v>
      </c>
      <c r="F776" t="str">
        <v>123.59</v>
      </c>
      <c r="G776" t="str">
        <v>2022/09</v>
      </c>
      <c r="H776" t="str">
        <v>-73.94</v>
      </c>
      <c r="I776" t="str">
        <v>-64.98</v>
      </c>
      <c r="J776" t="str">
        <v>2022/11</v>
      </c>
      <c r="K776" t="str">
        <f t="array" ref="K776:T776">[1]!'5519.TW-OperatingProfitRatio,Price,PriceChangeRatio,InOutRatioNumber,Value,YearReturn,MonthReturn,WeekReturn,FinanceBalanceDif,ChipsField2'</f>
        <v>21.41</v>
      </c>
      <c r="L776">
        <v>22.7</v>
      </c>
      <c r="M776">
        <v>0.67</v>
      </c>
      <c r="N776" t="str">
        <v>75.35%</v>
      </c>
      <c r="O776" t="str">
        <v>324萬</v>
      </c>
      <c r="P776" t="str">
        <v>+18.00</v>
      </c>
      <c r="Q776" t="str">
        <v>+2.71</v>
      </c>
      <c r="R776" t="str">
        <v>-0.66</v>
      </c>
      <c r="S776">
        <v>1</v>
      </c>
      <c r="T776">
        <v>0</v>
      </c>
      <c r="U776">
        <f t="array" ref="U776:AD776">[1]!'5519.TW-ChipsField3,ChipsField1,ChipsField25,CashAndStockDividend,CashDividendYieldRate,ProfitFourSeason,ProfitSingle,CName,ExchangeIndustry,CompanyPos'</f>
        <v>-3</v>
      </c>
      <c r="V776">
        <v>14</v>
      </c>
      <c r="W776" t="str">
        <v>2022/08/08</v>
      </c>
      <c r="X776" t="str">
        <v>2.00</v>
      </c>
      <c r="Y776">
        <v>8.81</v>
      </c>
      <c r="Z776" t="str">
        <v>4.50</v>
      </c>
      <c r="AA776" t="str">
        <v>2.06</v>
      </c>
      <c r="AB776" t="str">
        <v>隆大</v>
      </c>
      <c r="AC776" t="str">
        <v>上市建材營造</v>
      </c>
      <c r="AD776" t="str">
        <v>綜合營造及住宅大樓開發商</v>
      </c>
      <c r="AE776" t="str">
        <f t="array" ref="AE776:AH776">[1]!'5519.TW-CName,InvestorConferenceDate,DateofMeetingofShareHolders,TradingDate'</f>
        <v>隆大</v>
      </c>
      <c r="AF776" t="str">
        <v>2022/03/23</v>
      </c>
      <c r="AG776" t="str">
        <v>2022/06/07</v>
      </c>
      <c r="AH776" t="str">
        <v>2022/12/22</v>
      </c>
    </row>
    <row r="777" spans="1:34" x14ac:dyDescent="0.3">
      <c r="A777" t="str">
        <f t="array" ref="A777:J777">[1]!'5521.TW-ID,Name,MarketValue,Capital,NetIncomeGrowthRate,OperIncomeGrowthRate,FinancialStatementsTime,TFXRatio,MonthlyNetSalesYoY,RevenueMonth'</f>
        <v>5521</v>
      </c>
      <c r="B777" t="str">
        <v>工信</v>
      </c>
      <c r="C777" t="str">
        <v>33.2</v>
      </c>
      <c r="D777" t="str">
        <v>49.23</v>
      </c>
      <c r="E777" t="str">
        <v>-140.12</v>
      </c>
      <c r="F777" t="str">
        <v>-116.58</v>
      </c>
      <c r="G777" t="str">
        <v>2022/09</v>
      </c>
      <c r="H777" t="str">
        <v>46.83</v>
      </c>
      <c r="I777" t="str">
        <v>37.16</v>
      </c>
      <c r="J777" t="str">
        <v>2022/11</v>
      </c>
      <c r="K777" t="str">
        <f t="array" ref="K777:T777">[1]!'5521.TW-OperatingProfitRatio,Price,PriceChangeRatio,InOutRatioNumber,Value,YearReturn,MonthReturn,WeekReturn,FinanceBalanceDif,ChipsField2'</f>
        <v>-0.51</v>
      </c>
      <c r="L777">
        <v>6.75</v>
      </c>
      <c r="M777">
        <v>0</v>
      </c>
      <c r="N777" t="str">
        <v>62.15%</v>
      </c>
      <c r="O777" t="str">
        <v>144萬</v>
      </c>
      <c r="P777" t="str">
        <v>-19.64</v>
      </c>
      <c r="Q777" t="str">
        <v>+5.80</v>
      </c>
      <c r="R777" t="str">
        <v>+0.30</v>
      </c>
      <c r="S777">
        <v>-8</v>
      </c>
      <c r="T777">
        <v>0</v>
      </c>
      <c r="U777">
        <f t="array" ref="U777:AD777">[1]!'5521.TW-ChipsField3,ChipsField1,ChipsField25,CashAndStockDividend,CashDividendYieldRate,ProfitFourSeason,ProfitSingle,CName,ExchangeIndustry,CompanyPos'</f>
        <v>-31</v>
      </c>
      <c r="V777">
        <v>16</v>
      </c>
      <c r="W777" t="str">
        <v>--</v>
      </c>
      <c r="X777" t="str">
        <v>0.00</v>
      </c>
      <c r="Y777">
        <v>0</v>
      </c>
      <c r="Z777" t="str">
        <v>-0.16</v>
      </c>
      <c r="AA777" t="str">
        <v>0.00</v>
      </c>
      <c r="AB777" t="str">
        <v>工信</v>
      </c>
      <c r="AC777" t="str">
        <v>上市建材營造</v>
      </c>
      <c r="AD777" t="str">
        <v>台灣前十大營造廠</v>
      </c>
      <c r="AE777" t="str">
        <f t="array" ref="AE777:AH777">[1]!'5521.TW-CName,InvestorConferenceDate,DateofMeetingofShareHolders,TradingDate'</f>
        <v>工信</v>
      </c>
      <c r="AF777" t="str">
        <v>2022/10/20</v>
      </c>
      <c r="AG777" t="str">
        <v>2022/06/29</v>
      </c>
      <c r="AH777" t="str">
        <v>2022/12/22</v>
      </c>
    </row>
    <row r="778" spans="1:34" x14ac:dyDescent="0.3">
      <c r="A778" t="str">
        <f t="array" ref="A778:J778">[1]!'5522.TW-ID,Name,MarketValue,Capital,NetIncomeGrowthRate,OperIncomeGrowthRate,FinancialStatementsTime,TFXRatio,MonthlyNetSalesYoY,RevenueMonth'</f>
        <v>5522</v>
      </c>
      <c r="B778" t="str">
        <v>遠雄</v>
      </c>
      <c r="C778" t="str">
        <v>455.7</v>
      </c>
      <c r="D778" t="str">
        <v>78.16</v>
      </c>
      <c r="E778" t="str">
        <v>26.13</v>
      </c>
      <c r="F778" t="str">
        <v>13.35</v>
      </c>
      <c r="G778" t="str">
        <v>2022/09</v>
      </c>
      <c r="H778" t="str">
        <v>-28.53</v>
      </c>
      <c r="I778" t="str">
        <v>-49.20</v>
      </c>
      <c r="J778" t="str">
        <v>2022/11</v>
      </c>
      <c r="K778" t="str">
        <f t="array" ref="K778:T778">[1]!'5522.TW-OperatingProfitRatio,Price,PriceChangeRatio,InOutRatioNumber,Value,YearReturn,MonthReturn,WeekReturn,FinanceBalanceDif,ChipsField2'</f>
        <v>27.14</v>
      </c>
      <c r="L778">
        <v>58.3</v>
      </c>
      <c r="M778">
        <v>1.04</v>
      </c>
      <c r="N778" t="str">
        <v>46.55%</v>
      </c>
      <c r="O778" t="str">
        <v>1.89億</v>
      </c>
      <c r="P778" t="str">
        <v>+3.20</v>
      </c>
      <c r="Q778" t="str">
        <v>+10.84</v>
      </c>
      <c r="R778" t="str">
        <v>+11.69</v>
      </c>
      <c r="S778">
        <v>41</v>
      </c>
      <c r="T778">
        <v>-635</v>
      </c>
      <c r="U778">
        <f t="array" ref="U778:AD778">[1]!'5522.TW-ChipsField3,ChipsField1,ChipsField25,CashAndStockDividend,CashDividendYieldRate,ProfitFourSeason,ProfitSingle,CName,ExchangeIndustry,CompanyPos'</f>
        <v>55</v>
      </c>
      <c r="V778">
        <v>512</v>
      </c>
      <c r="W778" t="str">
        <v>2022/10/18</v>
      </c>
      <c r="X778" t="str">
        <v>2.00</v>
      </c>
      <c r="Y778">
        <v>9.43</v>
      </c>
      <c r="Z778" t="str">
        <v>8.82</v>
      </c>
      <c r="AA778" t="str">
        <v>1.84</v>
      </c>
      <c r="AB778" t="str">
        <v>遠雄</v>
      </c>
      <c r="AC778" t="str">
        <v>上市建材營造</v>
      </c>
      <c r="AD778" t="str">
        <v>以營建地產、休閒娛樂為核心的企業集團</v>
      </c>
      <c r="AE778" t="str">
        <f t="array" ref="AE778:AH778">[1]!'5522.TW-CName,InvestorConferenceDate,DateofMeetingofShareHolders,TradingDate'</f>
        <v>遠雄</v>
      </c>
      <c r="AF778" t="str">
        <v>2022/11/17</v>
      </c>
      <c r="AG778" t="str">
        <v>2022/06/10</v>
      </c>
      <c r="AH778" t="str">
        <v>2022/12/22</v>
      </c>
    </row>
    <row r="779" spans="1:34" x14ac:dyDescent="0.3">
      <c r="A779" t="str">
        <f t="array" ref="A779:J779">[1]!'5525.TW-ID,Name,MarketValue,Capital,NetIncomeGrowthRate,OperIncomeGrowthRate,FinancialStatementsTime,TFXRatio,MonthlyNetSalesYoY,RevenueMonth'</f>
        <v>5525</v>
      </c>
      <c r="B779" t="str">
        <v>順天</v>
      </c>
      <c r="C779" t="str">
        <v>65.8</v>
      </c>
      <c r="D779" t="str">
        <v>26.46</v>
      </c>
      <c r="E779" t="str">
        <v>651.81</v>
      </c>
      <c r="F779" t="str">
        <v>1042.11</v>
      </c>
      <c r="G779" t="str">
        <v>2022/09</v>
      </c>
      <c r="H779" t="str">
        <v>-50.15</v>
      </c>
      <c r="I779" t="str">
        <v>-45.09</v>
      </c>
      <c r="J779" t="str">
        <v>2022/11</v>
      </c>
      <c r="K779" t="str">
        <f t="array" ref="K779:T779">[1]!'5525.TW-OperatingProfitRatio,Price,PriceChangeRatio,InOutRatioNumber,Value,YearReturn,MonthReturn,WeekReturn,FinanceBalanceDif,ChipsField2'</f>
        <v>14.42</v>
      </c>
      <c r="L779">
        <v>24.85</v>
      </c>
      <c r="M779">
        <v>0</v>
      </c>
      <c r="N779" t="str">
        <v>47.06%</v>
      </c>
      <c r="O779" t="str">
        <v>42.1萬</v>
      </c>
      <c r="P779" t="str">
        <v>-10.76</v>
      </c>
      <c r="Q779" t="str">
        <v>+5.07</v>
      </c>
      <c r="R779" t="str">
        <v>+5.30</v>
      </c>
      <c r="S779">
        <v>1</v>
      </c>
      <c r="T779">
        <v>0</v>
      </c>
      <c r="U779">
        <f t="array" ref="U779:AD779">[1]!'5525.TW-ChipsField3,ChipsField1,ChipsField25,CashAndStockDividend,CashDividendYieldRate,ProfitFourSeason,ProfitSingle,CName,ExchangeIndustry,CompanyPos'</f>
        <v>-2</v>
      </c>
      <c r="V779">
        <v>-3</v>
      </c>
      <c r="W779" t="str">
        <v>2022/07/07</v>
      </c>
      <c r="X779" t="str">
        <v>0.30</v>
      </c>
      <c r="Y779">
        <v>1.21</v>
      </c>
      <c r="Z779" t="str">
        <v>2.26</v>
      </c>
      <c r="AA779" t="str">
        <v>0.05</v>
      </c>
      <c r="AB779" t="str">
        <v>順天</v>
      </c>
      <c r="AC779" t="str">
        <v>上市建材營造</v>
      </c>
      <c r="AD779" t="str">
        <v>台中地區建商</v>
      </c>
      <c r="AE779" t="str">
        <f t="array" ref="AE779:AH779">[1]!'5525.TW-CName,InvestorConferenceDate,DateofMeetingofShareHolders,TradingDate'</f>
        <v>順天</v>
      </c>
      <c r="AF779" t="str">
        <v>2022/12/14</v>
      </c>
      <c r="AG779" t="str">
        <v>2022/06/08</v>
      </c>
      <c r="AH779" t="str">
        <v>2022/12/22</v>
      </c>
    </row>
    <row r="780" spans="1:34" x14ac:dyDescent="0.3">
      <c r="A780" t="str">
        <f t="array" ref="A780:J780">[1]!'5531.TW-ID,Name,MarketValue,Capital,NetIncomeGrowthRate,OperIncomeGrowthRate,FinancialStatementsTime,TFXRatio,MonthlyNetSalesYoY,RevenueMonth'</f>
        <v>5531</v>
      </c>
      <c r="B780" t="str">
        <v>鄉林</v>
      </c>
      <c r="C780" t="str">
        <v>90.8</v>
      </c>
      <c r="D780" t="str">
        <v>97.76</v>
      </c>
      <c r="E780" t="str">
        <v>-53.74</v>
      </c>
      <c r="F780" t="str">
        <v>0.66</v>
      </c>
      <c r="G780" t="str">
        <v>2022/09</v>
      </c>
      <c r="H780" t="str">
        <v>-60.78</v>
      </c>
      <c r="I780" t="str">
        <v>-79.64</v>
      </c>
      <c r="J780" t="str">
        <v>2022/11</v>
      </c>
      <c r="K780" t="str">
        <f t="array" ref="K780:T780">[1]!'5531.TW-OperatingProfitRatio,Price,PriceChangeRatio,InOutRatioNumber,Value,YearReturn,MonthReturn,WeekReturn,FinanceBalanceDif,ChipsField2'</f>
        <v>-61.18</v>
      </c>
      <c r="L780">
        <v>9.2899999999999991</v>
      </c>
      <c r="M780">
        <v>0.11</v>
      </c>
      <c r="N780" t="str">
        <v>44.58%</v>
      </c>
      <c r="O780" t="str">
        <v>78.8萬</v>
      </c>
      <c r="P780" t="str">
        <v>-14.38</v>
      </c>
      <c r="Q780" t="str">
        <v>+0.98</v>
      </c>
      <c r="R780" t="str">
        <v>-1.69</v>
      </c>
      <c r="S780">
        <v>14</v>
      </c>
      <c r="T780">
        <v>0</v>
      </c>
      <c r="U780">
        <f t="array" ref="U780:AD780">[1]!'5531.TW-ChipsField3,ChipsField1,ChipsField25,CashAndStockDividend,CashDividendYieldRate,ProfitFourSeason,ProfitSingle,CName,ExchangeIndustry,CompanyPos'</f>
        <v>-6</v>
      </c>
      <c r="V780">
        <v>10</v>
      </c>
      <c r="W780" t="str">
        <v>--</v>
      </c>
      <c r="X780" t="str">
        <v>0.00</v>
      </c>
      <c r="Y780">
        <v>0</v>
      </c>
      <c r="Z780" t="str">
        <v>-1.03</v>
      </c>
      <c r="AA780" t="str">
        <v>-0.47</v>
      </c>
      <c r="AB780" t="str">
        <v>鄉林</v>
      </c>
      <c r="AC780" t="str">
        <v>上市建材營造</v>
      </c>
      <c r="AD780" t="str">
        <v>推案以中部地區為主之建商，並跨足觀光旅館經營</v>
      </c>
      <c r="AE780" t="str">
        <f t="array" ref="AE780:AH780">[1]!'5531.TW-CName,InvestorConferenceDate,DateofMeetingofShareHolders,TradingDate'</f>
        <v>鄉林</v>
      </c>
      <c r="AF780" t="str">
        <v>2021/09/16</v>
      </c>
      <c r="AG780" t="str">
        <v>2022/06/24</v>
      </c>
      <c r="AH780" t="str">
        <v>2022/12/22</v>
      </c>
    </row>
    <row r="781" spans="1:34" x14ac:dyDescent="0.3">
      <c r="A781" t="str">
        <f t="array" ref="A781:J781">[1]!'5533.TW-ID,Name,MarketValue,Capital,NetIncomeGrowthRate,OperIncomeGrowthRate,FinancialStatementsTime,TFXRatio,MonthlyNetSalesYoY,RevenueMonth'</f>
        <v>5533</v>
      </c>
      <c r="B781" t="str">
        <v>皇鼎</v>
      </c>
      <c r="C781" t="str">
        <v>49.9</v>
      </c>
      <c r="D781" t="str">
        <v>28.52</v>
      </c>
      <c r="E781" t="str">
        <v>140.01</v>
      </c>
      <c r="F781" t="str">
        <v>110.50</v>
      </c>
      <c r="G781" t="str">
        <v>2022/09</v>
      </c>
      <c r="H781" t="str">
        <v>-45.69</v>
      </c>
      <c r="I781" t="str">
        <v>-52.70</v>
      </c>
      <c r="J781" t="str">
        <v>2022/11</v>
      </c>
      <c r="K781" t="str">
        <f t="array" ref="K781:T781">[1]!'5533.TW-OperatingProfitRatio,Price,PriceChangeRatio,InOutRatioNumber,Value,YearReturn,MonthReturn,WeekReturn,FinanceBalanceDif,ChipsField2'</f>
        <v>22.38</v>
      </c>
      <c r="L781">
        <v>17.5</v>
      </c>
      <c r="M781">
        <v>0</v>
      </c>
      <c r="N781" t="str">
        <v>26.42%</v>
      </c>
      <c r="O781" t="str">
        <v>92.7萬</v>
      </c>
      <c r="P781" t="str">
        <v>-3.35</v>
      </c>
      <c r="Q781" t="str">
        <v>0.00</v>
      </c>
      <c r="R781" t="str">
        <v>-0.57</v>
      </c>
      <c r="S781">
        <v>-18</v>
      </c>
      <c r="T781">
        <v>0</v>
      </c>
      <c r="U781">
        <f t="array" ref="U781:AD781">[1]!'5533.TW-ChipsField3,ChipsField1,ChipsField25,CashAndStockDividend,CashDividendYieldRate,ProfitFourSeason,ProfitSingle,CName,ExchangeIndustry,CompanyPos'</f>
        <v>-3</v>
      </c>
      <c r="V781">
        <v>-17</v>
      </c>
      <c r="W781" t="str">
        <v>2022/06/09</v>
      </c>
      <c r="X781" t="str">
        <v>1.00</v>
      </c>
      <c r="Y781">
        <v>5.71</v>
      </c>
      <c r="Z781" t="str">
        <v>5.77</v>
      </c>
      <c r="AA781" t="str">
        <v>0.68</v>
      </c>
      <c r="AB781" t="str">
        <v>皇鼎</v>
      </c>
      <c r="AC781" t="str">
        <v>上市建材營造</v>
      </c>
      <c r="AD781" t="str">
        <v>主要於大台北地區推案的建商</v>
      </c>
      <c r="AE781" t="str">
        <f t="array" ref="AE781:AH781">[1]!'5533.TW-CName,InvestorConferenceDate,DateofMeetingofShareHolders,TradingDate'</f>
        <v>皇鼎</v>
      </c>
      <c r="AF781" t="str">
        <v>2022/10/25</v>
      </c>
      <c r="AG781" t="str">
        <v>2022/06/09</v>
      </c>
      <c r="AH781" t="str">
        <v>2022/12/22</v>
      </c>
    </row>
    <row r="782" spans="1:34" x14ac:dyDescent="0.3">
      <c r="A782" t="str">
        <f t="array" ref="A782:J782">[1]!'5534.TW-ID,Name,MarketValue,Capital,NetIncomeGrowthRate,OperIncomeGrowthRate,FinancialStatementsTime,TFXRatio,MonthlyNetSalesYoY,RevenueMonth'</f>
        <v>5534</v>
      </c>
      <c r="B782" t="str">
        <v>長虹</v>
      </c>
      <c r="C782" t="str">
        <v>209.0</v>
      </c>
      <c r="D782" t="str">
        <v>29.03</v>
      </c>
      <c r="E782" t="str">
        <v>780.84</v>
      </c>
      <c r="F782" t="str">
        <v>813.29</v>
      </c>
      <c r="G782" t="str">
        <v>2022/09</v>
      </c>
      <c r="H782" t="str">
        <v>1068.73</v>
      </c>
      <c r="I782" t="str">
        <v>192.20</v>
      </c>
      <c r="J782" t="str">
        <v>2022/11</v>
      </c>
      <c r="K782" t="str">
        <f t="array" ref="K782:T782">[1]!'5534.TW-OperatingProfitRatio,Price,PriceChangeRatio,InOutRatioNumber,Value,YearReturn,MonthReturn,WeekReturn,FinanceBalanceDif,ChipsField2'</f>
        <v>39.13</v>
      </c>
      <c r="L782">
        <v>72</v>
      </c>
      <c r="M782">
        <v>0.7</v>
      </c>
      <c r="N782" t="str">
        <v>46.07%</v>
      </c>
      <c r="O782" t="str">
        <v>654萬</v>
      </c>
      <c r="P782" t="str">
        <v>+6.74</v>
      </c>
      <c r="Q782" t="str">
        <v>+1.12</v>
      </c>
      <c r="R782" t="str">
        <v>+0.98</v>
      </c>
      <c r="S782">
        <v>-8</v>
      </c>
      <c r="T782">
        <v>0</v>
      </c>
      <c r="U782">
        <f t="array" ref="U782:AD782">[1]!'5534.TW-ChipsField3,ChipsField1,ChipsField25,CashAndStockDividend,CashDividendYieldRate,ProfitFourSeason,ProfitSingle,CName,ExchangeIndustry,CompanyPos'</f>
        <v>-38</v>
      </c>
      <c r="V782">
        <v>-17</v>
      </c>
      <c r="W782" t="str">
        <v>2022/08/26</v>
      </c>
      <c r="X782" t="str">
        <v>4.41</v>
      </c>
      <c r="Y782">
        <v>6.13</v>
      </c>
      <c r="Z782" t="str">
        <v>10.43</v>
      </c>
      <c r="AA782" t="str">
        <v>0.99</v>
      </c>
      <c r="AB782" t="str">
        <v>長虹</v>
      </c>
      <c r="AC782" t="str">
        <v>上市建材營造</v>
      </c>
      <c r="AD782" t="str">
        <v>以廠辦及住宅開發案為主之建商</v>
      </c>
      <c r="AE782" t="str">
        <f t="array" ref="AE782:AH782">[1]!'5534.TW-CName,InvestorConferenceDate,DateofMeetingofShareHolders,TradingDate'</f>
        <v>長虹</v>
      </c>
      <c r="AF782" t="str">
        <v>2022/12/22</v>
      </c>
      <c r="AG782" t="str">
        <v>2022/06/28</v>
      </c>
      <c r="AH782" t="str">
        <v>2022/12/22</v>
      </c>
    </row>
    <row r="783" spans="1:34" x14ac:dyDescent="0.3">
      <c r="A783" t="str">
        <f t="array" ref="A783:J783">[1]!'5546.TW-ID,Name,MarketValue,Capital,NetIncomeGrowthRate,OperIncomeGrowthRate,FinancialStatementsTime,TFXRatio,MonthlyNetSalesYoY,RevenueMonth'</f>
        <v>5546</v>
      </c>
      <c r="B783" t="str">
        <v>永固-KY</v>
      </c>
      <c r="C783" t="str">
        <v>38.5</v>
      </c>
      <c r="D783" t="str">
        <v>8.24</v>
      </c>
      <c r="E783" t="str">
        <v>-55.02</v>
      </c>
      <c r="F783" t="str">
        <v>-61.66</v>
      </c>
      <c r="G783" t="str">
        <v>2022/09</v>
      </c>
      <c r="H783" t="str">
        <v>-46.09</v>
      </c>
      <c r="I783" t="str">
        <v>-63.70</v>
      </c>
      <c r="J783" t="str">
        <v>2022/11</v>
      </c>
      <c r="K783" t="str">
        <f t="array" ref="K783:T783">[1]!'5546.TW-OperatingProfitRatio,Price,PriceChangeRatio,InOutRatioNumber,Value,YearReturn,MonthReturn,WeekReturn,FinanceBalanceDif,ChipsField2'</f>
        <v>2.49</v>
      </c>
      <c r="L783">
        <v>46.8</v>
      </c>
      <c r="M783">
        <v>0.65</v>
      </c>
      <c r="N783" t="str">
        <v>41.67%</v>
      </c>
      <c r="O783" t="str">
        <v>55.9萬</v>
      </c>
      <c r="P783" t="str">
        <v>-12.02</v>
      </c>
      <c r="Q783" t="str">
        <v>-4.10</v>
      </c>
      <c r="R783" t="str">
        <v>-2.40</v>
      </c>
      <c r="S783">
        <v>0</v>
      </c>
      <c r="T783">
        <v>0</v>
      </c>
      <c r="U783">
        <f t="array" ref="U783:AD783">[1]!'5546.TW-ChipsField3,ChipsField1,ChipsField25,CashAndStockDividend,CashDividendYieldRate,ProfitFourSeason,ProfitSingle,CName,ExchangeIndustry,CompanyPos'</f>
        <v>0</v>
      </c>
      <c r="V783">
        <v>0</v>
      </c>
      <c r="W783" t="str">
        <v>2022/07/22</v>
      </c>
      <c r="X783" t="str">
        <v>5.00</v>
      </c>
      <c r="Y783">
        <v>10.68</v>
      </c>
      <c r="Z783" t="str">
        <v>2.01</v>
      </c>
      <c r="AA783" t="str">
        <v>-0.51</v>
      </c>
      <c r="AB783" t="str">
        <v>永固-KY</v>
      </c>
      <c r="AC783" t="str">
        <v>上市建材營造</v>
      </c>
      <c r="AD783" t="str">
        <v>大陸重慶地區預拌混凝土領導廠商</v>
      </c>
      <c r="AE783" t="str">
        <f t="array" ref="AE783:AH783">[1]!'5546.TW-CName,InvestorConferenceDate,DateofMeetingofShareHolders,TradingDate'</f>
        <v>永固-KY</v>
      </c>
      <c r="AF783" t="str">
        <v>2022/12/02</v>
      </c>
      <c r="AG783" t="str">
        <v>2022/05/30</v>
      </c>
      <c r="AH783" t="str">
        <v>2022/12/22</v>
      </c>
    </row>
    <row r="784" spans="1:34" x14ac:dyDescent="0.3">
      <c r="A784" t="str">
        <f t="array" ref="A784:J784">[1]!'6177.TW-ID,Name,MarketValue,Capital,NetIncomeGrowthRate,OperIncomeGrowthRate,FinancialStatementsTime,TFXRatio,MonthlyNetSalesYoY,RevenueMonth'</f>
        <v>6177</v>
      </c>
      <c r="B784" t="str">
        <v>達麗</v>
      </c>
      <c r="C784" t="str">
        <v>113.7</v>
      </c>
      <c r="D784" t="str">
        <v>38.79</v>
      </c>
      <c r="E784" t="str">
        <v>88.20</v>
      </c>
      <c r="F784" t="str">
        <v>92.36</v>
      </c>
      <c r="G784" t="str">
        <v>2022/09</v>
      </c>
      <c r="H784" t="str">
        <v>-29.33</v>
      </c>
      <c r="I784" t="str">
        <v>-95.68</v>
      </c>
      <c r="J784" t="str">
        <v>2022/11</v>
      </c>
      <c r="K784" t="str">
        <f t="array" ref="K784:T784">[1]!'6177.TW-OperatingProfitRatio,Price,PriceChangeRatio,InOutRatioNumber,Value,YearReturn,MonthReturn,WeekReturn,FinanceBalanceDif,ChipsField2'</f>
        <v>18.96</v>
      </c>
      <c r="L784">
        <v>29.3</v>
      </c>
      <c r="M784">
        <v>0.51</v>
      </c>
      <c r="N784" t="str">
        <v>49.25%</v>
      </c>
      <c r="O784" t="str">
        <v>1185萬</v>
      </c>
      <c r="P784" t="str">
        <v>+8.19</v>
      </c>
      <c r="Q784" t="str">
        <v>+3.90</v>
      </c>
      <c r="R784" t="str">
        <v>+1.03</v>
      </c>
      <c r="S784">
        <v>95</v>
      </c>
      <c r="T784">
        <v>0</v>
      </c>
      <c r="U784">
        <f t="array" ref="U784:AD784">[1]!'6177.TW-ChipsField3,ChipsField1,ChipsField25,CashAndStockDividend,CashDividendYieldRate,ProfitFourSeason,ProfitSingle,CName,ExchangeIndustry,CompanyPos'</f>
        <v>-3</v>
      </c>
      <c r="V784">
        <v>72</v>
      </c>
      <c r="W784" t="str">
        <v>2022/07/27</v>
      </c>
      <c r="X784" t="str">
        <v>3.00</v>
      </c>
      <c r="Y784">
        <v>10.24</v>
      </c>
      <c r="Z784" t="str">
        <v>5.62</v>
      </c>
      <c r="AA784" t="str">
        <v>1.05</v>
      </c>
      <c r="AB784" t="str">
        <v>達麗</v>
      </c>
      <c r="AC784" t="str">
        <v>上市建材營造</v>
      </c>
      <c r="AD784" t="str">
        <v>推案集中於林口、竹北、高雄等地，近年業務拓展至美國西雅圖</v>
      </c>
      <c r="AE784" t="str">
        <f t="array" ref="AE784:AH784">[1]!'6177.TW-CName,InvestorConferenceDate,DateofMeetingofShareHolders,TradingDate'</f>
        <v>達麗</v>
      </c>
      <c r="AF784" t="str">
        <v>2022/12/12</v>
      </c>
      <c r="AG784" t="str">
        <v>2022/06/15</v>
      </c>
      <c r="AH784" t="str">
        <v>2022/12/22</v>
      </c>
    </row>
    <row r="785" spans="1:34" x14ac:dyDescent="0.3">
      <c r="A785" t="str">
        <f t="array" ref="A785:J785">[1]!'9906.TW-ID,Name,MarketValue,Capital,NetIncomeGrowthRate,OperIncomeGrowthRate,FinancialStatementsTime,TFXRatio,MonthlyNetSalesYoY,RevenueMonth'</f>
        <v>9906</v>
      </c>
      <c r="B785" t="str">
        <v>欣巴巴</v>
      </c>
      <c r="C785" t="str">
        <v>36.9</v>
      </c>
      <c r="D785" t="str">
        <v>8.33</v>
      </c>
      <c r="E785" t="str">
        <v>103.28</v>
      </c>
      <c r="F785" t="str">
        <v>181.97</v>
      </c>
      <c r="G785" t="str">
        <v>2022/09</v>
      </c>
      <c r="H785" t="str">
        <v>31.55</v>
      </c>
      <c r="I785" t="str">
        <v>-68.35</v>
      </c>
      <c r="J785" t="str">
        <v>2022/11</v>
      </c>
      <c r="K785" t="str">
        <f t="array" ref="K785:T785">[1]!'9906.TW-OperatingProfitRatio,Price,PriceChangeRatio,InOutRatioNumber,Value,YearReturn,MonthReturn,WeekReturn,FinanceBalanceDif,ChipsField2'</f>
        <v>20.93</v>
      </c>
      <c r="L785">
        <v>44.25</v>
      </c>
      <c r="M785">
        <v>0.11</v>
      </c>
      <c r="N785" t="str">
        <v>60.00%</v>
      </c>
      <c r="O785" t="str">
        <v>44.3萬</v>
      </c>
      <c r="P785" t="str">
        <v>-32.86</v>
      </c>
      <c r="Q785" t="str">
        <v>-1.78</v>
      </c>
      <c r="R785" t="str">
        <v>-0.78</v>
      </c>
      <c r="S785">
        <v>-1</v>
      </c>
      <c r="T785">
        <v>0</v>
      </c>
      <c r="U785">
        <f t="array" ref="U785:AD785">[1]!'9906.TW-ChipsField3,ChipsField1,ChipsField25,CashAndStockDividend,CashDividendYieldRate,ProfitFourSeason,ProfitSingle,CName,ExchangeIndustry,CompanyPos'</f>
        <v>0</v>
      </c>
      <c r="V785">
        <v>0</v>
      </c>
      <c r="W785" t="str">
        <v>2022/09/07</v>
      </c>
      <c r="X785" t="str">
        <v>0.66</v>
      </c>
      <c r="Y785">
        <v>1.49</v>
      </c>
      <c r="Z785" t="str">
        <v>5.71</v>
      </c>
      <c r="AA785" t="str">
        <v>0.59</v>
      </c>
      <c r="AB785" t="str">
        <v>欣巴巴</v>
      </c>
      <c r="AC785" t="str">
        <v>上市建材營造</v>
      </c>
      <c r="AD785" t="str">
        <v>高雄巴巴集團旗下建商</v>
      </c>
      <c r="AE785" t="str">
        <f t="array" ref="AE785:AH785">[1]!'9906.TW-CName,InvestorConferenceDate,DateofMeetingofShareHolders,TradingDate'</f>
        <v>欣巴巴</v>
      </c>
      <c r="AF785" t="str">
        <v>2022/12/28</v>
      </c>
      <c r="AG785" t="str">
        <v>2022/06/14</v>
      </c>
      <c r="AH785" t="str">
        <v>2022/12/22</v>
      </c>
    </row>
    <row r="786" spans="1:34" x14ac:dyDescent="0.3">
      <c r="A786" t="str">
        <f t="array" ref="A786:J786">[1]!'9946.TW-ID,Name,MarketValue,Capital,NetIncomeGrowthRate,OperIncomeGrowthRate,FinancialStatementsTime,TFXRatio,MonthlyNetSalesYoY,RevenueMonth'</f>
        <v>9946</v>
      </c>
      <c r="B786" t="str">
        <v>三發地產</v>
      </c>
      <c r="C786" t="str">
        <v>39.8</v>
      </c>
      <c r="D786" t="str">
        <v>32.66</v>
      </c>
      <c r="E786" t="str">
        <v>-34.83</v>
      </c>
      <c r="F786" t="str">
        <v>-11.45</v>
      </c>
      <c r="G786" t="str">
        <v>2022/09</v>
      </c>
      <c r="H786" t="str">
        <v>40.70</v>
      </c>
      <c r="I786" t="str">
        <v>-5.73</v>
      </c>
      <c r="J786" t="str">
        <v>2022/11</v>
      </c>
      <c r="K786" t="str">
        <f t="array" ref="K786:T786">[1]!'9946.TW-OperatingProfitRatio,Price,PriceChangeRatio,InOutRatioNumber,Value,YearReturn,MonthReturn,WeekReturn,FinanceBalanceDif,ChipsField2'</f>
        <v>7.21</v>
      </c>
      <c r="L786">
        <v>12.2</v>
      </c>
      <c r="M786">
        <v>-0.41</v>
      </c>
      <c r="N786" t="str">
        <v>32.14%</v>
      </c>
      <c r="O786" t="str">
        <v>34.1萬</v>
      </c>
      <c r="P786" t="str">
        <v>-13.25</v>
      </c>
      <c r="Q786" t="str">
        <v>+4.27</v>
      </c>
      <c r="R786" t="str">
        <v>-1.61</v>
      </c>
      <c r="S786">
        <v>0</v>
      </c>
      <c r="T786">
        <v>0</v>
      </c>
      <c r="U786">
        <f t="array" ref="U786:AD786">[1]!'9946.TW-ChipsField3,ChipsField1,ChipsField25,CashAndStockDividend,CashDividendYieldRate,ProfitFourSeason,ProfitSingle,CName,ExchangeIndustry,CompanyPos'</f>
        <v>-1</v>
      </c>
      <c r="V786">
        <v>2</v>
      </c>
      <c r="W786" t="str">
        <v>2022/09/21</v>
      </c>
      <c r="X786" t="str">
        <v>0.68</v>
      </c>
      <c r="Y786">
        <v>5.57</v>
      </c>
      <c r="Z786" t="str">
        <v>0.52</v>
      </c>
      <c r="AA786" t="str">
        <v>0.20</v>
      </c>
      <c r="AB786" t="str">
        <v>三發地產</v>
      </c>
      <c r="AC786" t="str">
        <v>上市建材營造</v>
      </c>
      <c r="AD786" t="str">
        <v>高雄名發建設入主，轉型建商</v>
      </c>
      <c r="AE786" t="str">
        <f t="array" ref="AE786:AH786">[1]!'9946.TW-CName,InvestorConferenceDate,DateofMeetingofShareHolders,TradingDate'</f>
        <v>三發地產</v>
      </c>
      <c r="AF786" t="str">
        <v>2022/12/12</v>
      </c>
      <c r="AG786" t="str">
        <v>2022/06/30</v>
      </c>
      <c r="AH786" t="str">
        <v>2022/12/22</v>
      </c>
    </row>
    <row r="787" spans="1:34" x14ac:dyDescent="0.3">
      <c r="A787" t="str">
        <f t="array" ref="A787:J787">[1]!'2208.TW-ID,Name,MarketValue,Capital,NetIncomeGrowthRate,OperIncomeGrowthRate,FinancialStatementsTime,TFXRatio,MonthlyNetSalesYoY,RevenueMonth'</f>
        <v>2208</v>
      </c>
      <c r="B787" t="str">
        <v>台船</v>
      </c>
      <c r="C787" t="str">
        <v>182.6</v>
      </c>
      <c r="D787" t="str">
        <v>93.18</v>
      </c>
      <c r="E787" t="str">
        <v>-21016.66</v>
      </c>
      <c r="F787" t="str">
        <v>-6437.15</v>
      </c>
      <c r="G787" t="str">
        <v>2022/09</v>
      </c>
      <c r="H787" t="str">
        <v>-53.52</v>
      </c>
      <c r="I787" t="str">
        <v>8.46</v>
      </c>
      <c r="J787" t="str">
        <v>2022/11</v>
      </c>
      <c r="K787" t="str">
        <f t="array" ref="K787:T787">[1]!'2208.TW-OperatingProfitRatio,Price,PriceChangeRatio,InOutRatioNumber,Value,YearReturn,MonthReturn,WeekReturn,FinanceBalanceDif,ChipsField2'</f>
        <v>-18.99</v>
      </c>
      <c r="L787">
        <v>19.600000000000001</v>
      </c>
      <c r="M787">
        <v>0.77</v>
      </c>
      <c r="N787" t="str">
        <v>45.75%</v>
      </c>
      <c r="O787" t="str">
        <v>5630萬</v>
      </c>
      <c r="P787" t="str">
        <v>-8.62</v>
      </c>
      <c r="Q787" t="str">
        <v>+12.64</v>
      </c>
      <c r="R787" t="str">
        <v>-0.51</v>
      </c>
      <c r="S787">
        <v>-652</v>
      </c>
      <c r="T787">
        <v>0</v>
      </c>
      <c r="U787">
        <f t="array" ref="U787:AD787">[1]!'2208.TW-ChipsField3,ChipsField1,ChipsField25,CashAndStockDividend,CashDividendYieldRate,ProfitFourSeason,ProfitSingle,CName,ExchangeIndustry,CompanyPos'</f>
        <v>-45</v>
      </c>
      <c r="V787">
        <v>1275</v>
      </c>
      <c r="W787" t="str">
        <v>--</v>
      </c>
      <c r="X787" t="str">
        <v>0.00</v>
      </c>
      <c r="Y787">
        <v>0</v>
      </c>
      <c r="Z787" t="str">
        <v>-2.63</v>
      </c>
      <c r="AA787" t="str">
        <v>-1.39</v>
      </c>
      <c r="AB787" t="str">
        <v>台船</v>
      </c>
      <c r="AC787" t="str">
        <v>上市航運業</v>
      </c>
      <c r="AD787" t="str">
        <v>台灣第一大造船公司</v>
      </c>
      <c r="AE787" t="str">
        <f t="array" ref="AE787:AH787">[1]!'2208.TW-CName,InvestorConferenceDate,DateofMeetingofShareHolders,TradingDate'</f>
        <v>台船</v>
      </c>
      <c r="AF787" t="str">
        <v>2022/08/02</v>
      </c>
      <c r="AG787" t="str">
        <v>2022/06/22</v>
      </c>
      <c r="AH787" t="str">
        <v>2022/12/22</v>
      </c>
    </row>
    <row r="788" spans="1:34" x14ac:dyDescent="0.3">
      <c r="A788" t="str">
        <f t="array" ref="A788:J788">[1]!'2603.TW-ID,Name,MarketValue,Capital,NetIncomeGrowthRate,OperIncomeGrowthRate,FinancialStatementsTime,TFXRatio,MonthlyNetSalesYoY,RevenueMonth'</f>
        <v>2603</v>
      </c>
      <c r="B788" t="str">
        <v>長榮</v>
      </c>
      <c r="C788" t="str">
        <v>3629.7</v>
      </c>
      <c r="D788" t="str">
        <v>211.64</v>
      </c>
      <c r="E788" t="str">
        <v>77.87</v>
      </c>
      <c r="F788" t="str">
        <v>78.02</v>
      </c>
      <c r="G788" t="str">
        <v>2022/09</v>
      </c>
      <c r="H788" t="str">
        <v>-20.93</v>
      </c>
      <c r="I788" t="str">
        <v>-29.29</v>
      </c>
      <c r="J788" t="str">
        <v>2022/11</v>
      </c>
      <c r="K788" t="str">
        <f t="array" ref="K788:T788">[1]!'2603.TW-OperatingProfitRatio,Price,PriceChangeRatio,InOutRatioNumber,Value,YearReturn,MonthReturn,WeekReturn,FinanceBalanceDif,ChipsField2'</f>
        <v>66.24</v>
      </c>
      <c r="L788">
        <v>171.5</v>
      </c>
      <c r="M788">
        <v>4.57</v>
      </c>
      <c r="N788" t="str">
        <v>65.25%</v>
      </c>
      <c r="O788" t="str">
        <v>102億</v>
      </c>
      <c r="P788" t="str">
        <v>-37.21</v>
      </c>
      <c r="Q788" t="str">
        <v>+16.27</v>
      </c>
      <c r="R788" t="str">
        <v>+12.83</v>
      </c>
      <c r="S788">
        <v>353</v>
      </c>
      <c r="T788">
        <v>4319</v>
      </c>
      <c r="U788">
        <f t="array" ref="U788:AD788">[1]!'2603.TW-ChipsField3,ChipsField1,ChipsField25,CashAndStockDividend,CashDividendYieldRate,ProfitFourSeason,ProfitSingle,CName,ExchangeIndustry,CompanyPos'</f>
        <v>-335</v>
      </c>
      <c r="V788">
        <v>2261</v>
      </c>
      <c r="W788" t="str">
        <v>2022/06/29</v>
      </c>
      <c r="X788" t="str">
        <v>18.00</v>
      </c>
      <c r="Y788">
        <v>10.5</v>
      </c>
      <c r="Z788" t="str">
        <v>83.13</v>
      </c>
      <c r="AA788" t="str">
        <v>37.25</v>
      </c>
      <c r="AB788" t="str">
        <v>長榮</v>
      </c>
      <c r="AC788" t="str">
        <v>上市航運業</v>
      </c>
      <c r="AD788" t="str">
        <v>全球前七大貨櫃航商，且為台灣最大</v>
      </c>
      <c r="AE788" t="str">
        <f t="array" ref="AE788:AH788">[1]!'2603.TW-CName,InvestorConferenceDate,DateofMeetingofShareHolders,TradingDate'</f>
        <v>長榮</v>
      </c>
      <c r="AF788" t="str">
        <v>2022/10/14</v>
      </c>
      <c r="AG788" t="str">
        <v>2022/05/30</v>
      </c>
      <c r="AH788" t="str">
        <v>2022/12/22</v>
      </c>
    </row>
    <row r="789" spans="1:34" x14ac:dyDescent="0.3">
      <c r="A789" t="str">
        <f t="array" ref="A789:J789">[1]!'2605.TW-ID,Name,MarketValue,Capital,NetIncomeGrowthRate,OperIncomeGrowthRate,FinancialStatementsTime,TFXRatio,MonthlyNetSalesYoY,RevenueMonth'</f>
        <v>2605</v>
      </c>
      <c r="B789" t="str">
        <v>新興</v>
      </c>
      <c r="C789" t="str">
        <v>125.3</v>
      </c>
      <c r="D789" t="str">
        <v>58.54</v>
      </c>
      <c r="E789" t="str">
        <v>-91.95</v>
      </c>
      <c r="F789" t="str">
        <v>-65.21</v>
      </c>
      <c r="G789" t="str">
        <v>2022/09</v>
      </c>
      <c r="H789" t="str">
        <v>25.07</v>
      </c>
      <c r="I789" t="str">
        <v>-4.82</v>
      </c>
      <c r="J789" t="str">
        <v>2022/11</v>
      </c>
      <c r="K789" t="str">
        <f t="array" ref="K789:T789">[1]!'2605.TW-OperatingProfitRatio,Price,PriceChangeRatio,InOutRatioNumber,Value,YearReturn,MonthReturn,WeekReturn,FinanceBalanceDif,ChipsField2'</f>
        <v>6.81</v>
      </c>
      <c r="L789">
        <v>21.4</v>
      </c>
      <c r="M789">
        <v>4.6500000000000004</v>
      </c>
      <c r="N789" t="str">
        <v>47.30%</v>
      </c>
      <c r="O789" t="str">
        <v>4.54億</v>
      </c>
      <c r="P789" t="str">
        <v>-28.95</v>
      </c>
      <c r="Q789" t="str">
        <v>+15.99</v>
      </c>
      <c r="R789" t="str">
        <v>+7.27</v>
      </c>
      <c r="S789">
        <v>-573</v>
      </c>
      <c r="T789">
        <v>0</v>
      </c>
      <c r="U789">
        <f t="array" ref="U789:AD789">[1]!'2605.TW-ChipsField3,ChipsField1,ChipsField25,CashAndStockDividend,CashDividendYieldRate,ProfitFourSeason,ProfitSingle,CName,ExchangeIndustry,CompanyPos'</f>
        <v>-6</v>
      </c>
      <c r="V789">
        <v>856</v>
      </c>
      <c r="W789" t="str">
        <v>2022/07/25</v>
      </c>
      <c r="X789" t="str">
        <v>1.00</v>
      </c>
      <c r="Y789">
        <v>4.67</v>
      </c>
      <c r="Z789" t="str">
        <v>0.39</v>
      </c>
      <c r="AA789" t="str">
        <v>-0.17</v>
      </c>
      <c r="AB789" t="str">
        <v>新興</v>
      </c>
      <c r="AC789" t="str">
        <v>上市航運業</v>
      </c>
      <c r="AD789" t="str">
        <v>台灣前四大散裝船商</v>
      </c>
      <c r="AE789" t="str">
        <f t="array" ref="AE789:AH789">[1]!'2605.TW-CName,InvestorConferenceDate,DateofMeetingofShareHolders,TradingDate'</f>
        <v>新興</v>
      </c>
      <c r="AF789" t="str">
        <v>2022/12/13</v>
      </c>
      <c r="AG789" t="str">
        <v>2022/06/10</v>
      </c>
      <c r="AH789" t="str">
        <v>2022/12/22</v>
      </c>
    </row>
    <row r="790" spans="1:34" x14ac:dyDescent="0.3">
      <c r="A790" t="str">
        <f t="array" ref="A790:J790">[1]!'2606.TW-ID,Name,MarketValue,Capital,NetIncomeGrowthRate,OperIncomeGrowthRate,FinancialStatementsTime,TFXRatio,MonthlyNetSalesYoY,RevenueMonth'</f>
        <v>2606</v>
      </c>
      <c r="B790" t="str">
        <v>裕民</v>
      </c>
      <c r="C790" t="str">
        <v>438.6</v>
      </c>
      <c r="D790" t="str">
        <v>84.51</v>
      </c>
      <c r="E790" t="str">
        <v>23.83</v>
      </c>
      <c r="F790" t="str">
        <v>64.07</v>
      </c>
      <c r="G790" t="str">
        <v>2022/09</v>
      </c>
      <c r="H790" t="str">
        <v>-16.49</v>
      </c>
      <c r="I790" t="str">
        <v>-34.42</v>
      </c>
      <c r="J790" t="str">
        <v>2022/11</v>
      </c>
      <c r="K790" t="str">
        <f t="array" ref="K790:T790">[1]!'2606.TW-OperatingProfitRatio,Price,PriceChangeRatio,InOutRatioNumber,Value,YearReturn,MonthReturn,WeekReturn,FinanceBalanceDif,ChipsField2'</f>
        <v>33.92</v>
      </c>
      <c r="L790">
        <v>51.9</v>
      </c>
      <c r="M790">
        <v>4.95</v>
      </c>
      <c r="N790" t="str">
        <v>64.57%</v>
      </c>
      <c r="O790" t="str">
        <v>16.9億</v>
      </c>
      <c r="P790" t="str">
        <v>-12.63</v>
      </c>
      <c r="Q790" t="str">
        <v>+24.46</v>
      </c>
      <c r="R790" t="str">
        <v>+7.68</v>
      </c>
      <c r="S790">
        <v>-26</v>
      </c>
      <c r="T790">
        <v>9627</v>
      </c>
      <c r="U790">
        <f t="array" ref="U790:AD790">[1]!'2606.TW-ChipsField3,ChipsField1,ChipsField25,CashAndStockDividend,CashDividendYieldRate,ProfitFourSeason,ProfitSingle,CName,ExchangeIndustry,CompanyPos'</f>
        <v>447</v>
      </c>
      <c r="V790">
        <v>-11543</v>
      </c>
      <c r="W790" t="str">
        <v>2022/06/27</v>
      </c>
      <c r="X790" t="str">
        <v>3.00</v>
      </c>
      <c r="Y790">
        <v>5.78</v>
      </c>
      <c r="Z790" t="str">
        <v>6.67</v>
      </c>
      <c r="AA790" t="str">
        <v>2.18</v>
      </c>
      <c r="AB790" t="str">
        <v>裕民</v>
      </c>
      <c r="AC790" t="str">
        <v>上市航運業</v>
      </c>
      <c r="AD790" t="str">
        <v>台灣最大散裝航運公司之一</v>
      </c>
      <c r="AE790" t="str">
        <f t="array" ref="AE790:AH790">[1]!'2606.TW-CName,InvestorConferenceDate,DateofMeetingofShareHolders,TradingDate'</f>
        <v>裕民</v>
      </c>
      <c r="AF790" t="str">
        <v>2022/12/13</v>
      </c>
      <c r="AG790" t="str">
        <v>2022/06/08</v>
      </c>
      <c r="AH790" t="str">
        <v>2022/12/22</v>
      </c>
    </row>
    <row r="791" spans="1:34" x14ac:dyDescent="0.3">
      <c r="A791" t="str">
        <f t="array" ref="A791:J791">[1]!'2607.TW-ID,Name,MarketValue,Capital,NetIncomeGrowthRate,OperIncomeGrowthRate,FinancialStatementsTime,TFXRatio,MonthlyNetSalesYoY,RevenueMonth'</f>
        <v>2607</v>
      </c>
      <c r="B791" t="str">
        <v>榮運</v>
      </c>
      <c r="C791" t="str">
        <v>306.3</v>
      </c>
      <c r="D791" t="str">
        <v>106.71</v>
      </c>
      <c r="E791" t="str">
        <v>340.82</v>
      </c>
      <c r="F791" t="str">
        <v>447.59</v>
      </c>
      <c r="G791" t="str">
        <v>2022/09</v>
      </c>
      <c r="H791" t="str">
        <v>-3.09</v>
      </c>
      <c r="I791" t="str">
        <v>26.71</v>
      </c>
      <c r="J791" t="str">
        <v>2022/11</v>
      </c>
      <c r="K791" t="str">
        <f t="array" ref="K791:T791">[1]!'2607.TW-OperatingProfitRatio,Price,PriceChangeRatio,InOutRatioNumber,Value,YearReturn,MonthReturn,WeekReturn,FinanceBalanceDif,ChipsField2'</f>
        <v>19.38</v>
      </c>
      <c r="L791">
        <v>28.7</v>
      </c>
      <c r="M791">
        <v>1.41</v>
      </c>
      <c r="N791" t="str">
        <v>51.97%</v>
      </c>
      <c r="O791" t="str">
        <v>4.14億</v>
      </c>
      <c r="P791" t="str">
        <v>+1.02</v>
      </c>
      <c r="Q791" t="str">
        <v>+4.36</v>
      </c>
      <c r="R791" t="str">
        <v>+3.80</v>
      </c>
      <c r="S791">
        <v>9</v>
      </c>
      <c r="T791">
        <v>0</v>
      </c>
      <c r="U791">
        <f t="array" ref="U791:AD791">[1]!'2607.TW-ChipsField3,ChipsField1,ChipsField25,CashAndStockDividend,CashDividendYieldRate,ProfitFourSeason,ProfitSingle,CName,ExchangeIndustry,CompanyPos'</f>
        <v>-172</v>
      </c>
      <c r="V791">
        <v>696</v>
      </c>
      <c r="W791" t="str">
        <v>2022/07/21</v>
      </c>
      <c r="X791" t="str">
        <v>0.40</v>
      </c>
      <c r="Y791">
        <v>1.39</v>
      </c>
      <c r="Z791" t="str">
        <v>3.13</v>
      </c>
      <c r="AA791" t="str">
        <v>0.88</v>
      </c>
      <c r="AB791" t="str">
        <v>榮運</v>
      </c>
      <c r="AC791" t="str">
        <v>上市航運業</v>
      </c>
      <c r="AD791" t="str">
        <v>長榮集團旗之內陸貨櫃運輸及倉儲服務業者</v>
      </c>
      <c r="AE791" t="str">
        <f t="array" ref="AE791:AH791">[1]!'2607.TW-CName,InvestorConferenceDate,DateofMeetingofShareHolders,TradingDate'</f>
        <v>榮運</v>
      </c>
      <c r="AF791" t="str">
        <v>2022/10/14</v>
      </c>
      <c r="AG791" t="str">
        <v>2022/06/14</v>
      </c>
      <c r="AH791" t="str">
        <v>2022/12/22</v>
      </c>
    </row>
    <row r="792" spans="1:34" x14ac:dyDescent="0.3">
      <c r="A792" t="str">
        <f t="array" ref="A792:J792">[1]!'2608.TW-ID,Name,MarketValue,Capital,NetIncomeGrowthRate,OperIncomeGrowthRate,FinancialStatementsTime,TFXRatio,MonthlyNetSalesYoY,RevenueMonth'</f>
        <v>2608</v>
      </c>
      <c r="B792" t="str">
        <v>嘉里大榮</v>
      </c>
      <c r="C792" t="str">
        <v>178.4</v>
      </c>
      <c r="D792" t="str">
        <v>46.70</v>
      </c>
      <c r="E792" t="str">
        <v>-1.81</v>
      </c>
      <c r="F792" t="str">
        <v>-7.94</v>
      </c>
      <c r="G792" t="str">
        <v>2022/09</v>
      </c>
      <c r="H792" t="str">
        <v>8.04</v>
      </c>
      <c r="I792" t="str">
        <v>-9.91</v>
      </c>
      <c r="J792" t="str">
        <v>2022/11</v>
      </c>
      <c r="K792" t="str">
        <f t="array" ref="K792:T792">[1]!'2608.TW-OperatingProfitRatio,Price,PriceChangeRatio,InOutRatioNumber,Value,YearReturn,MonthReturn,WeekReturn,FinanceBalanceDif,ChipsField2'</f>
        <v>12.97</v>
      </c>
      <c r="L792">
        <v>38.200000000000003</v>
      </c>
      <c r="M792">
        <v>1.06</v>
      </c>
      <c r="N792" t="str">
        <v>57.31%</v>
      </c>
      <c r="O792" t="str">
        <v>1663萬</v>
      </c>
      <c r="P792" t="str">
        <v>-10.86</v>
      </c>
      <c r="Q792" t="str">
        <v>+5.23</v>
      </c>
      <c r="R792" t="str">
        <v>+0.66</v>
      </c>
      <c r="S792">
        <v>-59</v>
      </c>
      <c r="T792">
        <v>0</v>
      </c>
      <c r="U792">
        <f t="array" ref="U792:AD792">[1]!'2608.TW-ChipsField3,ChipsField1,ChipsField25,CashAndStockDividend,CashDividendYieldRate,ProfitFourSeason,ProfitSingle,CName,ExchangeIndustry,CompanyPos'</f>
        <v>-9</v>
      </c>
      <c r="V792">
        <v>-34</v>
      </c>
      <c r="W792" t="str">
        <v>2022/07/06</v>
      </c>
      <c r="X792" t="str">
        <v>1.65</v>
      </c>
      <c r="Y792">
        <v>4.32</v>
      </c>
      <c r="Z792" t="str">
        <v>2.88</v>
      </c>
      <c r="AA792" t="str">
        <v>0.65</v>
      </c>
      <c r="AB792" t="str">
        <v>嘉里大榮</v>
      </c>
      <c r="AC792" t="str">
        <v>上市航運業</v>
      </c>
      <c r="AD792" t="str">
        <v>台灣大型物流貨運公司，港資嘉里物流為最大股東</v>
      </c>
      <c r="AE792" t="str">
        <f t="array" ref="AE792:AH792">[1]!'2608.TW-CName,InvestorConferenceDate,DateofMeetingofShareHolders,TradingDate'</f>
        <v>嘉里大榮</v>
      </c>
      <c r="AF792" t="str">
        <v>2021/12/08</v>
      </c>
      <c r="AG792" t="str">
        <v>2022/06/15</v>
      </c>
      <c r="AH792" t="str">
        <v>2022/12/22</v>
      </c>
    </row>
    <row r="793" spans="1:34" x14ac:dyDescent="0.3">
      <c r="A793" t="str">
        <f t="array" ref="A793:J793">[1]!'2609.TW-ID,Name,MarketValue,Capital,NetIncomeGrowthRate,OperIncomeGrowthRate,FinancialStatementsTime,TFXRatio,MonthlyNetSalesYoY,RevenueMonth'</f>
        <v>2609</v>
      </c>
      <c r="B793" t="str">
        <v>陽明</v>
      </c>
      <c r="C793" t="str">
        <v>2374.6</v>
      </c>
      <c r="D793" t="str">
        <v>349.21</v>
      </c>
      <c r="E793" t="str">
        <v>50.95</v>
      </c>
      <c r="F793" t="str">
        <v>50.25</v>
      </c>
      <c r="G793" t="str">
        <v>2022/09</v>
      </c>
      <c r="H793" t="str">
        <v>-18.25</v>
      </c>
      <c r="I793" t="str">
        <v>-43.13</v>
      </c>
      <c r="J793" t="str">
        <v>2022/11</v>
      </c>
      <c r="K793" t="str">
        <f t="array" ref="K793:T793">[1]!'2609.TW-OperatingProfitRatio,Price,PriceChangeRatio,InOutRatioNumber,Value,YearReturn,MonthReturn,WeekReturn,FinanceBalanceDif,ChipsField2'</f>
        <v>63.70</v>
      </c>
      <c r="L793">
        <v>68</v>
      </c>
      <c r="M793">
        <v>3.5</v>
      </c>
      <c r="N793" t="str">
        <v>67.95%</v>
      </c>
      <c r="O793" t="str">
        <v>102億</v>
      </c>
      <c r="P793" t="str">
        <v>-31.98</v>
      </c>
      <c r="Q793" t="str">
        <v>+10.75</v>
      </c>
      <c r="R793" t="str">
        <v>+9.68</v>
      </c>
      <c r="S793">
        <v>349</v>
      </c>
      <c r="T793">
        <v>-21219</v>
      </c>
      <c r="U793">
        <f t="array" ref="U793:AD793">[1]!'2609.TW-ChipsField3,ChipsField1,ChipsField25,CashAndStockDividend,CashDividendYieldRate,ProfitFourSeason,ProfitSingle,CName,ExchangeIndustry,CompanyPos'</f>
        <v>800</v>
      </c>
      <c r="V793">
        <v>34145</v>
      </c>
      <c r="W793" t="str">
        <v>2022/06/27</v>
      </c>
      <c r="X793" t="str">
        <v>20.00</v>
      </c>
      <c r="Y793">
        <v>29.41</v>
      </c>
      <c r="Z793" t="str">
        <v>63.82</v>
      </c>
      <c r="AA793" t="str">
        <v>14.25</v>
      </c>
      <c r="AB793" t="str">
        <v>陽明</v>
      </c>
      <c r="AC793" t="str">
        <v>上市航運業</v>
      </c>
      <c r="AD793" t="str">
        <v>台灣第二大貨櫃海運公司</v>
      </c>
      <c r="AE793" t="str">
        <f t="array" ref="AE793:AH793">[1]!'2609.TW-CName,InvestorConferenceDate,DateofMeetingofShareHolders,TradingDate'</f>
        <v>陽明</v>
      </c>
      <c r="AF793" t="str">
        <v>2022/09/07</v>
      </c>
      <c r="AG793" t="str">
        <v>2022/05/27</v>
      </c>
      <c r="AH793" t="str">
        <v>2022/12/22</v>
      </c>
    </row>
    <row r="794" spans="1:34" x14ac:dyDescent="0.3">
      <c r="A794" t="str">
        <f t="array" ref="A794:J794">[1]!'2610.TW-ID,Name,MarketValue,Capital,NetIncomeGrowthRate,OperIncomeGrowthRate,FinancialStatementsTime,TFXRatio,MonthlyNetSalesYoY,RevenueMonth'</f>
        <v>2610</v>
      </c>
      <c r="B794" t="str">
        <v>華航</v>
      </c>
      <c r="C794" t="str">
        <v>1160.6</v>
      </c>
      <c r="D794" t="str">
        <v>601.35</v>
      </c>
      <c r="E794" t="str">
        <v>186.04</v>
      </c>
      <c r="F794" t="str">
        <v>-10.02</v>
      </c>
      <c r="G794" t="str">
        <v>2022/09</v>
      </c>
      <c r="H794" t="str">
        <v>-1.95</v>
      </c>
      <c r="I794" t="str">
        <v>-20.22</v>
      </c>
      <c r="J794" t="str">
        <v>2022/11</v>
      </c>
      <c r="K794" t="str">
        <f t="array" ref="K794:T794">[1]!'2610.TW-OperatingProfitRatio,Price,PriceChangeRatio,InOutRatioNumber,Value,YearReturn,MonthReturn,WeekReturn,FinanceBalanceDif,ChipsField2'</f>
        <v>3.80</v>
      </c>
      <c r="L794">
        <v>19.3</v>
      </c>
      <c r="M794">
        <v>2.93</v>
      </c>
      <c r="N794" t="str">
        <v>53.59%</v>
      </c>
      <c r="O794" t="str">
        <v>12.1億</v>
      </c>
      <c r="P794" t="str">
        <v>-23.91</v>
      </c>
      <c r="Q794" t="str">
        <v>+13.86</v>
      </c>
      <c r="R794" t="str">
        <v>+0.26</v>
      </c>
      <c r="S794">
        <v>-470</v>
      </c>
      <c r="T794">
        <v>100</v>
      </c>
      <c r="U794">
        <f t="array" ref="U794:AD794">[1]!'2610.TW-ChipsField3,ChipsField1,ChipsField25,CashAndStockDividend,CashDividendYieldRate,ProfitFourSeason,ProfitSingle,CName,ExchangeIndustry,CompanyPos'</f>
        <v>681</v>
      </c>
      <c r="V794">
        <v>6917</v>
      </c>
      <c r="W794" t="str">
        <v>2022/07/06</v>
      </c>
      <c r="X794" t="str">
        <v>0.83</v>
      </c>
      <c r="Y794">
        <v>4.3</v>
      </c>
      <c r="Z794" t="str">
        <v>1.94</v>
      </c>
      <c r="AA794" t="str">
        <v>0.02</v>
      </c>
      <c r="AB794" t="str">
        <v>華航</v>
      </c>
      <c r="AC794" t="str">
        <v>上市航運業</v>
      </c>
      <c r="AD794" t="str">
        <v>台灣前兩大航空公司</v>
      </c>
      <c r="AE794" t="str">
        <f t="array" ref="AE794:AH794">[1]!'2610.TW-CName,InvestorConferenceDate,DateofMeetingofShareHolders,TradingDate'</f>
        <v>華航</v>
      </c>
      <c r="AF794" t="str">
        <v>2021/04/14</v>
      </c>
      <c r="AG794" t="str">
        <v>2022/05/26</v>
      </c>
      <c r="AH794" t="str">
        <v>2022/12/22</v>
      </c>
    </row>
    <row r="795" spans="1:34" x14ac:dyDescent="0.3">
      <c r="A795" t="str">
        <f t="array" ref="A795:J795">[1]!'2611.TW-ID,Name,MarketValue,Capital,NetIncomeGrowthRate,OperIncomeGrowthRate,FinancialStatementsTime,TFXRatio,MonthlyNetSalesYoY,RevenueMonth'</f>
        <v>2611</v>
      </c>
      <c r="B795" t="str">
        <v>志信</v>
      </c>
      <c r="C795" t="str">
        <v>26.7</v>
      </c>
      <c r="D795" t="str">
        <v>18.90</v>
      </c>
      <c r="E795" t="str">
        <v>-193.70</v>
      </c>
      <c r="F795" t="str">
        <v>166.03</v>
      </c>
      <c r="G795" t="str">
        <v>2022/09</v>
      </c>
      <c r="H795" t="str">
        <v>-18.19</v>
      </c>
      <c r="I795" t="str">
        <v>-49.59</v>
      </c>
      <c r="J795" t="str">
        <v>2022/11</v>
      </c>
      <c r="K795" t="str">
        <f t="array" ref="K795:T795">[1]!'2611.TW-OperatingProfitRatio,Price,PriceChangeRatio,InOutRatioNumber,Value,YearReturn,MonthReturn,WeekReturn,FinanceBalanceDif,ChipsField2'</f>
        <v>3.92</v>
      </c>
      <c r="L795">
        <v>14.15</v>
      </c>
      <c r="M795">
        <v>2.91</v>
      </c>
      <c r="N795" t="str">
        <v>67.38%</v>
      </c>
      <c r="O795" t="str">
        <v>1.98億</v>
      </c>
      <c r="P795" t="str">
        <v>-20.50</v>
      </c>
      <c r="Q795" t="str">
        <v>+10.98</v>
      </c>
      <c r="R795" t="str">
        <v>+4.81</v>
      </c>
      <c r="S795">
        <v>73</v>
      </c>
      <c r="T795">
        <v>0</v>
      </c>
      <c r="U795">
        <f t="array" ref="U795:AD795">[1]!'2611.TW-ChipsField3,ChipsField1,ChipsField25,CashAndStockDividend,CashDividendYieldRate,ProfitFourSeason,ProfitSingle,CName,ExchangeIndustry,CompanyPos'</f>
        <v>0</v>
      </c>
      <c r="V795">
        <v>427</v>
      </c>
      <c r="W795" t="str">
        <v>2022/08/04</v>
      </c>
      <c r="X795" t="str">
        <v>2.00</v>
      </c>
      <c r="Y795">
        <v>14.13</v>
      </c>
      <c r="Z795" t="str">
        <v>-1.46</v>
      </c>
      <c r="AA795" t="str">
        <v>0.25</v>
      </c>
      <c r="AB795" t="str">
        <v>志信</v>
      </c>
      <c r="AC795" t="str">
        <v>上市航運業</v>
      </c>
      <c r="AD795" t="str">
        <v>多角化經營陸運、加油站、營建、飯店業務</v>
      </c>
      <c r="AE795" t="str">
        <f t="array" ref="AE795:AH795">[1]!'2611.TW-CName,InvestorConferenceDate,DateofMeetingofShareHolders,TradingDate'</f>
        <v>志信</v>
      </c>
      <c r="AF795" t="str">
        <v>2022/06/08</v>
      </c>
      <c r="AG795" t="str">
        <v>2022/06/24</v>
      </c>
      <c r="AH795" t="str">
        <v>2022/12/22</v>
      </c>
    </row>
    <row r="796" spans="1:34" x14ac:dyDescent="0.3">
      <c r="A796" t="str">
        <f t="array" ref="A796:J796">[1]!'2612.TW-ID,Name,MarketValue,Capital,NetIncomeGrowthRate,OperIncomeGrowthRate,FinancialStatementsTime,TFXRatio,MonthlyNetSalesYoY,RevenueMonth'</f>
        <v>2612</v>
      </c>
      <c r="B796" t="str">
        <v>中航</v>
      </c>
      <c r="C796" t="str">
        <v>88.1</v>
      </c>
      <c r="D796" t="str">
        <v>19.75</v>
      </c>
      <c r="E796" t="str">
        <v>-28.26</v>
      </c>
      <c r="F796" t="str">
        <v>316.75</v>
      </c>
      <c r="G796" t="str">
        <v>2022/09</v>
      </c>
      <c r="H796" t="str">
        <v>-10.94</v>
      </c>
      <c r="I796" t="str">
        <v>-0.38</v>
      </c>
      <c r="J796" t="str">
        <v>2022/11</v>
      </c>
      <c r="K796" t="str">
        <f t="array" ref="K796:T796">[1]!'2612.TW-OperatingProfitRatio,Price,PriceChangeRatio,InOutRatioNumber,Value,YearReturn,MonthReturn,WeekReturn,FinanceBalanceDif,ChipsField2'</f>
        <v>22.20</v>
      </c>
      <c r="L796">
        <v>44.6</v>
      </c>
      <c r="M796">
        <v>9.99</v>
      </c>
      <c r="N796" t="str">
        <v>87.10%</v>
      </c>
      <c r="O796" t="str">
        <v>2.03億</v>
      </c>
      <c r="P796" t="str">
        <v>-22.47</v>
      </c>
      <c r="Q796" t="str">
        <v>+28.90</v>
      </c>
      <c r="R796" t="str">
        <v>+24.93</v>
      </c>
      <c r="S796">
        <v>107</v>
      </c>
      <c r="T796">
        <v>0</v>
      </c>
      <c r="U796">
        <f t="array" ref="U796:AD796">[1]!'2612.TW-ChipsField3,ChipsField1,ChipsField25,CashAndStockDividend,CashDividendYieldRate,ProfitFourSeason,ProfitSingle,CName,ExchangeIndustry,CompanyPos'</f>
        <v>58</v>
      </c>
      <c r="V796">
        <v>1</v>
      </c>
      <c r="W796" t="str">
        <v>2022/07/13</v>
      </c>
      <c r="X796" t="str">
        <v>2.68</v>
      </c>
      <c r="Y796">
        <v>6.01</v>
      </c>
      <c r="Z796" t="str">
        <v>4.15</v>
      </c>
      <c r="AA796" t="str">
        <v>0.97</v>
      </c>
      <c r="AB796" t="str">
        <v>中航</v>
      </c>
      <c r="AC796" t="str">
        <v>上市航運業</v>
      </c>
      <c r="AD796" t="str">
        <v>台灣散裝航運業者，且是具規模的貨櫃運輸業者</v>
      </c>
      <c r="AE796" t="str">
        <f t="array" ref="AE796:AH796">[1]!'2612.TW-CName,InvestorConferenceDate,DateofMeetingofShareHolders,TradingDate'</f>
        <v>中航</v>
      </c>
      <c r="AF796" t="str">
        <v>2022/12/22</v>
      </c>
      <c r="AG796" t="str">
        <v>2022/05/12</v>
      </c>
      <c r="AH796" t="str">
        <v>2022/12/22</v>
      </c>
    </row>
    <row r="797" spans="1:34" x14ac:dyDescent="0.3">
      <c r="A797" t="str">
        <f t="array" ref="A797:J797">[1]!'2613.TW-ID,Name,MarketValue,Capital,NetIncomeGrowthRate,OperIncomeGrowthRate,FinancialStatementsTime,TFXRatio,MonthlyNetSalesYoY,RevenueMonth'</f>
        <v>2613</v>
      </c>
      <c r="B797" t="str">
        <v>中櫃</v>
      </c>
      <c r="C797" t="str">
        <v>34.7</v>
      </c>
      <c r="D797" t="str">
        <v>14.84</v>
      </c>
      <c r="E797" t="str">
        <v>2.42</v>
      </c>
      <c r="F797" t="str">
        <v>19.69</v>
      </c>
      <c r="G797" t="str">
        <v>2022/09</v>
      </c>
      <c r="H797" t="str">
        <v>1.93</v>
      </c>
      <c r="I797" t="str">
        <v>-6.79</v>
      </c>
      <c r="J797" t="str">
        <v>2022/11</v>
      </c>
      <c r="K797" t="str">
        <f t="array" ref="K797:T797">[1]!'2613.TW-OperatingProfitRatio,Price,PriceChangeRatio,InOutRatioNumber,Value,YearReturn,MonthReturn,WeekReturn,FinanceBalanceDif,ChipsField2'</f>
        <v>11.78</v>
      </c>
      <c r="L797">
        <v>23.35</v>
      </c>
      <c r="M797">
        <v>2.19</v>
      </c>
      <c r="N797" t="str">
        <v>52.02%</v>
      </c>
      <c r="O797" t="str">
        <v>1.74億</v>
      </c>
      <c r="P797" t="str">
        <v>-7.94</v>
      </c>
      <c r="Q797" t="str">
        <v>+10.66</v>
      </c>
      <c r="R797" t="str">
        <v>+2.86</v>
      </c>
      <c r="S797">
        <v>77</v>
      </c>
      <c r="T797">
        <v>0</v>
      </c>
      <c r="U797">
        <f t="array" ref="U797:AD797">[1]!'2613.TW-ChipsField3,ChipsField1,ChipsField25,CashAndStockDividend,CashDividendYieldRate,ProfitFourSeason,ProfitSingle,CName,ExchangeIndustry,CompanyPos'</f>
        <v>-1</v>
      </c>
      <c r="V797">
        <v>243</v>
      </c>
      <c r="W797" t="str">
        <v>2022/03/11</v>
      </c>
      <c r="X797" t="str">
        <v>1.65</v>
      </c>
      <c r="Y797">
        <v>7.07</v>
      </c>
      <c r="Z797" t="str">
        <v>1.65</v>
      </c>
      <c r="AA797" t="str">
        <v>0.15</v>
      </c>
      <c r="AB797" t="str">
        <v>中櫃</v>
      </c>
      <c r="AC797" t="str">
        <v>上市航運業</v>
      </c>
      <c r="AD797" t="str">
        <v>在台灣北、中、南擁有貨櫃集散場之公司</v>
      </c>
      <c r="AE797" t="str">
        <f t="array" ref="AE797:AH797">[1]!'2613.TW-CName,InvestorConferenceDate,DateofMeetingofShareHolders,TradingDate'</f>
        <v>中櫃</v>
      </c>
      <c r="AF797" t="str">
        <v>2022/11/23</v>
      </c>
      <c r="AG797" t="str">
        <v>2022/05/27</v>
      </c>
      <c r="AH797" t="str">
        <v>2022/12/22</v>
      </c>
    </row>
    <row r="798" spans="1:34" x14ac:dyDescent="0.3">
      <c r="A798" t="str">
        <f t="array" ref="A798:J798">[1]!'2615.TW-ID,Name,MarketValue,Capital,NetIncomeGrowthRate,OperIncomeGrowthRate,FinancialStatementsTime,TFXRatio,MonthlyNetSalesYoY,RevenueMonth'</f>
        <v>2615</v>
      </c>
      <c r="B798" t="str">
        <v>萬海</v>
      </c>
      <c r="C798" t="str">
        <v>2447.0</v>
      </c>
      <c r="D798" t="str">
        <v>280.61</v>
      </c>
      <c r="E798" t="str">
        <v>34.41</v>
      </c>
      <c r="F798" t="str">
        <v>35.08</v>
      </c>
      <c r="G798" t="str">
        <v>2022/09</v>
      </c>
      <c r="H798" t="str">
        <v>-13.34</v>
      </c>
      <c r="I798" t="str">
        <v>-43.27</v>
      </c>
      <c r="J798" t="str">
        <v>2022/11</v>
      </c>
      <c r="K798" t="str">
        <f t="array" ref="K798:T798">[1]!'2615.TW-OperatingProfitRatio,Price,PriceChangeRatio,InOutRatioNumber,Value,YearReturn,MonthReturn,WeekReturn,FinanceBalanceDif,ChipsField2'</f>
        <v>51.62</v>
      </c>
      <c r="L798">
        <v>87.2</v>
      </c>
      <c r="M798">
        <v>9.27</v>
      </c>
      <c r="N798" t="str">
        <v>55.67%</v>
      </c>
      <c r="O798" t="str">
        <v>75.4億</v>
      </c>
      <c r="P798" t="str">
        <v>-47.33</v>
      </c>
      <c r="Q798" t="str">
        <v>+25.47</v>
      </c>
      <c r="R798" t="str">
        <v>+23.34</v>
      </c>
      <c r="S798">
        <v>354</v>
      </c>
      <c r="T798">
        <v>879</v>
      </c>
      <c r="U798">
        <f t="array" ref="U798:AD798">[1]!'2615.TW-ChipsField3,ChipsField1,ChipsField25,CashAndStockDividend,CashDividendYieldRate,ProfitFourSeason,ProfitSingle,CName,ExchangeIndustry,CompanyPos'</f>
        <v>805</v>
      </c>
      <c r="V798">
        <v>-1744</v>
      </c>
      <c r="W798" t="str">
        <v>2022/07/20</v>
      </c>
      <c r="X798" t="str">
        <v>12.00</v>
      </c>
      <c r="Y798">
        <v>13.76</v>
      </c>
      <c r="Z798" t="str">
        <v>48.50</v>
      </c>
      <c r="AA798" t="str">
        <v>7.97</v>
      </c>
      <c r="AB798" t="str">
        <v>萬海</v>
      </c>
      <c r="AC798" t="str">
        <v>上市航運業</v>
      </c>
      <c r="AD798" t="str">
        <v>亞洲大型貨櫃輪航商</v>
      </c>
      <c r="AE798" t="str">
        <f t="array" ref="AE798:AH798">[1]!'2615.TW-CName,InvestorConferenceDate,DateofMeetingofShareHolders,TradingDate'</f>
        <v>萬海</v>
      </c>
      <c r="AF798" t="str">
        <v>2022/12/16</v>
      </c>
      <c r="AG798" t="str">
        <v>2022/05/26</v>
      </c>
      <c r="AH798" t="str">
        <v>2022/12/22</v>
      </c>
    </row>
    <row r="799" spans="1:34" x14ac:dyDescent="0.3">
      <c r="A799" t="str">
        <f t="array" ref="A799:J799">[1]!'2617.TW-ID,Name,MarketValue,Capital,NetIncomeGrowthRate,OperIncomeGrowthRate,FinancialStatementsTime,TFXRatio,MonthlyNetSalesYoY,RevenueMonth'</f>
        <v>2617</v>
      </c>
      <c r="B799" t="str">
        <v>台航</v>
      </c>
      <c r="C799" t="str">
        <v>115.2</v>
      </c>
      <c r="D799" t="str">
        <v>41.73</v>
      </c>
      <c r="E799" t="str">
        <v>79.61</v>
      </c>
      <c r="F799" t="str">
        <v>7.16</v>
      </c>
      <c r="G799" t="str">
        <v>2022/09</v>
      </c>
      <c r="H799" t="str">
        <v>2.55</v>
      </c>
      <c r="I799" t="str">
        <v>21.85</v>
      </c>
      <c r="J799" t="str">
        <v>2022/11</v>
      </c>
      <c r="K799" t="str">
        <f t="array" ref="K799:T799">[1]!'2617.TW-OperatingProfitRatio,Price,PriceChangeRatio,InOutRatioNumber,Value,YearReturn,MonthReturn,WeekReturn,FinanceBalanceDif,ChipsField2'</f>
        <v>30.48</v>
      </c>
      <c r="L799">
        <v>27.6</v>
      </c>
      <c r="M799">
        <v>2.2200000000000002</v>
      </c>
      <c r="N799" t="str">
        <v>46.84%</v>
      </c>
      <c r="O799" t="str">
        <v>2.56億</v>
      </c>
      <c r="P799" t="str">
        <v>-22.38</v>
      </c>
      <c r="Q799" t="str">
        <v>+10.84</v>
      </c>
      <c r="R799" t="str">
        <v>+4.94</v>
      </c>
      <c r="S799">
        <v>-65</v>
      </c>
      <c r="T799">
        <v>0</v>
      </c>
      <c r="U799">
        <f t="array" ref="U799:AD799">[1]!'2617.TW-ChipsField3,ChipsField1,ChipsField25,CashAndStockDividend,CashDividendYieldRate,ProfitFourSeason,ProfitSingle,CName,ExchangeIndustry,CompanyPos'</f>
        <v>1</v>
      </c>
      <c r="V799">
        <v>558</v>
      </c>
      <c r="W799" t="str">
        <v>2022/07/14</v>
      </c>
      <c r="X799" t="str">
        <v>2.00</v>
      </c>
      <c r="Y799">
        <v>7.25</v>
      </c>
      <c r="Z799" t="str">
        <v>4.88</v>
      </c>
      <c r="AA799" t="str">
        <v>0.75</v>
      </c>
      <c r="AB799" t="str">
        <v>台航</v>
      </c>
      <c r="AC799" t="str">
        <v>上市航運業</v>
      </c>
      <c r="AD799" t="str">
        <v>大股東為中航之散裝航運業者</v>
      </c>
      <c r="AE799" t="str">
        <f t="array" ref="AE799:AH799">[1]!'2617.TW-CName,InvestorConferenceDate,DateofMeetingofShareHolders,TradingDate'</f>
        <v>台航</v>
      </c>
      <c r="AF799" t="str">
        <v>2021/11/12</v>
      </c>
      <c r="AG799" t="str">
        <v>2022/06/15</v>
      </c>
      <c r="AH799" t="str">
        <v>2022/12/22</v>
      </c>
    </row>
    <row r="800" spans="1:34" x14ac:dyDescent="0.3">
      <c r="A800" t="str">
        <f t="array" ref="A800:J800">[1]!'2618.TW-ID,Name,MarketValue,Capital,NetIncomeGrowthRate,OperIncomeGrowthRate,FinancialStatementsTime,TFXRatio,MonthlyNetSalesYoY,RevenueMonth'</f>
        <v>2618</v>
      </c>
      <c r="B800" t="str">
        <v>長榮航</v>
      </c>
      <c r="C800" t="str">
        <v>1537.8</v>
      </c>
      <c r="D800" t="str">
        <v>535.81</v>
      </c>
      <c r="E800" t="str">
        <v>1279.75</v>
      </c>
      <c r="F800" t="str">
        <v>487.68</v>
      </c>
      <c r="G800" t="str">
        <v>2022/09</v>
      </c>
      <c r="H800" t="str">
        <v>7.10</v>
      </c>
      <c r="I800" t="str">
        <v>11.61</v>
      </c>
      <c r="J800" t="str">
        <v>2022/11</v>
      </c>
      <c r="K800" t="str">
        <f t="array" ref="K800:T800">[1]!'2618.TW-OperatingProfitRatio,Price,PriceChangeRatio,InOutRatioNumber,Value,YearReturn,MonthReturn,WeekReturn,FinanceBalanceDif,ChipsField2'</f>
        <v>8.04</v>
      </c>
      <c r="L800">
        <v>28.7</v>
      </c>
      <c r="M800">
        <v>3.8</v>
      </c>
      <c r="N800" t="str">
        <v>67.39%</v>
      </c>
      <c r="O800" t="str">
        <v>18.8億</v>
      </c>
      <c r="P800" t="str">
        <v>+9.40</v>
      </c>
      <c r="Q800" t="str">
        <v>+11.46</v>
      </c>
      <c r="R800" t="str">
        <v>+1.77</v>
      </c>
      <c r="S800">
        <v>-489</v>
      </c>
      <c r="T800">
        <v>0</v>
      </c>
      <c r="U800">
        <f t="array" ref="U800:AD800">[1]!'2618.TW-ChipsField3,ChipsField1,ChipsField25,CashAndStockDividend,CashDividendYieldRate,ProfitFourSeason,ProfitSingle,CName,ExchangeIndustry,CompanyPos'</f>
        <v>-62</v>
      </c>
      <c r="V800">
        <v>7196</v>
      </c>
      <c r="W800" t="str">
        <v>2022/08/04</v>
      </c>
      <c r="X800" t="str">
        <v>0.59</v>
      </c>
      <c r="Y800">
        <v>2.06</v>
      </c>
      <c r="Z800" t="str">
        <v>2.59</v>
      </c>
      <c r="AA800" t="str">
        <v>0.23</v>
      </c>
      <c r="AB800" t="str">
        <v>長榮航</v>
      </c>
      <c r="AC800" t="str">
        <v>上市航運業</v>
      </c>
      <c r="AD800" t="str">
        <v>台灣前兩大航空公司</v>
      </c>
      <c r="AE800" t="str">
        <f t="array" ref="AE800:AH800">[1]!'2618.TW-CName,InvestorConferenceDate,DateofMeetingofShareHolders,TradingDate'</f>
        <v>長榮航</v>
      </c>
      <c r="AF800" t="str">
        <v>2022/11/23</v>
      </c>
      <c r="AG800" t="str">
        <v>2022/05/31</v>
      </c>
      <c r="AH800" t="str">
        <v>2022/12/22</v>
      </c>
    </row>
    <row r="801" spans="1:34" x14ac:dyDescent="0.3">
      <c r="A801" t="str">
        <f t="array" ref="A801:J801">[1]!'2630.TW-ID,Name,MarketValue,Capital,NetIncomeGrowthRate,OperIncomeGrowthRate,FinancialStatementsTime,TFXRatio,MonthlyNetSalesYoY,RevenueMonth'</f>
        <v>2630</v>
      </c>
      <c r="B801" t="str">
        <v>亞航</v>
      </c>
      <c r="C801" t="str">
        <v>27.5</v>
      </c>
      <c r="D801" t="str">
        <v>16.20</v>
      </c>
      <c r="E801" t="str">
        <v>-85.31</v>
      </c>
      <c r="F801" t="str">
        <v>263.62</v>
      </c>
      <c r="G801" t="str">
        <v>2022/09</v>
      </c>
      <c r="H801" t="str">
        <v>0.45</v>
      </c>
      <c r="I801" t="str">
        <v>0.03</v>
      </c>
      <c r="J801" t="str">
        <v>2022/11</v>
      </c>
      <c r="K801" t="str">
        <f t="array" ref="K801:T801">[1]!'2630.TW-OperatingProfitRatio,Price,PriceChangeRatio,InOutRatioNumber,Value,YearReturn,MonthReturn,WeekReturn,FinanceBalanceDif,ChipsField2'</f>
        <v>0.61</v>
      </c>
      <c r="L801">
        <v>17</v>
      </c>
      <c r="M801">
        <v>0.59</v>
      </c>
      <c r="N801" t="str">
        <v>30.26%</v>
      </c>
      <c r="O801" t="str">
        <v>129萬</v>
      </c>
      <c r="P801" t="str">
        <v>-1.24</v>
      </c>
      <c r="Q801" t="str">
        <v>+1.19</v>
      </c>
      <c r="R801" t="str">
        <v>-0.58</v>
      </c>
      <c r="S801">
        <v>0</v>
      </c>
      <c r="T801">
        <v>0</v>
      </c>
      <c r="U801">
        <f t="array" ref="U801:AD801">[1]!'2630.TW-ChipsField3,ChipsField1,ChipsField25,CashAndStockDividend,CashDividendYieldRate,ProfitFourSeason,ProfitSingle,CName,ExchangeIndustry,CompanyPos'</f>
        <v>0</v>
      </c>
      <c r="V801">
        <v>0</v>
      </c>
      <c r="W801" t="str">
        <v>2022/04/14</v>
      </c>
      <c r="X801" t="str">
        <v>1.00</v>
      </c>
      <c r="Y801">
        <v>5.88</v>
      </c>
      <c r="Z801" t="str">
        <v>0.17</v>
      </c>
      <c r="AA801" t="str">
        <v>0.04</v>
      </c>
      <c r="AB801" t="str">
        <v>亞航</v>
      </c>
      <c r="AC801" t="str">
        <v>上市航運業</v>
      </c>
      <c r="AD801" t="str">
        <v>台灣專業航空器修護公司</v>
      </c>
      <c r="AE801" t="str">
        <f t="array" ref="AE801:AH801">[1]!'2630.TW-CName,InvestorConferenceDate,DateofMeetingofShareHolders,TradingDate'</f>
        <v>亞航</v>
      </c>
      <c r="AF801" t="str">
        <v>2022/08/24</v>
      </c>
      <c r="AG801" t="str">
        <v>2022/06/15</v>
      </c>
      <c r="AH801" t="str">
        <v>2022/12/22</v>
      </c>
    </row>
    <row r="802" spans="1:34" x14ac:dyDescent="0.3">
      <c r="A802" t="str">
        <f t="array" ref="A802:J802">[1]!'2633.TW-ID,Name,MarketValue,Capital,NetIncomeGrowthRate,OperIncomeGrowthRate,FinancialStatementsTime,TFXRatio,MonthlyNetSalesYoY,RevenueMonth'</f>
        <v>2633</v>
      </c>
      <c r="B802" t="str">
        <v>台灣高鐵</v>
      </c>
      <c r="C802" t="str">
        <v>759.6</v>
      </c>
      <c r="D802" t="str">
        <v>562.83</v>
      </c>
      <c r="E802" t="str">
        <v>-20.76</v>
      </c>
      <c r="F802" t="str">
        <v>1039.89</v>
      </c>
      <c r="G802" t="str">
        <v>2022/09</v>
      </c>
      <c r="H802" t="str">
        <v>1.51</v>
      </c>
      <c r="I802" t="str">
        <v>22.33</v>
      </c>
      <c r="J802" t="str">
        <v>2022/11</v>
      </c>
      <c r="K802" t="str">
        <f t="array" ref="K802:T802">[1]!'2633.TW-OperatingProfitRatio,Price,PriceChangeRatio,InOutRatioNumber,Value,YearReturn,MonthReturn,WeekReturn,FinanceBalanceDif,ChipsField2'</f>
        <v>20.68</v>
      </c>
      <c r="L802">
        <v>28.9</v>
      </c>
      <c r="M802">
        <v>0.52</v>
      </c>
      <c r="N802" t="str">
        <v>50.73%</v>
      </c>
      <c r="O802" t="str">
        <v>8038萬</v>
      </c>
      <c r="P802" t="str">
        <v>+1.20</v>
      </c>
      <c r="Q802" t="str">
        <v>+3.58</v>
      </c>
      <c r="R802" t="str">
        <v>-0.17</v>
      </c>
      <c r="S802">
        <v>263</v>
      </c>
      <c r="T802">
        <v>-2262</v>
      </c>
      <c r="U802">
        <f t="array" ref="U802:AD802">[1]!'2633.TW-ChipsField3,ChipsField1,ChipsField25,CashAndStockDividend,CashDividendYieldRate,ProfitFourSeason,ProfitSingle,CName,ExchangeIndustry,CompanyPos'</f>
        <v>-73</v>
      </c>
      <c r="V802">
        <v>2092</v>
      </c>
      <c r="W802" t="str">
        <v>2022/07/06</v>
      </c>
      <c r="X802" t="str">
        <v>0.76</v>
      </c>
      <c r="Y802">
        <v>2.63</v>
      </c>
      <c r="Z802" t="str">
        <v>0.54</v>
      </c>
      <c r="AA802" t="str">
        <v>0.23</v>
      </c>
      <c r="AB802" t="str">
        <v>台灣高鐵</v>
      </c>
      <c r="AC802" t="str">
        <v>上市航運業</v>
      </c>
      <c r="AD802" t="str">
        <v>台灣高速鐵路運輸服務公司</v>
      </c>
      <c r="AE802" t="str">
        <f t="array" ref="AE802:AH802">[1]!'2633.TW-CName,InvestorConferenceDate,DateofMeetingofShareHolders,TradingDate'</f>
        <v>台灣高鐵</v>
      </c>
      <c r="AF802" t="str">
        <v>2022/12/06</v>
      </c>
      <c r="AG802" t="str">
        <v>2022/05/26</v>
      </c>
      <c r="AH802" t="str">
        <v>2022/12/22</v>
      </c>
    </row>
    <row r="803" spans="1:34" x14ac:dyDescent="0.3">
      <c r="A803" t="str">
        <f t="array" ref="A803:J803">[1]!'2634.TW-ID,Name,MarketValue,Capital,NetIncomeGrowthRate,OperIncomeGrowthRate,FinancialStatementsTime,TFXRatio,MonthlyNetSalesYoY,RevenueMonth'</f>
        <v>2634</v>
      </c>
      <c r="B803" t="str">
        <v>漢翔</v>
      </c>
      <c r="C803" t="str">
        <v>315.5</v>
      </c>
      <c r="D803" t="str">
        <v>94.19</v>
      </c>
      <c r="E803" t="str">
        <v>269.47</v>
      </c>
      <c r="F803" t="str">
        <v>1083.52</v>
      </c>
      <c r="G803" t="str">
        <v>2022/09</v>
      </c>
      <c r="H803" t="str">
        <v>12.83</v>
      </c>
      <c r="I803" t="str">
        <v>44.97</v>
      </c>
      <c r="J803" t="str">
        <v>2022/11</v>
      </c>
      <c r="K803" t="str">
        <f t="array" ref="K803:T803">[1]!'2634.TW-OperatingProfitRatio,Price,PriceChangeRatio,InOutRatioNumber,Value,YearReturn,MonthReturn,WeekReturn,FinanceBalanceDif,ChipsField2'</f>
        <v>4.82</v>
      </c>
      <c r="L803">
        <v>33.5</v>
      </c>
      <c r="M803">
        <v>0.75</v>
      </c>
      <c r="N803" t="str">
        <v>48.12%</v>
      </c>
      <c r="O803" t="str">
        <v>1.68億</v>
      </c>
      <c r="P803" t="str">
        <v>+16.30</v>
      </c>
      <c r="Q803" t="str">
        <v>+8.41</v>
      </c>
      <c r="R803" t="str">
        <v>-4.29</v>
      </c>
      <c r="S803">
        <v>-1205</v>
      </c>
      <c r="T803">
        <v>150</v>
      </c>
      <c r="U803">
        <f t="array" ref="U803:AD803">[1]!'2634.TW-ChipsField3,ChipsField1,ChipsField25,CashAndStockDividend,CashDividendYieldRate,ProfitFourSeason,ProfitSingle,CName,ExchangeIndustry,CompanyPos'</f>
        <v>-292</v>
      </c>
      <c r="V803">
        <v>497</v>
      </c>
      <c r="W803" t="str">
        <v>2022/07/12</v>
      </c>
      <c r="X803" t="str">
        <v>0.35</v>
      </c>
      <c r="Y803">
        <v>1.04</v>
      </c>
      <c r="Z803" t="str">
        <v>1.66</v>
      </c>
      <c r="AA803" t="str">
        <v>0.61</v>
      </c>
      <c r="AB803" t="str">
        <v>漢翔</v>
      </c>
      <c r="AC803" t="str">
        <v>上市航運業</v>
      </c>
      <c r="AD803" t="str">
        <v>從軍用戰機生產商轉型為飛機發動機機匣生產商</v>
      </c>
      <c r="AE803" t="str">
        <f t="array" ref="AE803:AH803">[1]!'2634.TW-CName,InvestorConferenceDate,DateofMeetingofShareHolders,TradingDate'</f>
        <v>漢翔</v>
      </c>
      <c r="AF803" t="str">
        <v>2022/12/07</v>
      </c>
      <c r="AG803" t="str">
        <v>2022/05/27</v>
      </c>
      <c r="AH803" t="str">
        <v>2022/12/22</v>
      </c>
    </row>
    <row r="804" spans="1:34" x14ac:dyDescent="0.3">
      <c r="A804" t="str">
        <f t="array" ref="A804:J804">[1]!'2636.TW-ID,Name,MarketValue,Capital,NetIncomeGrowthRate,OperIncomeGrowthRate,FinancialStatementsTime,TFXRatio,MonthlyNetSalesYoY,RevenueMonth'</f>
        <v>2636</v>
      </c>
      <c r="B804" t="str">
        <v>台驊投控</v>
      </c>
      <c r="C804" t="str">
        <v>110.4</v>
      </c>
      <c r="D804" t="str">
        <v>14.34</v>
      </c>
      <c r="E804" t="str">
        <v>-13.71</v>
      </c>
      <c r="F804" t="str">
        <v>-20.06</v>
      </c>
      <c r="G804" t="str">
        <v>2022/09</v>
      </c>
      <c r="H804" t="str">
        <v>-10.78</v>
      </c>
      <c r="I804" t="str">
        <v>-61.63</v>
      </c>
      <c r="J804" t="str">
        <v>2022/11</v>
      </c>
      <c r="K804" t="str">
        <f t="array" ref="K804:T804">[1]!'2636.TW-OperatingProfitRatio,Price,PriceChangeRatio,InOutRatioNumber,Value,YearReturn,MonthReturn,WeekReturn,FinanceBalanceDif,ChipsField2'</f>
        <v>9.81</v>
      </c>
      <c r="L804">
        <v>77</v>
      </c>
      <c r="M804">
        <v>2.5299999999999998</v>
      </c>
      <c r="N804" t="str">
        <v>49.54%</v>
      </c>
      <c r="O804" t="str">
        <v>3.22億</v>
      </c>
      <c r="P804" t="str">
        <v>-38.82</v>
      </c>
      <c r="Q804" t="str">
        <v>+7.09</v>
      </c>
      <c r="R804" t="str">
        <v>+7.84</v>
      </c>
      <c r="S804">
        <v>51</v>
      </c>
      <c r="T804">
        <v>0</v>
      </c>
      <c r="U804">
        <f t="array" ref="U804:AD804">[1]!'2636.TW-ChipsField3,ChipsField1,ChipsField25,CashAndStockDividend,CashDividendYieldRate,ProfitFourSeason,ProfitSingle,CName,ExchangeIndustry,CompanyPos'</f>
        <v>-47</v>
      </c>
      <c r="V804">
        <v>103</v>
      </c>
      <c r="W804" t="str">
        <v>2023/01/04</v>
      </c>
      <c r="X804" t="str">
        <v>5.18</v>
      </c>
      <c r="Y804">
        <v>16.88</v>
      </c>
      <c r="Z804" t="str">
        <v>25.25</v>
      </c>
      <c r="AA804" t="str">
        <v>3.04</v>
      </c>
      <c r="AB804" t="str">
        <v>台驊</v>
      </c>
      <c r="AC804" t="str">
        <v>上市航運業</v>
      </c>
      <c r="AD804" t="str">
        <v>台灣第一家海運承攬上市公司，並轉型為物流控股公司</v>
      </c>
      <c r="AE804" t="str">
        <f t="array" ref="AE804:AH804">[1]!'2636.TW-CName,InvestorConferenceDate,DateofMeetingofShareHolders,TradingDate'</f>
        <v>台驊</v>
      </c>
      <c r="AF804" t="str">
        <v>2022/11/30</v>
      </c>
      <c r="AG804" t="str">
        <v>2022/05/24</v>
      </c>
      <c r="AH804" t="str">
        <v>2022/12/22</v>
      </c>
    </row>
    <row r="805" spans="1:34" x14ac:dyDescent="0.3">
      <c r="A805" t="str">
        <f t="array" ref="A805:J805">[1]!'2637.TW-ID,Name,MarketValue,Capital,NetIncomeGrowthRate,OperIncomeGrowthRate,FinancialStatementsTime,TFXRatio,MonthlyNetSalesYoY,RevenueMonth'</f>
        <v>2637</v>
      </c>
      <c r="B805" t="str">
        <v>慧洋-KY</v>
      </c>
      <c r="C805" t="str">
        <v>500.1</v>
      </c>
      <c r="D805" t="str">
        <v>76.37</v>
      </c>
      <c r="E805" t="str">
        <v>85.00</v>
      </c>
      <c r="F805" t="str">
        <v>93.88</v>
      </c>
      <c r="G805" t="str">
        <v>2022/09</v>
      </c>
      <c r="H805" t="str">
        <v>-12.04</v>
      </c>
      <c r="I805" t="str">
        <v>-15.58</v>
      </c>
      <c r="J805" t="str">
        <v>2022/11</v>
      </c>
      <c r="K805" t="str">
        <f t="array" ref="K805:T805">[1]!'2637.TW-OperatingProfitRatio,Price,PriceChangeRatio,InOutRatioNumber,Value,YearReturn,MonthReturn,WeekReturn,FinanceBalanceDif,ChipsField2'</f>
        <v>49.84</v>
      </c>
      <c r="L805">
        <v>67</v>
      </c>
      <c r="M805">
        <v>3.4</v>
      </c>
      <c r="N805" t="str">
        <v>56.01%</v>
      </c>
      <c r="O805" t="str">
        <v>32.6億</v>
      </c>
      <c r="P805" t="str">
        <v>-15.30</v>
      </c>
      <c r="Q805" t="str">
        <v>+18.79</v>
      </c>
      <c r="R805" t="str">
        <v>+13.95</v>
      </c>
      <c r="S805">
        <v>819</v>
      </c>
      <c r="T805">
        <v>10404</v>
      </c>
      <c r="U805">
        <f t="array" ref="U805:AD805">[1]!'2637.TW-ChipsField3,ChipsField1,ChipsField25,CashAndStockDividend,CashDividendYieldRate,ProfitFourSeason,ProfitSingle,CName,ExchangeIndustry,CompanyPos'</f>
        <v>405</v>
      </c>
      <c r="V805">
        <v>-13176</v>
      </c>
      <c r="W805" t="str">
        <v>2022/06/08</v>
      </c>
      <c r="X805" t="str">
        <v>5.50</v>
      </c>
      <c r="Y805">
        <v>8.2100000000000009</v>
      </c>
      <c r="Z805" t="str">
        <v>16.89</v>
      </c>
      <c r="AA805" t="str">
        <v>3.42</v>
      </c>
      <c r="AB805" t="str">
        <v>慧洋-KY</v>
      </c>
      <c r="AC805" t="str">
        <v>上市航運業</v>
      </c>
      <c r="AD805" t="str">
        <v>台灣具規模的散裝船隊船東之一</v>
      </c>
      <c r="AE805" t="str">
        <f t="array" ref="AE805:AH805">[1]!'2637.TW-CName,InvestorConferenceDate,DateofMeetingofShareHolders,TradingDate'</f>
        <v>慧洋-KY</v>
      </c>
      <c r="AF805" t="str">
        <v>2022/09/06</v>
      </c>
      <c r="AG805" t="str">
        <v>2022/05/20</v>
      </c>
      <c r="AH805" t="str">
        <v>2022/12/22</v>
      </c>
    </row>
    <row r="806" spans="1:34" x14ac:dyDescent="0.3">
      <c r="A806" t="str">
        <f t="array" ref="A806:J806">[1]!'2642.TW-ID,Name,MarketValue,Capital,NetIncomeGrowthRate,OperIncomeGrowthRate,FinancialStatementsTime,TFXRatio,MonthlyNetSalesYoY,RevenueMonth'</f>
        <v>2642</v>
      </c>
      <c r="B806" t="str">
        <v>宅配通</v>
      </c>
      <c r="C806" t="str">
        <v>49.2</v>
      </c>
      <c r="D806" t="str">
        <v>9.55</v>
      </c>
      <c r="E806" t="str">
        <v>-29.15</v>
      </c>
      <c r="F806" t="str">
        <v>-31.21</v>
      </c>
      <c r="G806" t="str">
        <v>2022/09</v>
      </c>
      <c r="H806" t="str">
        <v>16.71</v>
      </c>
      <c r="I806" t="str">
        <v>-3.50</v>
      </c>
      <c r="J806" t="str">
        <v>2022/11</v>
      </c>
      <c r="K806" t="str">
        <f t="array" ref="K806:T806">[1]!'2642.TW-OperatingProfitRatio,Price,PriceChangeRatio,InOutRatioNumber,Value,YearReturn,MonthReturn,WeekReturn,FinanceBalanceDif,ChipsField2'</f>
        <v>4.66</v>
      </c>
      <c r="L806">
        <v>51.5</v>
      </c>
      <c r="M806">
        <v>-2.65</v>
      </c>
      <c r="N806" t="str">
        <v>31.00%</v>
      </c>
      <c r="O806" t="str">
        <v>6310萬</v>
      </c>
      <c r="P806" t="str">
        <v>-27.88</v>
      </c>
      <c r="Q806" t="str">
        <v>+17.58</v>
      </c>
      <c r="R806" t="str">
        <v>+9.57</v>
      </c>
      <c r="S806">
        <v>-3</v>
      </c>
      <c r="T806">
        <v>0</v>
      </c>
      <c r="U806">
        <f t="array" ref="U806:AD806">[1]!'2642.TW-ChipsField3,ChipsField1,ChipsField25,CashAndStockDividend,CashDividendYieldRate,ProfitFourSeason,ProfitSingle,CName,ExchangeIndustry,CompanyPos'</f>
        <v>28</v>
      </c>
      <c r="V806">
        <v>-293</v>
      </c>
      <c r="W806" t="str">
        <v>2022/06/16</v>
      </c>
      <c r="X806" t="str">
        <v>2.10</v>
      </c>
      <c r="Y806">
        <v>4.08</v>
      </c>
      <c r="Z806" t="str">
        <v>1.92</v>
      </c>
      <c r="AA806" t="str">
        <v>0.35</v>
      </c>
      <c r="AB806" t="str">
        <v>宅配通</v>
      </c>
      <c r="AC806" t="str">
        <v>上市航運業</v>
      </c>
      <c r="AD806" t="str">
        <v>東元與日本通運合資成立的宅配服務業者</v>
      </c>
      <c r="AE806" t="str">
        <f t="array" ref="AE806:AH806">[1]!'2642.TW-CName,InvestorConferenceDate,DateofMeetingofShareHolders,TradingDate'</f>
        <v>宅配通</v>
      </c>
      <c r="AF806" t="str">
        <v>2022/10/04</v>
      </c>
      <c r="AG806" t="str">
        <v>2022/05/27</v>
      </c>
      <c r="AH806" t="str">
        <v>2022/12/22</v>
      </c>
    </row>
    <row r="807" spans="1:34" x14ac:dyDescent="0.3">
      <c r="A807" t="str">
        <f t="array" ref="A807:J807">[1]!'5607.TW-ID,Name,MarketValue,Capital,NetIncomeGrowthRate,OperIncomeGrowthRate,FinancialStatementsTime,TFXRatio,MonthlyNetSalesYoY,RevenueMonth'</f>
        <v>5607</v>
      </c>
      <c r="B807" t="str">
        <v>遠雄港</v>
      </c>
      <c r="C807" t="str">
        <v>139.5</v>
      </c>
      <c r="D807" t="str">
        <v>27.40</v>
      </c>
      <c r="E807" t="str">
        <v>78.70</v>
      </c>
      <c r="F807" t="str">
        <v>65.92</v>
      </c>
      <c r="G807" t="str">
        <v>2022/09</v>
      </c>
      <c r="H807" t="str">
        <v>-3.95</v>
      </c>
      <c r="I807" t="str">
        <v>-2.66</v>
      </c>
      <c r="J807" t="str">
        <v>2022/11</v>
      </c>
      <c r="K807" t="str">
        <f t="array" ref="K807:T807">[1]!'5607.TW-OperatingProfitRatio,Price,PriceChangeRatio,InOutRatioNumber,Value,YearReturn,MonthReturn,WeekReturn,FinanceBalanceDif,ChipsField2'</f>
        <v>48.80</v>
      </c>
      <c r="L807">
        <v>50.9</v>
      </c>
      <c r="M807">
        <v>1.6</v>
      </c>
      <c r="N807" t="str">
        <v>58.54%</v>
      </c>
      <c r="O807" t="str">
        <v>2746萬</v>
      </c>
      <c r="P807" t="str">
        <v>-24.65</v>
      </c>
      <c r="Q807" t="str">
        <v>-6.26</v>
      </c>
      <c r="R807" t="str">
        <v>-1.93</v>
      </c>
      <c r="S807">
        <v>-20</v>
      </c>
      <c r="T807">
        <v>0</v>
      </c>
      <c r="U807">
        <f t="array" ref="U807:AD807">[1]!'5607.TW-ChipsField3,ChipsField1,ChipsField25,CashAndStockDividend,CashDividendYieldRate,ProfitFourSeason,ProfitSingle,CName,ExchangeIndustry,CompanyPos'</f>
        <v>-3</v>
      </c>
      <c r="V807">
        <v>6</v>
      </c>
      <c r="W807" t="str">
        <v>2022/08/08</v>
      </c>
      <c r="X807" t="str">
        <v>1.60</v>
      </c>
      <c r="Y807">
        <v>3.14</v>
      </c>
      <c r="Z807" t="str">
        <v>3.92</v>
      </c>
      <c r="AA807" t="str">
        <v>0.93</v>
      </c>
      <c r="AB807" t="str">
        <v>遠雄港</v>
      </c>
      <c r="AC807" t="str">
        <v>上市航運業</v>
      </c>
      <c r="AD807" t="str">
        <v>轉型控股公司並經營海、陸、空聯運之自由貿易港區</v>
      </c>
      <c r="AE807" t="str">
        <f t="array" ref="AE807:AH807">[1]!'5607.TW-CName,InvestorConferenceDate,DateofMeetingofShareHolders,TradingDate'</f>
        <v>遠雄港</v>
      </c>
      <c r="AF807" t="str">
        <v>2022/10/20</v>
      </c>
      <c r="AG807" t="str">
        <v>2022/06/23</v>
      </c>
      <c r="AH807" t="str">
        <v>2022/12/22</v>
      </c>
    </row>
    <row r="808" spans="1:34" x14ac:dyDescent="0.3">
      <c r="A808" t="str">
        <f t="array" ref="A808:J808">[1]!'5608.TW-ID,Name,MarketValue,Capital,NetIncomeGrowthRate,OperIncomeGrowthRate,FinancialStatementsTime,TFXRatio,MonthlyNetSalesYoY,RevenueMonth'</f>
        <v>5608</v>
      </c>
      <c r="B808" t="str">
        <v>四維航</v>
      </c>
      <c r="C808" t="str">
        <v>98.4</v>
      </c>
      <c r="D808" t="str">
        <v>36.93</v>
      </c>
      <c r="E808" t="str">
        <v>33.35</v>
      </c>
      <c r="F808" t="str">
        <v>90.97</v>
      </c>
      <c r="G808" t="str">
        <v>2022/09</v>
      </c>
      <c r="H808" t="str">
        <v>-20.29</v>
      </c>
      <c r="I808" t="str">
        <v>-36.00</v>
      </c>
      <c r="J808" t="str">
        <v>2022/11</v>
      </c>
      <c r="K808" t="str">
        <f t="array" ref="K808:T808">[1]!'5608.TW-OperatingProfitRatio,Price,PriceChangeRatio,InOutRatioNumber,Value,YearReturn,MonthReturn,WeekReturn,FinanceBalanceDif,ChipsField2'</f>
        <v>47.27</v>
      </c>
      <c r="L808">
        <v>26.65</v>
      </c>
      <c r="M808">
        <v>1.52</v>
      </c>
      <c r="N808" t="str">
        <v>44.31%</v>
      </c>
      <c r="O808" t="str">
        <v>14.4億</v>
      </c>
      <c r="P808" t="str">
        <v>-41.30</v>
      </c>
      <c r="Q808" t="str">
        <v>+13.16</v>
      </c>
      <c r="R808" t="str">
        <v>+7.89</v>
      </c>
      <c r="S808">
        <v>317</v>
      </c>
      <c r="T808">
        <v>0</v>
      </c>
      <c r="U808">
        <f t="array" ref="U808:AD808">[1]!'5608.TW-ChipsField3,ChipsField1,ChipsField25,CashAndStockDividend,CashDividendYieldRate,ProfitFourSeason,ProfitSingle,CName,ExchangeIndustry,CompanyPos'</f>
        <v>-465</v>
      </c>
      <c r="V808">
        <v>1244</v>
      </c>
      <c r="W808" t="str">
        <v>2022/07/20</v>
      </c>
      <c r="X808" t="str">
        <v>2.00</v>
      </c>
      <c r="Y808">
        <v>7.5</v>
      </c>
      <c r="Z808" t="str">
        <v>7.68</v>
      </c>
      <c r="AA808" t="str">
        <v>1.83</v>
      </c>
      <c r="AB808" t="str">
        <v>四維航</v>
      </c>
      <c r="AC808" t="str">
        <v>上市航運業</v>
      </c>
      <c r="AD808" t="str">
        <v>以輕型散裝船為主的散裝航運業者</v>
      </c>
      <c r="AE808" t="str">
        <f t="array" ref="AE808:AH808">[1]!'5608.TW-CName,InvestorConferenceDate,DateofMeetingofShareHolders,TradingDate'</f>
        <v>四維航</v>
      </c>
      <c r="AF808" t="str">
        <v>2022/12/13</v>
      </c>
      <c r="AG808" t="str">
        <v>2022/06/21</v>
      </c>
      <c r="AH808" t="str">
        <v>2022/12/22</v>
      </c>
    </row>
    <row r="809" spans="1:34" x14ac:dyDescent="0.3">
      <c r="A809" t="str">
        <f t="array" ref="A809:J809">[1]!'8367.TW-ID,Name,MarketValue,Capital,NetIncomeGrowthRate,OperIncomeGrowthRate,FinancialStatementsTime,TFXRatio,MonthlyNetSalesYoY,RevenueMonth'</f>
        <v>8367</v>
      </c>
      <c r="B809" t="str">
        <v>建新國際</v>
      </c>
      <c r="C809" t="str">
        <v>33.1</v>
      </c>
      <c r="D809" t="str">
        <v>8.77</v>
      </c>
      <c r="E809" t="str">
        <v>-73.80</v>
      </c>
      <c r="F809" t="str">
        <v>-8.69</v>
      </c>
      <c r="G809" t="str">
        <v>2022/09</v>
      </c>
      <c r="H809" t="str">
        <v>9.90</v>
      </c>
      <c r="I809" t="str">
        <v>-21.99</v>
      </c>
      <c r="J809" t="str">
        <v>2022/11</v>
      </c>
      <c r="K809" t="str">
        <f t="array" ref="K809:T809">[1]!'8367.TW-OperatingProfitRatio,Price,PriceChangeRatio,InOutRatioNumber,Value,YearReturn,MonthReturn,WeekReturn,FinanceBalanceDif,ChipsField2'</f>
        <v>20.93</v>
      </c>
      <c r="L809">
        <v>37.75</v>
      </c>
      <c r="M809">
        <v>5.15</v>
      </c>
      <c r="N809" t="str">
        <v>63.76%</v>
      </c>
      <c r="O809" t="str">
        <v>1420萬</v>
      </c>
      <c r="P809" t="str">
        <v>-25.23</v>
      </c>
      <c r="Q809" t="str">
        <v>+11.03</v>
      </c>
      <c r="R809" t="str">
        <v>+8.17</v>
      </c>
      <c r="S809">
        <v>10</v>
      </c>
      <c r="T809">
        <v>0</v>
      </c>
      <c r="U809">
        <f t="array" ref="U809:AD809">[1]!'8367.TW-ChipsField3,ChipsField1,ChipsField25,CashAndStockDividend,CashDividendYieldRate,ProfitFourSeason,ProfitSingle,CName,ExchangeIndustry,CompanyPos'</f>
        <v>0</v>
      </c>
      <c r="V809">
        <v>0</v>
      </c>
      <c r="W809" t="str">
        <v>2022/07/14</v>
      </c>
      <c r="X809" t="str">
        <v>2.80</v>
      </c>
      <c r="Y809">
        <v>7.42</v>
      </c>
      <c r="Z809" t="str">
        <v>3.10</v>
      </c>
      <c r="AA809" t="str">
        <v>1.38</v>
      </c>
      <c r="AB809" t="str">
        <v>建新國際</v>
      </c>
      <c r="AC809" t="str">
        <v>上市航運業</v>
      </c>
      <c r="AD809" t="str">
        <v>台灣從事貨櫃場服務之業者</v>
      </c>
      <c r="AE809" t="str">
        <f t="array" ref="AE809:AH809">[1]!'8367.TW-CName,InvestorConferenceDate,DateofMeetingofShareHolders,TradingDate'</f>
        <v>建新國際</v>
      </c>
      <c r="AF809" t="str">
        <v>2022/08/03</v>
      </c>
      <c r="AG809" t="str">
        <v>2022/05/27</v>
      </c>
      <c r="AH809" t="str">
        <v>2022/12/22</v>
      </c>
    </row>
    <row r="810" spans="1:34" x14ac:dyDescent="0.3">
      <c r="A810" t="str">
        <f t="array" ref="A810:J810">[1]!'2701.TW-ID,Name,MarketValue,Capital,NetIncomeGrowthRate,OperIncomeGrowthRate,FinancialStatementsTime,TFXRatio,MonthlyNetSalesYoY,RevenueMonth'</f>
        <v>2701</v>
      </c>
      <c r="B810" t="str">
        <v>萬企</v>
      </c>
      <c r="C810" t="str">
        <v>54.0</v>
      </c>
      <c r="D810" t="str">
        <v>45.00</v>
      </c>
      <c r="E810" t="str">
        <v>202.50</v>
      </c>
      <c r="F810" t="str">
        <v>-13.89</v>
      </c>
      <c r="G810" t="str">
        <v>2022/09</v>
      </c>
      <c r="H810" t="str">
        <v>11.09</v>
      </c>
      <c r="I810" t="str">
        <v>-7.64</v>
      </c>
      <c r="J810" t="str">
        <v>2022/11</v>
      </c>
      <c r="K810" t="str">
        <f t="array" ref="K810:T810">[1]!'2701.TW-OperatingProfitRatio,Price,PriceChangeRatio,InOutRatioNumber,Value,YearReturn,MonthReturn,WeekReturn,FinanceBalanceDif,ChipsField2'</f>
        <v>46.59</v>
      </c>
      <c r="L810">
        <v>12</v>
      </c>
      <c r="M810">
        <v>0.42</v>
      </c>
      <c r="N810" t="str">
        <v>21.87%</v>
      </c>
      <c r="O810" t="str">
        <v>38.4萬</v>
      </c>
      <c r="P810" t="str">
        <v>+1.36</v>
      </c>
      <c r="Q810" t="str">
        <v>-0.83</v>
      </c>
      <c r="R810" t="str">
        <v>-1.64</v>
      </c>
      <c r="S810">
        <v>0</v>
      </c>
      <c r="T810">
        <v>0</v>
      </c>
      <c r="U810">
        <f t="array" ref="U810:AD810">[1]!'2701.TW-ChipsField3,ChipsField1,ChipsField25,CashAndStockDividend,CashDividendYieldRate,ProfitFourSeason,ProfitSingle,CName,ExchangeIndustry,CompanyPos'</f>
        <v>-4</v>
      </c>
      <c r="V810">
        <v>1</v>
      </c>
      <c r="W810" t="str">
        <v>2022/09/14</v>
      </c>
      <c r="X810" t="str">
        <v>0.17</v>
      </c>
      <c r="Y810">
        <v>1.42</v>
      </c>
      <c r="Z810" t="str">
        <v>0.48</v>
      </c>
      <c r="AA810" t="str">
        <v>0.20</v>
      </c>
      <c r="AB810" t="str">
        <v>萬企</v>
      </c>
      <c r="AC810" t="str">
        <v>上市觀光</v>
      </c>
      <c r="AD810" t="str">
        <v>經營商場租賃、電影院及遊樂場業務</v>
      </c>
      <c r="AE810" t="str">
        <f t="array" ref="AE810:AH810">[1]!'2701.TW-CName,InvestorConferenceDate,DateofMeetingofShareHolders,TradingDate'</f>
        <v>萬企</v>
      </c>
      <c r="AF810" t="str">
        <v>2022/11/25</v>
      </c>
      <c r="AG810" t="str">
        <v>2022/06/21</v>
      </c>
      <c r="AH810" t="str">
        <v>2022/12/22</v>
      </c>
    </row>
    <row r="811" spans="1:34" x14ac:dyDescent="0.3">
      <c r="A811" t="str">
        <f t="array" ref="A811:J811">[1]!'2702.TW-ID,Name,MarketValue,Capital,NetIncomeGrowthRate,OperIncomeGrowthRate,FinancialStatementsTime,TFXRatio,MonthlyNetSalesYoY,RevenueMonth'</f>
        <v>2702</v>
      </c>
      <c r="B811" t="str">
        <v>華園</v>
      </c>
      <c r="C811" t="str">
        <v>33.8</v>
      </c>
      <c r="D811" t="str">
        <v>14.92</v>
      </c>
      <c r="E811" t="str">
        <v>201.86</v>
      </c>
      <c r="F811" t="str">
        <v>174.46</v>
      </c>
      <c r="G811" t="str">
        <v>2022/09</v>
      </c>
      <c r="H811" t="str">
        <v>-27.18</v>
      </c>
      <c r="I811" t="str">
        <v>37.36</v>
      </c>
      <c r="J811" t="str">
        <v>2022/11</v>
      </c>
      <c r="K811" t="str">
        <f t="array" ref="K811:T811">[1]!'2702.TW-OperatingProfitRatio,Price,PriceChangeRatio,InOutRatioNumber,Value,YearReturn,MonthReturn,WeekReturn,FinanceBalanceDif,ChipsField2'</f>
        <v>5.81</v>
      </c>
      <c r="L811">
        <v>22.65</v>
      </c>
      <c r="M811">
        <v>0.67</v>
      </c>
      <c r="N811" t="str">
        <v>28.05%</v>
      </c>
      <c r="O811" t="str">
        <v>377萬</v>
      </c>
      <c r="P811" t="str">
        <v>+24.39</v>
      </c>
      <c r="Q811" t="str">
        <v>+6.09</v>
      </c>
      <c r="R811" t="str">
        <v>-2.37</v>
      </c>
      <c r="S811">
        <v>7</v>
      </c>
      <c r="T811">
        <v>0</v>
      </c>
      <c r="U811">
        <f t="array" ref="U811:AD811">[1]!'2702.TW-ChipsField3,ChipsField1,ChipsField25,CashAndStockDividend,CashDividendYieldRate,ProfitFourSeason,ProfitSingle,CName,ExchangeIndustry,CompanyPos'</f>
        <v>0</v>
      </c>
      <c r="V811">
        <v>206</v>
      </c>
      <c r="W811" t="str">
        <v>2022/08/24</v>
      </c>
      <c r="X811" t="str">
        <v>4.50</v>
      </c>
      <c r="Y811">
        <v>19.87</v>
      </c>
      <c r="Z811" t="str">
        <v>17.39</v>
      </c>
      <c r="AA811" t="str">
        <v>0.49</v>
      </c>
      <c r="AB811" t="str">
        <v>華園</v>
      </c>
      <c r="AC811" t="str">
        <v>上市觀光</v>
      </c>
      <c r="AD811" t="str">
        <v>位於高雄六合夜市及愛河中心點的國際觀光飯店</v>
      </c>
      <c r="AE811" t="str">
        <f t="array" ref="AE811:AH811">[1]!'2702.TW-CName,InvestorConferenceDate,DateofMeetingofShareHolders,TradingDate'</f>
        <v>華園</v>
      </c>
      <c r="AF811" t="str">
        <v>2022/08/30</v>
      </c>
      <c r="AG811" t="str">
        <v>2022/06/15</v>
      </c>
      <c r="AH811" t="str">
        <v>2022/12/22</v>
      </c>
    </row>
    <row r="812" spans="1:34" x14ac:dyDescent="0.3">
      <c r="A812" t="str">
        <f t="array" ref="A812:J812">[1]!'2704.TW-ID,Name,MarketValue,Capital,NetIncomeGrowthRate,OperIncomeGrowthRate,FinancialStatementsTime,TFXRatio,MonthlyNetSalesYoY,RevenueMonth'</f>
        <v>2704</v>
      </c>
      <c r="B812" t="str">
        <v>國賓</v>
      </c>
      <c r="C812" t="str">
        <v>116.9</v>
      </c>
      <c r="D812" t="str">
        <v>36.69</v>
      </c>
      <c r="E812" t="str">
        <v>270.29</v>
      </c>
      <c r="F812" t="str">
        <v>15.61</v>
      </c>
      <c r="G812" t="str">
        <v>2022/09</v>
      </c>
      <c r="H812" t="str">
        <v>19.15</v>
      </c>
      <c r="I812" t="str">
        <v>-4.16</v>
      </c>
      <c r="J812" t="str">
        <v>2022/11</v>
      </c>
      <c r="K812" t="str">
        <f t="array" ref="K812:T812">[1]!'2704.TW-OperatingProfitRatio,Price,PriceChangeRatio,InOutRatioNumber,Value,YearReturn,MonthReturn,WeekReturn,FinanceBalanceDif,ChipsField2'</f>
        <v>-23.93</v>
      </c>
      <c r="L812">
        <v>31.85</v>
      </c>
      <c r="M812">
        <v>1.1100000000000001</v>
      </c>
      <c r="N812" t="str">
        <v>67.61%</v>
      </c>
      <c r="O812" t="str">
        <v>677萬</v>
      </c>
      <c r="P812" t="str">
        <v>+3.07</v>
      </c>
      <c r="Q812" t="str">
        <v>+3.75</v>
      </c>
      <c r="R812" t="str">
        <v>+2.25</v>
      </c>
      <c r="S812">
        <v>-11</v>
      </c>
      <c r="T812">
        <v>0</v>
      </c>
      <c r="U812">
        <f t="array" ref="U812:AD812">[1]!'2704.TW-ChipsField3,ChipsField1,ChipsField25,CashAndStockDividend,CashDividendYieldRate,ProfitFourSeason,ProfitSingle,CName,ExchangeIndustry,CompanyPos'</f>
        <v>-3</v>
      </c>
      <c r="V812">
        <v>-23</v>
      </c>
      <c r="W812" t="str">
        <v>--</v>
      </c>
      <c r="X812" t="str">
        <v>0.00</v>
      </c>
      <c r="Y812">
        <v>0</v>
      </c>
      <c r="Z812" t="str">
        <v>0.14</v>
      </c>
      <c r="AA812" t="str">
        <v>0.22</v>
      </c>
      <c r="AB812" t="str">
        <v>國賓</v>
      </c>
      <c r="AC812" t="str">
        <v>上市觀光</v>
      </c>
      <c r="AD812" t="str">
        <v>在台北、新竹、高雄等地經營五星級飯店</v>
      </c>
      <c r="AE812" t="str">
        <f t="array" ref="AE812:AH812">[1]!'2704.TW-CName,InvestorConferenceDate,DateofMeetingofShareHolders,TradingDate'</f>
        <v>國賓</v>
      </c>
      <c r="AF812" t="str">
        <v>2022/12/21</v>
      </c>
      <c r="AG812" t="str">
        <v>2022/06/14</v>
      </c>
      <c r="AH812" t="str">
        <v>2022/12/22</v>
      </c>
    </row>
    <row r="813" spans="1:34" x14ac:dyDescent="0.3">
      <c r="A813" t="str">
        <f t="array" ref="A813:J813">[1]!'2705.TW-ID,Name,MarketValue,Capital,NetIncomeGrowthRate,OperIncomeGrowthRate,FinancialStatementsTime,TFXRatio,MonthlyNetSalesYoY,RevenueMonth'</f>
        <v>2705</v>
      </c>
      <c r="B813" t="str">
        <v>六福</v>
      </c>
      <c r="C813" t="str">
        <v>30.8</v>
      </c>
      <c r="D813" t="str">
        <v>19.13</v>
      </c>
      <c r="E813" t="str">
        <v>35.87</v>
      </c>
      <c r="F813" t="str">
        <v>51.77</v>
      </c>
      <c r="G813" t="str">
        <v>2022/09</v>
      </c>
      <c r="H813" t="str">
        <v>-9.36</v>
      </c>
      <c r="I813" t="str">
        <v>7.09</v>
      </c>
      <c r="J813" t="str">
        <v>2022/11</v>
      </c>
      <c r="K813" t="str">
        <f t="array" ref="K813:T813">[1]!'2705.TW-OperatingProfitRatio,Price,PriceChangeRatio,InOutRatioNumber,Value,YearReturn,MonthReturn,WeekReturn,FinanceBalanceDif,ChipsField2'</f>
        <v>-23.05</v>
      </c>
      <c r="L813">
        <v>16.5</v>
      </c>
      <c r="M813">
        <v>-0.3</v>
      </c>
      <c r="N813" t="str">
        <v>12.50%</v>
      </c>
      <c r="O813" t="str">
        <v>216萬</v>
      </c>
      <c r="P813" t="str">
        <v>-4.35</v>
      </c>
      <c r="Q813" t="str">
        <v>+0.61</v>
      </c>
      <c r="R813" t="str">
        <v>-2.37</v>
      </c>
      <c r="S813">
        <v>8</v>
      </c>
      <c r="T813">
        <v>0</v>
      </c>
      <c r="U813">
        <f t="array" ref="U813:AD813">[1]!'2705.TW-ChipsField3,ChipsField1,ChipsField25,CashAndStockDividend,CashDividendYieldRate,ProfitFourSeason,ProfitSingle,CName,ExchangeIndustry,CompanyPos'</f>
        <v>0</v>
      </c>
      <c r="V813">
        <v>-4</v>
      </c>
      <c r="W813" t="str">
        <v>--</v>
      </c>
      <c r="X813" t="str">
        <v>0.00</v>
      </c>
      <c r="Y813">
        <v>0</v>
      </c>
      <c r="Z813" t="str">
        <v>-0.42</v>
      </c>
      <c r="AA813" t="str">
        <v>0.21</v>
      </c>
      <c r="AB813" t="str">
        <v>六福</v>
      </c>
      <c r="AC813" t="str">
        <v>上市觀光</v>
      </c>
      <c r="AD813" t="str">
        <v>集團旗下擁有遊樂園、影城、渡假飯店及五星級飯店</v>
      </c>
      <c r="AE813" t="str">
        <f t="array" ref="AE813:AH813">[1]!'2705.TW-CName,InvestorConferenceDate,DateofMeetingofShareHolders,TradingDate'</f>
        <v>六福</v>
      </c>
      <c r="AF813" t="str">
        <v>2022/06/17</v>
      </c>
      <c r="AG813" t="str">
        <v>2022/05/30</v>
      </c>
      <c r="AH813" t="str">
        <v>2022/12/22</v>
      </c>
    </row>
    <row r="814" spans="1:34" x14ac:dyDescent="0.3">
      <c r="A814" t="str">
        <f t="array" ref="A814:J814">[1]!'2706.TW-ID,Name,MarketValue,Capital,NetIncomeGrowthRate,OperIncomeGrowthRate,FinancialStatementsTime,TFXRatio,MonthlyNetSalesYoY,RevenueMonth'</f>
        <v>2706</v>
      </c>
      <c r="B814" t="str">
        <v>第一店</v>
      </c>
      <c r="C814" t="str">
        <v>70.2</v>
      </c>
      <c r="D814" t="str">
        <v>50.00</v>
      </c>
      <c r="E814" t="str">
        <v>299.76</v>
      </c>
      <c r="F814" t="str">
        <v>25.48</v>
      </c>
      <c r="G814" t="str">
        <v>2022/09</v>
      </c>
      <c r="H814" t="str">
        <v>3.77</v>
      </c>
      <c r="I814" t="str">
        <v>4.94</v>
      </c>
      <c r="J814" t="str">
        <v>2022/11</v>
      </c>
      <c r="K814" t="str">
        <f t="array" ref="K814:T814">[1]!'2706.TW-OperatingProfitRatio,Price,PriceChangeRatio,InOutRatioNumber,Value,YearReturn,MonthReturn,WeekReturn,FinanceBalanceDif,ChipsField2'</f>
        <v>69.07</v>
      </c>
      <c r="L814">
        <v>14.05</v>
      </c>
      <c r="M814">
        <v>0.72</v>
      </c>
      <c r="N814" t="str">
        <v>50.00%</v>
      </c>
      <c r="O814" t="str">
        <v>61.8萬</v>
      </c>
      <c r="P814" t="str">
        <v>-0.07</v>
      </c>
      <c r="Q814" t="str">
        <v>+0.36</v>
      </c>
      <c r="R814" t="str">
        <v>-1.75</v>
      </c>
      <c r="S814">
        <v>-81</v>
      </c>
      <c r="T814">
        <v>0</v>
      </c>
      <c r="U814">
        <f t="array" ref="U814:AD814">[1]!'2706.TW-ChipsField3,ChipsField1,ChipsField25,CashAndStockDividend,CashDividendYieldRate,ProfitFourSeason,ProfitSingle,CName,ExchangeIndustry,CompanyPos'</f>
        <v>-3</v>
      </c>
      <c r="V814">
        <v>-6</v>
      </c>
      <c r="W814" t="str">
        <v>2022/09/06</v>
      </c>
      <c r="X814" t="str">
        <v>0.14</v>
      </c>
      <c r="Y814">
        <v>1</v>
      </c>
      <c r="Z814" t="str">
        <v>0.57</v>
      </c>
      <c r="AA814" t="str">
        <v>0.23</v>
      </c>
      <c r="AB814" t="str">
        <v>第一店</v>
      </c>
      <c r="AC814" t="str">
        <v>上市觀光</v>
      </c>
      <c r="AD814" t="str">
        <v>萬華企業集團旗下位於南京東路精華地帶之飯店</v>
      </c>
      <c r="AE814" t="str">
        <f t="array" ref="AE814:AH814">[1]!'2706.TW-CName,InvestorConferenceDate,DateofMeetingofShareHolders,TradingDate'</f>
        <v>第一店</v>
      </c>
      <c r="AF814" t="str">
        <v>2022/12/02</v>
      </c>
      <c r="AG814" t="str">
        <v>2022/06/24</v>
      </c>
      <c r="AH814" t="str">
        <v>2022/12/22</v>
      </c>
    </row>
    <row r="815" spans="1:34" x14ac:dyDescent="0.3">
      <c r="A815" t="str">
        <f t="array" ref="A815:J815">[1]!'2707.TW-ID,Name,MarketValue,Capital,NetIncomeGrowthRate,OperIncomeGrowthRate,FinancialStatementsTime,TFXRatio,MonthlyNetSalesYoY,RevenueMonth'</f>
        <v>2707</v>
      </c>
      <c r="B815" t="str">
        <v>晶華</v>
      </c>
      <c r="C815" t="str">
        <v>324.9</v>
      </c>
      <c r="D815" t="str">
        <v>12.74</v>
      </c>
      <c r="E815" t="str">
        <v>-64.31</v>
      </c>
      <c r="F815" t="str">
        <v>242.12</v>
      </c>
      <c r="G815" t="str">
        <v>2022/09</v>
      </c>
      <c r="H815" t="str">
        <v>3.57</v>
      </c>
      <c r="I815" t="str">
        <v>14.56</v>
      </c>
      <c r="J815" t="str">
        <v>2022/11</v>
      </c>
      <c r="K815" t="str">
        <f t="array" ref="K815:T815">[1]!'2707.TW-OperatingProfitRatio,Price,PriceChangeRatio,InOutRatioNumber,Value,YearReturn,MonthReturn,WeekReturn,FinanceBalanceDif,ChipsField2'</f>
        <v>20.18</v>
      </c>
      <c r="L815">
        <v>255</v>
      </c>
      <c r="M815">
        <v>0.79</v>
      </c>
      <c r="N815" t="str">
        <v>42.40%</v>
      </c>
      <c r="O815" t="str">
        <v>1.38億</v>
      </c>
      <c r="P815" t="str">
        <v>+83.08</v>
      </c>
      <c r="Q815" t="str">
        <v>+32.81</v>
      </c>
      <c r="R815" t="str">
        <v>+0.99</v>
      </c>
      <c r="S815">
        <v>-4</v>
      </c>
      <c r="T815">
        <v>50</v>
      </c>
      <c r="U815">
        <f t="array" ref="U815:AD815">[1]!'2707.TW-ChipsField3,ChipsField1,ChipsField25,CashAndStockDividend,CashDividendYieldRate,ProfitFourSeason,ProfitSingle,CName,ExchangeIndustry,CompanyPos'</f>
        <v>93</v>
      </c>
      <c r="V815">
        <v>425</v>
      </c>
      <c r="W815" t="str">
        <v>2022/06/16</v>
      </c>
      <c r="X815" t="str">
        <v>12.39</v>
      </c>
      <c r="Y815">
        <v>4.8600000000000003</v>
      </c>
      <c r="Z815" t="str">
        <v>7.05</v>
      </c>
      <c r="AA815" t="str">
        <v>2.07</v>
      </c>
      <c r="AB815" t="str">
        <v>晶華</v>
      </c>
      <c r="AC815" t="str">
        <v>上市觀光</v>
      </c>
      <c r="AD815" t="str">
        <v>國際五星級觀光飯店</v>
      </c>
      <c r="AE815" t="str">
        <f t="array" ref="AE815:AH815">[1]!'2707.TW-CName,InvestorConferenceDate,DateofMeetingofShareHolders,TradingDate'</f>
        <v>晶華</v>
      </c>
      <c r="AF815" t="str">
        <v>--</v>
      </c>
      <c r="AG815" t="str">
        <v>2022/06/14</v>
      </c>
      <c r="AH815" t="str">
        <v>2022/12/22</v>
      </c>
    </row>
    <row r="816" spans="1:34" x14ac:dyDescent="0.3">
      <c r="A816" t="str">
        <f t="array" ref="A816:J816">[1]!'2712.TW-ID,Name,MarketValue,Capital,NetIncomeGrowthRate,OperIncomeGrowthRate,FinancialStatementsTime,TFXRatio,MonthlyNetSalesYoY,RevenueMonth'</f>
        <v>2712</v>
      </c>
      <c r="B816" t="str">
        <v>遠雄來</v>
      </c>
      <c r="C816" t="str">
        <v>34.5</v>
      </c>
      <c r="D816" t="str">
        <v>10.50</v>
      </c>
      <c r="E816" t="str">
        <v>173.88</v>
      </c>
      <c r="F816" t="str">
        <v>149.45</v>
      </c>
      <c r="G816" t="str">
        <v>2022/09</v>
      </c>
      <c r="H816" t="str">
        <v>-12.70</v>
      </c>
      <c r="I816" t="str">
        <v>48.08</v>
      </c>
      <c r="J816" t="str">
        <v>2022/11</v>
      </c>
      <c r="K816" t="str">
        <f t="array" ref="K816:T816">[1]!'2712.TW-OperatingProfitRatio,Price,PriceChangeRatio,InOutRatioNumber,Value,YearReturn,MonthReturn,WeekReturn,FinanceBalanceDif,ChipsField2'</f>
        <v>4.24</v>
      </c>
      <c r="L816">
        <v>32.85</v>
      </c>
      <c r="M816">
        <v>-0.45</v>
      </c>
      <c r="N816" t="str">
        <v>40.00%</v>
      </c>
      <c r="O816" t="str">
        <v>16.5萬</v>
      </c>
      <c r="P816" t="str">
        <v>-12.40</v>
      </c>
      <c r="Q816" t="str">
        <v>-1.50</v>
      </c>
      <c r="R816" t="str">
        <v>-0.45</v>
      </c>
      <c r="S816">
        <v>0</v>
      </c>
      <c r="T816">
        <v>0</v>
      </c>
      <c r="U816">
        <f t="array" ref="U816:AD816">[1]!'2712.TW-ChipsField3,ChipsField1,ChipsField25,CashAndStockDividend,CashDividendYieldRate,ProfitFourSeason,ProfitSingle,CName,ExchangeIndustry,CompanyPos'</f>
        <v>0</v>
      </c>
      <c r="V816">
        <v>0</v>
      </c>
      <c r="W816" t="str">
        <v>--</v>
      </c>
      <c r="X816" t="str">
        <v>0.00</v>
      </c>
      <c r="Y816">
        <v>0</v>
      </c>
      <c r="Z816" t="str">
        <v>0.06</v>
      </c>
      <c r="AA816" t="str">
        <v>0.46</v>
      </c>
      <c r="AB816" t="str">
        <v>遠雄來</v>
      </c>
      <c r="AC816" t="str">
        <v>上市觀光</v>
      </c>
      <c r="AD816" t="str">
        <v>遠雄集團旗下位於花蓮海洋公園旁之五星級飯店</v>
      </c>
      <c r="AE816" t="str">
        <f t="array" ref="AE816:AH816">[1]!'2712.TW-CName,InvestorConferenceDate,DateofMeetingofShareHolders,TradingDate'</f>
        <v>遠雄來</v>
      </c>
      <c r="AF816" t="str">
        <v>2022/11/21</v>
      </c>
      <c r="AG816" t="str">
        <v>2022/05/25</v>
      </c>
      <c r="AH816" t="str">
        <v>2022/12/22</v>
      </c>
    </row>
    <row r="817" spans="1:34" x14ac:dyDescent="0.3">
      <c r="A817" t="str">
        <f t="array" ref="A817:J817">[1]!'2722.TW-ID,Name,MarketValue,Capital,NetIncomeGrowthRate,OperIncomeGrowthRate,FinancialStatementsTime,TFXRatio,MonthlyNetSalesYoY,RevenueMonth'</f>
        <v>2722</v>
      </c>
      <c r="B817" t="str">
        <v>夏都</v>
      </c>
      <c r="C817" t="str">
        <v>37.6</v>
      </c>
      <c r="D817" t="str">
        <v>11.15</v>
      </c>
      <c r="E817" t="str">
        <v>805.49</v>
      </c>
      <c r="F817" t="str">
        <v>508.52</v>
      </c>
      <c r="G817" t="str">
        <v>2022/09</v>
      </c>
      <c r="H817" t="str">
        <v>-20.64</v>
      </c>
      <c r="I817" t="str">
        <v>-6.49</v>
      </c>
      <c r="J817" t="str">
        <v>2022/11</v>
      </c>
      <c r="K817" t="str">
        <f t="array" ref="K817:T817">[1]!'2722.TW-OperatingProfitRatio,Price,PriceChangeRatio,InOutRatioNumber,Value,YearReturn,MonthReturn,WeekReturn,FinanceBalanceDif,ChipsField2'</f>
        <v>24.88</v>
      </c>
      <c r="L817">
        <v>33.75</v>
      </c>
      <c r="M817">
        <v>0.15</v>
      </c>
      <c r="N817" t="str">
        <v>25.00%</v>
      </c>
      <c r="O817" t="str">
        <v>27.1萬</v>
      </c>
      <c r="P817" t="str">
        <v>+11.72</v>
      </c>
      <c r="Q817" t="str">
        <v>+2.74</v>
      </c>
      <c r="R817" t="str">
        <v>-1.60</v>
      </c>
      <c r="S817">
        <v>31</v>
      </c>
      <c r="T817">
        <v>0</v>
      </c>
      <c r="U817">
        <f t="array" ref="U817:AD817">[1]!'2722.TW-ChipsField3,ChipsField1,ChipsField25,CashAndStockDividend,CashDividendYieldRate,ProfitFourSeason,ProfitSingle,CName,ExchangeIndustry,CompanyPos'</f>
        <v>0</v>
      </c>
      <c r="V817">
        <v>-1</v>
      </c>
      <c r="W817" t="str">
        <v>2022/06/23</v>
      </c>
      <c r="X817" t="str">
        <v>0.20</v>
      </c>
      <c r="Y817">
        <v>0.59</v>
      </c>
      <c r="Z817" t="str">
        <v>1.54</v>
      </c>
      <c r="AA817" t="str">
        <v>1.03</v>
      </c>
      <c r="AB817" t="str">
        <v>夏都</v>
      </c>
      <c r="AC817" t="str">
        <v>上市觀光</v>
      </c>
      <c r="AD817" t="str">
        <v>官田鋼轉投資，位於台灣墾丁之觀光渡假飯店</v>
      </c>
      <c r="AE817" t="str">
        <f t="array" ref="AE817:AH817">[1]!'2722.TW-CName,InvestorConferenceDate,DateofMeetingofShareHolders,TradingDate'</f>
        <v>夏都</v>
      </c>
      <c r="AF817" t="str">
        <v>2022/12/06</v>
      </c>
      <c r="AG817" t="str">
        <v>2022/05/25</v>
      </c>
      <c r="AH817" t="str">
        <v>2022/12/22</v>
      </c>
    </row>
    <row r="818" spans="1:34" x14ac:dyDescent="0.3">
      <c r="A818" t="str">
        <f t="array" ref="A818:J818">[1]!'2723.TW-ID,Name,MarketValue,Capital,NetIncomeGrowthRate,OperIncomeGrowthRate,FinancialStatementsTime,TFXRatio,MonthlyNetSalesYoY,RevenueMonth'</f>
        <v>2723</v>
      </c>
      <c r="B818" t="str">
        <v>美食-KY</v>
      </c>
      <c r="C818" t="str">
        <v>248.4</v>
      </c>
      <c r="D818" t="str">
        <v>18.00</v>
      </c>
      <c r="E818" t="str">
        <v>-60.08</v>
      </c>
      <c r="F818" t="str">
        <v>-52.03</v>
      </c>
      <c r="G818" t="str">
        <v>2022/09</v>
      </c>
      <c r="H818" t="str">
        <v>-5.70</v>
      </c>
      <c r="I818" t="str">
        <v>2.09</v>
      </c>
      <c r="J818" t="str">
        <v>2022/11</v>
      </c>
      <c r="K818" t="str">
        <f t="array" ref="K818:T818">[1]!'2723.TW-OperatingProfitRatio,Price,PriceChangeRatio,InOutRatioNumber,Value,YearReturn,MonthReturn,WeekReturn,FinanceBalanceDif,ChipsField2'</f>
        <v>3.65</v>
      </c>
      <c r="L818">
        <v>138</v>
      </c>
      <c r="M818">
        <v>-0.72</v>
      </c>
      <c r="N818" t="str">
        <v>33.03%</v>
      </c>
      <c r="O818" t="str">
        <v>7958萬</v>
      </c>
      <c r="P818" t="str">
        <v>+28.80</v>
      </c>
      <c r="Q818" t="str">
        <v>+20.52</v>
      </c>
      <c r="R818" t="str">
        <v>-3.83</v>
      </c>
      <c r="S818">
        <v>-6</v>
      </c>
      <c r="T818">
        <v>0</v>
      </c>
      <c r="U818">
        <f t="array" ref="U818:AD818">[1]!'2723.TW-ChipsField3,ChipsField1,ChipsField25,CashAndStockDividend,CashDividendYieldRate,ProfitFourSeason,ProfitSingle,CName,ExchangeIndustry,CompanyPos'</f>
        <v>16</v>
      </c>
      <c r="V818">
        <v>-20</v>
      </c>
      <c r="W818" t="str">
        <v>2022/06/20</v>
      </c>
      <c r="X818" t="str">
        <v>5.00</v>
      </c>
      <c r="Y818">
        <v>3.62</v>
      </c>
      <c r="Z818" t="str">
        <v>2.96</v>
      </c>
      <c r="AA818" t="str">
        <v>0.92</v>
      </c>
      <c r="AB818" t="str">
        <v>美食-KY</v>
      </c>
      <c r="AC818" t="str">
        <v>上市觀光</v>
      </c>
      <c r="AD818" t="str">
        <v>以「85度C」為品牌之咖啡烘焙連鎖店</v>
      </c>
      <c r="AE818" t="str">
        <f t="array" ref="AE818:AH818">[1]!'2723.TW-CName,InvestorConferenceDate,DateofMeetingofShareHolders,TradingDate'</f>
        <v>美食-KY</v>
      </c>
      <c r="AF818" t="str">
        <v>2022/11/25</v>
      </c>
      <c r="AG818" t="str">
        <v>2022/06/02</v>
      </c>
      <c r="AH818" t="str">
        <v>2022/12/22</v>
      </c>
    </row>
    <row r="819" spans="1:34" x14ac:dyDescent="0.3">
      <c r="A819" t="str">
        <f t="array" ref="A819:J819">[1]!'2727.TW-ID,Name,MarketValue,Capital,NetIncomeGrowthRate,OperIncomeGrowthRate,FinancialStatementsTime,TFXRatio,MonthlyNetSalesYoY,RevenueMonth'</f>
        <v>2727</v>
      </c>
      <c r="B819" t="str">
        <v>王品</v>
      </c>
      <c r="C819" t="str">
        <v>123.6</v>
      </c>
      <c r="D819" t="str">
        <v>7.70</v>
      </c>
      <c r="E819" t="str">
        <v>142.11</v>
      </c>
      <c r="F819" t="str">
        <v>204.60</v>
      </c>
      <c r="G819" t="str">
        <v>2022/09</v>
      </c>
      <c r="H819" t="str">
        <v>-10.73</v>
      </c>
      <c r="I819" t="str">
        <v>-0.62</v>
      </c>
      <c r="J819" t="str">
        <v>2022/11</v>
      </c>
      <c r="K819" t="str">
        <f t="array" ref="K819:T819">[1]!'2727.TW-OperatingProfitRatio,Price,PriceChangeRatio,InOutRatioNumber,Value,YearReturn,MonthReturn,WeekReturn,FinanceBalanceDif,ChipsField2'</f>
        <v>1.58</v>
      </c>
      <c r="L819">
        <v>160.5</v>
      </c>
      <c r="M819">
        <v>1.26</v>
      </c>
      <c r="N819" t="str">
        <v>55.68%</v>
      </c>
      <c r="O819" t="str">
        <v>4353萬</v>
      </c>
      <c r="P819" t="str">
        <v>+20.68</v>
      </c>
      <c r="Q819" t="str">
        <v>+1.90</v>
      </c>
      <c r="R819" t="str">
        <v>-1.53</v>
      </c>
      <c r="S819">
        <v>20</v>
      </c>
      <c r="T819">
        <v>0</v>
      </c>
      <c r="U819">
        <f t="array" ref="U819:AD819">[1]!'2727.TW-ChipsField3,ChipsField1,ChipsField25,CashAndStockDividend,CashDividendYieldRate,ProfitFourSeason,ProfitSingle,CName,ExchangeIndustry,CompanyPos'</f>
        <v>-21</v>
      </c>
      <c r="V819">
        <v>47</v>
      </c>
      <c r="W819" t="str">
        <v>--</v>
      </c>
      <c r="X819" t="str">
        <v>0.00</v>
      </c>
      <c r="Y819">
        <v>0</v>
      </c>
      <c r="Z819" t="str">
        <v>3.45</v>
      </c>
      <c r="AA819" t="str">
        <v>3.79</v>
      </c>
      <c r="AB819" t="str">
        <v>王品</v>
      </c>
      <c r="AC819" t="str">
        <v>上市觀光</v>
      </c>
      <c r="AD819" t="str">
        <v>連鎖餐飲集團，旗下擁有多個餐飲品牌</v>
      </c>
      <c r="AE819" t="str">
        <f t="array" ref="AE819:AH819">[1]!'2727.TW-CName,InvestorConferenceDate,DateofMeetingofShareHolders,TradingDate'</f>
        <v>王品</v>
      </c>
      <c r="AF819" t="str">
        <v>2022/11/09</v>
      </c>
      <c r="AG819" t="str">
        <v>2022/06/28</v>
      </c>
      <c r="AH819" t="str">
        <v>2022/12/22</v>
      </c>
    </row>
    <row r="820" spans="1:34" x14ac:dyDescent="0.3">
      <c r="A820" t="str">
        <f t="array" ref="A820:J820">[1]!'2731.TW-ID,Name,MarketValue,Capital,NetIncomeGrowthRate,OperIncomeGrowthRate,FinancialStatementsTime,TFXRatio,MonthlyNetSalesYoY,RevenueMonth'</f>
        <v>2731</v>
      </c>
      <c r="B820" t="str">
        <v>雄獅</v>
      </c>
      <c r="C820" t="str">
        <v>78.8</v>
      </c>
      <c r="D820" t="str">
        <v>7.90</v>
      </c>
      <c r="E820" t="str">
        <v>-65.62</v>
      </c>
      <c r="F820" t="str">
        <v>17.96</v>
      </c>
      <c r="G820" t="str">
        <v>2022/09</v>
      </c>
      <c r="H820" t="str">
        <v>24.22</v>
      </c>
      <c r="I820" t="str">
        <v>158.76</v>
      </c>
      <c r="J820" t="str">
        <v>2022/11</v>
      </c>
      <c r="K820" t="str">
        <f t="array" ref="K820:T820">[1]!'2731.TW-OperatingProfitRatio,Price,PriceChangeRatio,InOutRatioNumber,Value,YearReturn,MonthReturn,WeekReturn,FinanceBalanceDif,ChipsField2'</f>
        <v>-38.06</v>
      </c>
      <c r="L820">
        <v>101.5</v>
      </c>
      <c r="M820">
        <v>2.73</v>
      </c>
      <c r="N820" t="str">
        <v>56.56%</v>
      </c>
      <c r="O820" t="str">
        <v>4.06億</v>
      </c>
      <c r="P820" t="str">
        <v>+19.27</v>
      </c>
      <c r="Q820" t="str">
        <v>+6.06</v>
      </c>
      <c r="R820" t="str">
        <v>-1.46</v>
      </c>
      <c r="S820">
        <v>-200</v>
      </c>
      <c r="T820">
        <v>323</v>
      </c>
      <c r="U820">
        <f t="array" ref="U820:AD820">[1]!'2731.TW-ChipsField3,ChipsField1,ChipsField25,CashAndStockDividend,CashDividendYieldRate,ProfitFourSeason,ProfitSingle,CName,ExchangeIndustry,CompanyPos'</f>
        <v>1</v>
      </c>
      <c r="V820">
        <v>464</v>
      </c>
      <c r="W820" t="str">
        <v>--</v>
      </c>
      <c r="X820" t="str">
        <v>0.00</v>
      </c>
      <c r="Y820">
        <v>0</v>
      </c>
      <c r="Z820" t="str">
        <v>-9.22</v>
      </c>
      <c r="AA820" t="str">
        <v>-2.36</v>
      </c>
      <c r="AB820" t="str">
        <v>雄獅</v>
      </c>
      <c r="AC820" t="str">
        <v>上市觀光</v>
      </c>
      <c r="AD820" t="str">
        <v>台灣營收規模最大之綜合旅行社</v>
      </c>
      <c r="AE820" t="str">
        <f t="array" ref="AE820:AH820">[1]!'2731.TW-CName,InvestorConferenceDate,DateofMeetingofShareHolders,TradingDate'</f>
        <v>雄獅</v>
      </c>
      <c r="AF820" t="str">
        <v>2022/12/16</v>
      </c>
      <c r="AG820" t="str">
        <v>2022/06/16</v>
      </c>
      <c r="AH820" t="str">
        <v>2022/12/22</v>
      </c>
    </row>
    <row r="821" spans="1:34" x14ac:dyDescent="0.3">
      <c r="A821" t="str">
        <f t="array" ref="A821:J821">[1]!'2739.TW-ID,Name,MarketValue,Capital,NetIncomeGrowthRate,OperIncomeGrowthRate,FinancialStatementsTime,TFXRatio,MonthlyNetSalesYoY,RevenueMonth'</f>
        <v>2739</v>
      </c>
      <c r="B821" t="str">
        <v>寒舍</v>
      </c>
      <c r="C821" t="str">
        <v>27.4</v>
      </c>
      <c r="D821" t="str">
        <v>9.15</v>
      </c>
      <c r="E821" t="str">
        <v>34.32</v>
      </c>
      <c r="F821" t="str">
        <v>51.19</v>
      </c>
      <c r="G821" t="str">
        <v>2022/09</v>
      </c>
      <c r="H821" t="str">
        <v>9.85</v>
      </c>
      <c r="I821" t="str">
        <v>52.67</v>
      </c>
      <c r="J821" t="str">
        <v>2022/11</v>
      </c>
      <c r="K821" t="str">
        <f t="array" ref="K821:T821">[1]!'2739.TW-OperatingProfitRatio,Price,PriceChangeRatio,InOutRatioNumber,Value,YearReturn,MonthReturn,WeekReturn,FinanceBalanceDif,ChipsField2'</f>
        <v>-14.88</v>
      </c>
      <c r="L821">
        <v>29.95</v>
      </c>
      <c r="M821">
        <v>2.04</v>
      </c>
      <c r="N821" t="str">
        <v>83.74%</v>
      </c>
      <c r="O821" t="str">
        <v>370萬</v>
      </c>
      <c r="P821" t="str">
        <v>+8.56</v>
      </c>
      <c r="Q821" t="str">
        <v>+10.72</v>
      </c>
      <c r="R821" t="str">
        <v>+1.01</v>
      </c>
      <c r="S821">
        <v>0</v>
      </c>
      <c r="T821">
        <v>0</v>
      </c>
      <c r="U821">
        <f t="array" ref="U821:AD821">[1]!'2739.TW-ChipsField3,ChipsField1,ChipsField25,CashAndStockDividend,CashDividendYieldRate,ProfitFourSeason,ProfitSingle,CName,ExchangeIndustry,CompanyPos'</f>
        <v>0</v>
      </c>
      <c r="V821">
        <v>-3</v>
      </c>
      <c r="W821" t="str">
        <v>--</v>
      </c>
      <c r="X821" t="str">
        <v>0.00</v>
      </c>
      <c r="Y821">
        <v>0</v>
      </c>
      <c r="Z821" t="str">
        <v>-5.13</v>
      </c>
      <c r="AA821" t="str">
        <v>-0.94</v>
      </c>
      <c r="AB821" t="str">
        <v>寒舍</v>
      </c>
      <c r="AC821" t="str">
        <v>上市觀光</v>
      </c>
      <c r="AD821" t="str">
        <v>在台北經營管理五星級飯店及餐飲服務之業者</v>
      </c>
      <c r="AE821" t="str">
        <f t="array" ref="AE821:AH821">[1]!'2739.TW-CName,InvestorConferenceDate,DateofMeetingofShareHolders,TradingDate'</f>
        <v>寒舍</v>
      </c>
      <c r="AF821" t="str">
        <v>2022/12/01</v>
      </c>
      <c r="AG821" t="str">
        <v>2022/05/30</v>
      </c>
      <c r="AH821" t="str">
        <v>2022/12/22</v>
      </c>
    </row>
    <row r="822" spans="1:34" x14ac:dyDescent="0.3">
      <c r="A822" t="str">
        <f t="array" ref="A822:J822">[1]!'2748.TW-ID,Name,MarketValue,Capital,NetIncomeGrowthRate,OperIncomeGrowthRate,FinancialStatementsTime,TFXRatio,MonthlyNetSalesYoY,RevenueMonth'</f>
        <v>2748</v>
      </c>
      <c r="B822" t="str">
        <v>雲品</v>
      </c>
      <c r="C822" t="str">
        <v>52.2</v>
      </c>
      <c r="D822" t="str">
        <v>9.06</v>
      </c>
      <c r="E822" t="str">
        <v>179.56</v>
      </c>
      <c r="F822" t="str">
        <v>177.43</v>
      </c>
      <c r="G822" t="str">
        <v>2022/09</v>
      </c>
      <c r="H822" t="str">
        <v>-3.29</v>
      </c>
      <c r="I822" t="str">
        <v>31.00</v>
      </c>
      <c r="J822" t="str">
        <v>2022/11</v>
      </c>
      <c r="K822" t="str">
        <f t="array" ref="K822:T822">[1]!'2748.TW-OperatingProfitRatio,Price,PriceChangeRatio,InOutRatioNumber,Value,YearReturn,MonthReturn,WeekReturn,FinanceBalanceDif,ChipsField2'</f>
        <v>7.88</v>
      </c>
      <c r="L822">
        <v>57.7</v>
      </c>
      <c r="M822">
        <v>0.17</v>
      </c>
      <c r="N822" t="str">
        <v>27.92%</v>
      </c>
      <c r="O822" t="str">
        <v>2078萬</v>
      </c>
      <c r="P822" t="str">
        <v>+50.19</v>
      </c>
      <c r="Q822" t="str">
        <v>+14.48</v>
      </c>
      <c r="R822" t="str">
        <v>-1.37</v>
      </c>
      <c r="S822">
        <v>-28</v>
      </c>
      <c r="T822">
        <v>0</v>
      </c>
      <c r="U822">
        <f t="array" ref="U822:AD822">[1]!'2748.TW-ChipsField3,ChipsField1,ChipsField25,CashAndStockDividend,CashDividendYieldRate,ProfitFourSeason,ProfitSingle,CName,ExchangeIndustry,CompanyPos'</f>
        <v>21</v>
      </c>
      <c r="V822">
        <v>296</v>
      </c>
      <c r="W822" t="str">
        <v>2022/08/25</v>
      </c>
      <c r="X822" t="str">
        <v>0.50</v>
      </c>
      <c r="Y822">
        <v>0.87</v>
      </c>
      <c r="Z822" t="str">
        <v>1.75</v>
      </c>
      <c r="AA822" t="str">
        <v>0.49</v>
      </c>
      <c r="AB822" t="str">
        <v>雲品</v>
      </c>
      <c r="AC822" t="str">
        <v>上市觀光</v>
      </c>
      <c r="AD822" t="str">
        <v>日月潭首家擁有天然溫泉的五星渡假飯店</v>
      </c>
      <c r="AE822" t="str">
        <f t="array" ref="AE822:AH822">[1]!'2748.TW-CName,InvestorConferenceDate,DateofMeetingofShareHolders,TradingDate'</f>
        <v>雲品</v>
      </c>
      <c r="AF822" t="str">
        <v>2021/12/22</v>
      </c>
      <c r="AG822" t="str">
        <v>2022/05/27</v>
      </c>
      <c r="AH822" t="str">
        <v>2022/12/22</v>
      </c>
    </row>
    <row r="823" spans="1:34" x14ac:dyDescent="0.3">
      <c r="A823" t="str">
        <f t="array" ref="A823:J823">[1]!'2753.TW-ID,Name,MarketValue,Capital,NetIncomeGrowthRate,OperIncomeGrowthRate,FinancialStatementsTime,TFXRatio,MonthlyNetSalesYoY,RevenueMonth'</f>
        <v>2753</v>
      </c>
      <c r="B823" t="str">
        <v>八方雲集</v>
      </c>
      <c r="C823" t="str">
        <v>131.3</v>
      </c>
      <c r="D823" t="str">
        <v>6.63</v>
      </c>
      <c r="E823" t="str">
        <v>26.64</v>
      </c>
      <c r="F823" t="str">
        <v>16.91</v>
      </c>
      <c r="G823" t="str">
        <v>2022/09</v>
      </c>
      <c r="H823" t="str">
        <v>-5.01</v>
      </c>
      <c r="I823" t="str">
        <v>12.04</v>
      </c>
      <c r="J823" t="str">
        <v>2022/11</v>
      </c>
      <c r="K823" t="str">
        <f t="array" ref="K823:T823">[1]!'2753.TW-OperatingProfitRatio,Price,PriceChangeRatio,InOutRatioNumber,Value,YearReturn,MonthReturn,WeekReturn,FinanceBalanceDif,ChipsField2'</f>
        <v>11.29</v>
      </c>
      <c r="L823">
        <v>198</v>
      </c>
      <c r="M823">
        <v>1.8</v>
      </c>
      <c r="N823" t="str">
        <v>56.52%</v>
      </c>
      <c r="O823" t="str">
        <v>9693萬</v>
      </c>
      <c r="P823" t="str">
        <v>+58.91</v>
      </c>
      <c r="Q823" t="str">
        <v>-4.13</v>
      </c>
      <c r="R823" t="str">
        <v>-5.27</v>
      </c>
      <c r="S823">
        <v>75</v>
      </c>
      <c r="T823">
        <v>-6</v>
      </c>
      <c r="U823">
        <f t="array" ref="U823:AD823">[1]!'2753.TW-ChipsField3,ChipsField1,ChipsField25,CashAndStockDividend,CashDividendYieldRate,ProfitFourSeason,ProfitSingle,CName,ExchangeIndustry,CompanyPos'</f>
        <v>3</v>
      </c>
      <c r="V823">
        <v>40</v>
      </c>
      <c r="W823" t="str">
        <v>2022/12/15</v>
      </c>
      <c r="X823" t="str">
        <v>2.49</v>
      </c>
      <c r="Y823">
        <v>3.28</v>
      </c>
      <c r="Z823" t="str">
        <v>9.89</v>
      </c>
      <c r="AA823" t="str">
        <v>2.69</v>
      </c>
      <c r="AB823" t="str">
        <v>八方雲集</v>
      </c>
      <c r="AC823" t="str">
        <v>上市觀光</v>
      </c>
      <c r="AD823" t="str">
        <v>台式連鎖餐飲集團，擁有八方雲集、梁社漢排骨</v>
      </c>
      <c r="AE823" t="str">
        <f t="array" ref="AE823:AH823">[1]!'2753.TW-CName,InvestorConferenceDate,DateofMeetingofShareHolders,TradingDate'</f>
        <v>八方雲集</v>
      </c>
      <c r="AF823" t="str">
        <v>2022/11/22</v>
      </c>
      <c r="AG823" t="str">
        <v>2022/06/15</v>
      </c>
      <c r="AH823" t="str">
        <v>2022/12/22</v>
      </c>
    </row>
    <row r="824" spans="1:34" x14ac:dyDescent="0.3">
      <c r="A824" t="str">
        <f t="array" ref="A824:J824">[1]!'5706.TW-ID,Name,MarketValue,Capital,NetIncomeGrowthRate,OperIncomeGrowthRate,FinancialStatementsTime,TFXRatio,MonthlyNetSalesYoY,RevenueMonth'</f>
        <v>5706</v>
      </c>
      <c r="B824" t="str">
        <v>鳳凰</v>
      </c>
      <c r="C824" t="str">
        <v>45.3</v>
      </c>
      <c r="D824" t="str">
        <v>7.38</v>
      </c>
      <c r="E824" t="str">
        <v>-133.40</v>
      </c>
      <c r="F824" t="str">
        <v>1.60</v>
      </c>
      <c r="G824" t="str">
        <v>2022/09</v>
      </c>
      <c r="H824" t="str">
        <v>316.38</v>
      </c>
      <c r="I824" t="str">
        <v>421.08</v>
      </c>
      <c r="J824" t="str">
        <v>2022/11</v>
      </c>
      <c r="K824" t="str">
        <f t="array" ref="K824:T824">[1]!'5706.TW-OperatingProfitRatio,Price,PriceChangeRatio,InOutRatioNumber,Value,YearReturn,MonthReturn,WeekReturn,FinanceBalanceDif,ChipsField2'</f>
        <v>-53.67</v>
      </c>
      <c r="L824">
        <v>61.4</v>
      </c>
      <c r="M824">
        <v>1.49</v>
      </c>
      <c r="N824" t="str">
        <v>41.63%</v>
      </c>
      <c r="O824" t="str">
        <v>1.66億</v>
      </c>
      <c r="P824" t="str">
        <v>+61.83</v>
      </c>
      <c r="Q824" t="str">
        <v>+16.95</v>
      </c>
      <c r="R824" t="str">
        <v>+4.24</v>
      </c>
      <c r="S824">
        <v>-65</v>
      </c>
      <c r="T824">
        <v>0</v>
      </c>
      <c r="U824">
        <f t="array" ref="U824:AD824">[1]!'5706.TW-ChipsField3,ChipsField1,ChipsField25,CashAndStockDividend,CashDividendYieldRate,ProfitFourSeason,ProfitSingle,CName,ExchangeIndustry,CompanyPos'</f>
        <v>0</v>
      </c>
      <c r="V824">
        <v>580</v>
      </c>
      <c r="W824" t="str">
        <v>2022/07/29</v>
      </c>
      <c r="X824" t="str">
        <v>2.00</v>
      </c>
      <c r="Y824">
        <v>3.26</v>
      </c>
      <c r="Z824" t="str">
        <v>-0.26</v>
      </c>
      <c r="AA824" t="str">
        <v>0.17</v>
      </c>
      <c r="AB824" t="str">
        <v>鳳凰</v>
      </c>
      <c r="AC824" t="str">
        <v>上市觀光</v>
      </c>
      <c r="AD824" t="str">
        <v>台灣首家上市旅行社，提供國內外全方位旅遊產品</v>
      </c>
      <c r="AE824" t="str">
        <f t="array" ref="AE824:AH824">[1]!'5706.TW-CName,InvestorConferenceDate,DateofMeetingofShareHolders,TradingDate'</f>
        <v>鳳凰</v>
      </c>
      <c r="AF824" t="str">
        <v>2022/12/14</v>
      </c>
      <c r="AG824" t="str">
        <v>2022/06/15</v>
      </c>
      <c r="AH824" t="str">
        <v>2022/12/22</v>
      </c>
    </row>
    <row r="825" spans="1:34" x14ac:dyDescent="0.3">
      <c r="A825" t="str">
        <f t="array" ref="A825:J825">[1]!'8462.TW-ID,Name,MarketValue,Capital,NetIncomeGrowthRate,OperIncomeGrowthRate,FinancialStatementsTime,TFXRatio,MonthlyNetSalesYoY,RevenueMonth'</f>
        <v>8462</v>
      </c>
      <c r="B825" t="str">
        <v>柏文</v>
      </c>
      <c r="C825" t="str">
        <v>95.3</v>
      </c>
      <c r="D825" t="str">
        <v>7.94</v>
      </c>
      <c r="E825" t="str">
        <v>127.42</v>
      </c>
      <c r="F825" t="str">
        <v>149.99</v>
      </c>
      <c r="G825" t="str">
        <v>2022/09</v>
      </c>
      <c r="H825" t="str">
        <v>1.58</v>
      </c>
      <c r="I825" t="str">
        <v>-1.37</v>
      </c>
      <c r="J825" t="str">
        <v>2022/11</v>
      </c>
      <c r="K825" t="str">
        <f t="array" ref="K825:T825">[1]!'8462.TW-OperatingProfitRatio,Price,PriceChangeRatio,InOutRatioNumber,Value,YearReturn,MonthReturn,WeekReturn,FinanceBalanceDif,ChipsField2'</f>
        <v>5.09</v>
      </c>
      <c r="L825">
        <v>120</v>
      </c>
      <c r="M825">
        <v>1.69</v>
      </c>
      <c r="N825" t="str">
        <v>50.00%</v>
      </c>
      <c r="O825" t="str">
        <v>119萬</v>
      </c>
      <c r="P825" t="str">
        <v>-10.22</v>
      </c>
      <c r="Q825" t="str">
        <v>+10.09</v>
      </c>
      <c r="R825" t="str">
        <v>-4.38</v>
      </c>
      <c r="S825">
        <v>11</v>
      </c>
      <c r="T825">
        <v>0</v>
      </c>
      <c r="U825">
        <f t="array" ref="U825:AD825">[1]!'8462.TW-ChipsField3,ChipsField1,ChipsField25,CashAndStockDividend,CashDividendYieldRate,ProfitFourSeason,ProfitSingle,CName,ExchangeIndustry,CompanyPos'</f>
        <v>-5</v>
      </c>
      <c r="V825">
        <v>-5</v>
      </c>
      <c r="W825" t="str">
        <v>2022/07/01</v>
      </c>
      <c r="X825" t="str">
        <v>1.29</v>
      </c>
      <c r="Y825">
        <v>1.08</v>
      </c>
      <c r="Z825" t="str">
        <v>2.45</v>
      </c>
      <c r="AA825" t="str">
        <v>0.03</v>
      </c>
      <c r="AB825" t="str">
        <v>柏文</v>
      </c>
      <c r="AC825" t="str">
        <v>上市觀光</v>
      </c>
      <c r="AD825" t="str">
        <v>台灣連鎖健身俱樂部業者</v>
      </c>
      <c r="AE825" t="str">
        <f t="array" ref="AE825:AH825">[1]!'8462.TW-CName,InvestorConferenceDate,DateofMeetingofShareHolders,TradingDate'</f>
        <v>柏文</v>
      </c>
      <c r="AF825" t="str">
        <v>2022/10/13</v>
      </c>
      <c r="AG825" t="str">
        <v>2022/06/01</v>
      </c>
      <c r="AH825" t="str">
        <v>2022/12/22</v>
      </c>
    </row>
    <row r="826" spans="1:34" x14ac:dyDescent="0.3">
      <c r="A826" t="str">
        <f t="array" ref="A826:J826">[1]!'8940.TW-ID,Name,MarketValue,Capital,NetIncomeGrowthRate,OperIncomeGrowthRate,FinancialStatementsTime,TFXRatio,MonthlyNetSalesYoY,RevenueMonth'</f>
        <v>8940</v>
      </c>
      <c r="B826" t="str">
        <v>新天地</v>
      </c>
      <c r="C826" t="str">
        <v>11.1</v>
      </c>
      <c r="D826" t="str">
        <v>6.75</v>
      </c>
      <c r="E826" t="str">
        <v>79.95</v>
      </c>
      <c r="F826" t="str">
        <v>74.50</v>
      </c>
      <c r="G826" t="str">
        <v>2022/09</v>
      </c>
      <c r="H826" t="str">
        <v>20.22</v>
      </c>
      <c r="I826" t="str">
        <v>45.93</v>
      </c>
      <c r="J826" t="str">
        <v>2022/11</v>
      </c>
      <c r="K826" t="str">
        <f t="array" ref="K826:T826">[1]!'8940.TW-OperatingProfitRatio,Price,PriceChangeRatio,InOutRatioNumber,Value,YearReturn,MonthReturn,WeekReturn,FinanceBalanceDif,ChipsField2'</f>
        <v>-5.98</v>
      </c>
      <c r="L826">
        <v>16.399999999999999</v>
      </c>
      <c r="M826">
        <v>1.23</v>
      </c>
      <c r="N826" t="str">
        <v>41.38%</v>
      </c>
      <c r="O826" t="str">
        <v>47.4萬</v>
      </c>
      <c r="P826" t="str">
        <v>+27.63</v>
      </c>
      <c r="Q826" t="str">
        <v>+6.84</v>
      </c>
      <c r="R826" t="str">
        <v>-1.50</v>
      </c>
      <c r="S826">
        <v>0</v>
      </c>
      <c r="T826">
        <v>0</v>
      </c>
      <c r="U826">
        <f t="array" ref="U826:AD826">[1]!'8940.TW-ChipsField3,ChipsField1,ChipsField25,CashAndStockDividend,CashDividendYieldRate,ProfitFourSeason,ProfitSingle,CName,ExchangeIndustry,CompanyPos'</f>
        <v>0</v>
      </c>
      <c r="V826">
        <v>12</v>
      </c>
      <c r="W826" t="str">
        <v>--</v>
      </c>
      <c r="X826" t="str">
        <v>0.00</v>
      </c>
      <c r="Y826">
        <v>0</v>
      </c>
      <c r="Z826" t="str">
        <v>-0.04</v>
      </c>
      <c r="AA826" t="str">
        <v>-0.38</v>
      </c>
      <c r="AB826" t="str">
        <v>新天地</v>
      </c>
      <c r="AC826" t="str">
        <v>上市觀光</v>
      </c>
      <c r="AD826" t="str">
        <v>於台灣北中南部擁有多家大型婚宴會館業者</v>
      </c>
      <c r="AE826" t="str">
        <f t="array" ref="AE826:AH826">[1]!'8940.TW-CName,InvestorConferenceDate,DateofMeetingofShareHolders,TradingDate'</f>
        <v>新天地</v>
      </c>
      <c r="AF826" t="str">
        <v>2022/11/23</v>
      </c>
      <c r="AG826" t="str">
        <v>2022/05/26</v>
      </c>
      <c r="AH826" t="str">
        <v>2022/12/22</v>
      </c>
    </row>
    <row r="827" spans="1:34" x14ac:dyDescent="0.3">
      <c r="A827" t="str">
        <f t="array" ref="A827:J827">[1]!'9943.TW-ID,Name,MarketValue,Capital,NetIncomeGrowthRate,OperIncomeGrowthRate,FinancialStatementsTime,TFXRatio,MonthlyNetSalesYoY,RevenueMonth'</f>
        <v>9943</v>
      </c>
      <c r="B827" t="str">
        <v>好樂迪</v>
      </c>
      <c r="C827" t="str">
        <v>78.4</v>
      </c>
      <c r="D827" t="str">
        <v>12.52</v>
      </c>
      <c r="E827" t="str">
        <v>316.23</v>
      </c>
      <c r="F827" t="str">
        <v>203.33</v>
      </c>
      <c r="G827" t="str">
        <v>2022/09</v>
      </c>
      <c r="H827" t="str">
        <v>-10.03</v>
      </c>
      <c r="I827" t="str">
        <v>-13.18</v>
      </c>
      <c r="J827" t="str">
        <v>2022/11</v>
      </c>
      <c r="K827" t="str">
        <f t="array" ref="K827:T827">[1]!'9943.TW-OperatingProfitRatio,Price,PriceChangeRatio,InOutRatioNumber,Value,YearReturn,MonthReturn,WeekReturn,FinanceBalanceDif,ChipsField2'</f>
        <v>9.69</v>
      </c>
      <c r="L827">
        <v>62.6</v>
      </c>
      <c r="M827">
        <v>0.16</v>
      </c>
      <c r="N827" t="str">
        <v>23.08%</v>
      </c>
      <c r="O827" t="str">
        <v>81.3萬</v>
      </c>
      <c r="P827" t="str">
        <v>-8.57</v>
      </c>
      <c r="Q827" t="str">
        <v>+3.81</v>
      </c>
      <c r="R827" t="str">
        <v>-0.16</v>
      </c>
      <c r="S827">
        <v>0</v>
      </c>
      <c r="T827">
        <v>0</v>
      </c>
      <c r="U827">
        <f t="array" ref="U827:AD827">[1]!'9943.TW-ChipsField3,ChipsField1,ChipsField25,CashAndStockDividend,CashDividendYieldRate,ProfitFourSeason,ProfitSingle,CName,ExchangeIndustry,CompanyPos'</f>
        <v>0</v>
      </c>
      <c r="V827">
        <v>-1</v>
      </c>
      <c r="W827" t="str">
        <v>2022/07/04</v>
      </c>
      <c r="X827" t="str">
        <v>0.50</v>
      </c>
      <c r="Y827">
        <v>0.8</v>
      </c>
      <c r="Z827" t="str">
        <v>3.57</v>
      </c>
      <c r="AA827" t="str">
        <v>1.26</v>
      </c>
      <c r="AB827" t="str">
        <v>好樂迪</v>
      </c>
      <c r="AC827" t="str">
        <v>上市觀光</v>
      </c>
      <c r="AD827" t="str">
        <v>台灣知名KTV業者</v>
      </c>
      <c r="AE827" t="str">
        <f t="array" ref="AE827:AH827">[1]!'9943.TW-CName,InvestorConferenceDate,DateofMeetingofShareHolders,TradingDate'</f>
        <v>好樂迪</v>
      </c>
      <c r="AF827" t="str">
        <v>2022/12/07</v>
      </c>
      <c r="AG827" t="str">
        <v>2022/06/16</v>
      </c>
      <c r="AH827" t="str">
        <v>2022/12/22</v>
      </c>
    </row>
    <row r="828" spans="1:34" x14ac:dyDescent="0.3">
      <c r="A828" t="str">
        <f t="array" ref="A828:J828">[1]!'2801.TW-ID,Name,MarketValue,Capital,NetIncomeGrowthRate,OperIncomeGrowthRate,FinancialStatementsTime,TFXRatio,MonthlyNetSalesYoY,RevenueMonth'</f>
        <v>2801</v>
      </c>
      <c r="B828" t="str">
        <v>彰銀</v>
      </c>
      <c r="C828" t="str">
        <v>1832.7</v>
      </c>
      <c r="D828" t="str">
        <v>1059.35</v>
      </c>
      <c r="E828" t="str">
        <v>25.77</v>
      </c>
      <c r="F828" t="str">
        <v>--</v>
      </c>
      <c r="G828" t="str">
        <v>2022/09</v>
      </c>
      <c r="H828" t="str">
        <v>16.33</v>
      </c>
      <c r="I828" t="str">
        <v>33.44</v>
      </c>
      <c r="J828" t="str">
        <v>2022/11</v>
      </c>
      <c r="K828" t="str">
        <f t="array" ref="K828:T828">[1]!'2801.TW-OperatingProfitRatio,Price,PriceChangeRatio,InOutRatioNumber,Value,YearReturn,MonthReturn,WeekReturn,FinanceBalanceDif,ChipsField2'</f>
        <v>--</v>
      </c>
      <c r="L828">
        <v>17.3</v>
      </c>
      <c r="M828">
        <v>0.28999999999999998</v>
      </c>
      <c r="N828" t="str">
        <v>54.90%</v>
      </c>
      <c r="O828" t="str">
        <v>4747萬</v>
      </c>
      <c r="P828" t="str">
        <v>+7.59</v>
      </c>
      <c r="Q828" t="str">
        <v>+1.47</v>
      </c>
      <c r="R828" t="str">
        <v>-0.86</v>
      </c>
      <c r="S828">
        <v>156</v>
      </c>
      <c r="T828">
        <v>0</v>
      </c>
      <c r="U828">
        <f t="array" ref="U828:AD828">[1]!'2801.TW-ChipsField3,ChipsField1,ChipsField25,CashAndStockDividend,CashDividendYieldRate,ProfitFourSeason,ProfitSingle,CName,ExchangeIndustry,CompanyPos'</f>
        <v>-459</v>
      </c>
      <c r="V828">
        <v>-66</v>
      </c>
      <c r="W828" t="str">
        <v>2022/08/11</v>
      </c>
      <c r="X828" t="str">
        <v>0.60</v>
      </c>
      <c r="Y828">
        <v>3.47</v>
      </c>
      <c r="Z828" t="str">
        <v>1.00</v>
      </c>
      <c r="AA828" t="str">
        <v>0.30</v>
      </c>
      <c r="AB828" t="str">
        <v>彰銀</v>
      </c>
      <c r="AC828" t="str">
        <v>上市金融保險</v>
      </c>
      <c r="AD828" t="str">
        <v>台灣老牌銀行，為銀行界歷史悠久的三商銀之一</v>
      </c>
      <c r="AE828" t="str">
        <f t="array" ref="AE828:AH828">[1]!'2801.TW-CName,InvestorConferenceDate,DateofMeetingofShareHolders,TradingDate'</f>
        <v>彰銀</v>
      </c>
      <c r="AF828" t="str">
        <v>2022/11/21</v>
      </c>
      <c r="AG828" t="str">
        <v>2022/06/17</v>
      </c>
      <c r="AH828" t="str">
        <v>2022/12/22</v>
      </c>
    </row>
    <row r="829" spans="1:34" x14ac:dyDescent="0.3">
      <c r="A829" t="str">
        <f t="array" ref="A829:J829">[1]!'2809.TW-ID,Name,MarketValue,Capital,NetIncomeGrowthRate,OperIncomeGrowthRate,FinancialStatementsTime,TFXRatio,MonthlyNetSalesYoY,RevenueMonth'</f>
        <v>2809</v>
      </c>
      <c r="B829" t="str">
        <v>京城銀</v>
      </c>
      <c r="C829" t="str">
        <v>390.0</v>
      </c>
      <c r="D829" t="str">
        <v>111.12</v>
      </c>
      <c r="E829" t="str">
        <v>-81.42</v>
      </c>
      <c r="F829" t="str">
        <v>--</v>
      </c>
      <c r="G829" t="str">
        <v>2022/09</v>
      </c>
      <c r="H829" t="str">
        <v>120.72</v>
      </c>
      <c r="I829" t="str">
        <v>29.68</v>
      </c>
      <c r="J829" t="str">
        <v>2022/11</v>
      </c>
      <c r="K829" t="str">
        <f t="array" ref="K829:T829">[1]!'2809.TW-OperatingProfitRatio,Price,PriceChangeRatio,InOutRatioNumber,Value,YearReturn,MonthReturn,WeekReturn,FinanceBalanceDif,ChipsField2'</f>
        <v>--</v>
      </c>
      <c r="L829">
        <v>35.1</v>
      </c>
      <c r="M829">
        <v>2.78</v>
      </c>
      <c r="N829" t="str">
        <v>23.00%</v>
      </c>
      <c r="O829" t="str">
        <v>5.72億</v>
      </c>
      <c r="P829" t="str">
        <v>-6.70</v>
      </c>
      <c r="Q829" t="str">
        <v>+1.59</v>
      </c>
      <c r="R829" t="str">
        <v>-2.50</v>
      </c>
      <c r="S829">
        <v>31</v>
      </c>
      <c r="T829">
        <v>9709</v>
      </c>
      <c r="U829">
        <f t="array" ref="U829:AD829">[1]!'2809.TW-ChipsField3,ChipsField1,ChipsField25,CashAndStockDividend,CashDividendYieldRate,ProfitFourSeason,ProfitSingle,CName,ExchangeIndustry,CompanyPos'</f>
        <v>33</v>
      </c>
      <c r="V829">
        <v>-9456</v>
      </c>
      <c r="W829" t="str">
        <v>2022/05/24</v>
      </c>
      <c r="X829" t="str">
        <v>2.10</v>
      </c>
      <c r="Y829">
        <v>5.98</v>
      </c>
      <c r="Z829" t="str">
        <v>0.73</v>
      </c>
      <c r="AA829" t="str">
        <v>0.22</v>
      </c>
      <c r="AB829" t="str">
        <v>京城銀</v>
      </c>
      <c r="AC829" t="str">
        <v>上市金融保險</v>
      </c>
      <c r="AD829" t="str">
        <v>京城建設入主之商業銀行，營業據點多集中南部</v>
      </c>
      <c r="AE829" t="str">
        <f t="array" ref="AE829:AH829">[1]!'2809.TW-CName,InvestorConferenceDate,DateofMeetingofShareHolders,TradingDate'</f>
        <v>京城銀</v>
      </c>
      <c r="AF829" t="str">
        <v>2022/08/16</v>
      </c>
      <c r="AG829" t="str">
        <v>2022/05/09</v>
      </c>
      <c r="AH829" t="str">
        <v>2022/12/22</v>
      </c>
    </row>
    <row r="830" spans="1:34" x14ac:dyDescent="0.3">
      <c r="A830" t="str">
        <f t="array" ref="A830:J830">[1]!'2812.TW-ID,Name,MarketValue,Capital,NetIncomeGrowthRate,OperIncomeGrowthRate,FinancialStatementsTime,TFXRatio,MonthlyNetSalesYoY,RevenueMonth'</f>
        <v>2812</v>
      </c>
      <c r="B830" t="str">
        <v>台中銀</v>
      </c>
      <c r="C830" t="str">
        <v>644.5</v>
      </c>
      <c r="D830" t="str">
        <v>501.54</v>
      </c>
      <c r="E830" t="str">
        <v>10.60</v>
      </c>
      <c r="F830" t="str">
        <v>--</v>
      </c>
      <c r="G830" t="str">
        <v>2022/09</v>
      </c>
      <c r="H830" t="str">
        <v>12.94</v>
      </c>
      <c r="I830" t="str">
        <v>3.60</v>
      </c>
      <c r="J830" t="str">
        <v>2022/11</v>
      </c>
      <c r="K830" t="str">
        <f t="array" ref="K830:T830">[1]!'2812.TW-OperatingProfitRatio,Price,PriceChangeRatio,InOutRatioNumber,Value,YearReturn,MonthReturn,WeekReturn,FinanceBalanceDif,ChipsField2'</f>
        <v>--</v>
      </c>
      <c r="L830">
        <v>12.85</v>
      </c>
      <c r="M830">
        <v>0.39</v>
      </c>
      <c r="N830" t="str">
        <v>45.18%</v>
      </c>
      <c r="O830" t="str">
        <v>6780萬</v>
      </c>
      <c r="P830" t="str">
        <v>+14.53</v>
      </c>
      <c r="Q830" t="str">
        <v>+0.78</v>
      </c>
      <c r="R830" t="str">
        <v>-1.91</v>
      </c>
      <c r="S830">
        <v>118</v>
      </c>
      <c r="T830">
        <v>0</v>
      </c>
      <c r="U830">
        <f t="array" ref="U830:AD830">[1]!'2812.TW-ChipsField3,ChipsField1,ChipsField25,CashAndStockDividend,CashDividendYieldRate,ProfitFourSeason,ProfitSingle,CName,ExchangeIndustry,CompanyPos'</f>
        <v>-2641</v>
      </c>
      <c r="V830">
        <v>-1366</v>
      </c>
      <c r="W830" t="str">
        <v>2022/07/19</v>
      </c>
      <c r="X830" t="str">
        <v>0.75</v>
      </c>
      <c r="Y830">
        <v>5.84</v>
      </c>
      <c r="Z830" t="str">
        <v>1.12</v>
      </c>
      <c r="AA830" t="str">
        <v>0.28</v>
      </c>
      <c r="AB830" t="str">
        <v>台中銀</v>
      </c>
      <c r="AC830" t="str">
        <v>上市金融保險</v>
      </c>
      <c r="AD830" t="str">
        <v>中纖為大股東之中小型商業銀行</v>
      </c>
      <c r="AE830" t="str">
        <f t="array" ref="AE830:AH830">[1]!'2812.TW-CName,InvestorConferenceDate,DateofMeetingofShareHolders,TradingDate'</f>
        <v>台中銀</v>
      </c>
      <c r="AF830" t="str">
        <v>2022/08/29</v>
      </c>
      <c r="AG830" t="str">
        <v>2022/05/17</v>
      </c>
      <c r="AH830" t="str">
        <v>2022/12/22</v>
      </c>
    </row>
    <row r="831" spans="1:34" x14ac:dyDescent="0.3">
      <c r="A831" t="str">
        <f t="array" ref="A831:J831">[1]!'2816.TW-ID,Name,MarketValue,Capital,NetIncomeGrowthRate,OperIncomeGrowthRate,FinancialStatementsTime,TFXRatio,MonthlyNetSalesYoY,RevenueMonth'</f>
        <v>2816</v>
      </c>
      <c r="B831" t="str">
        <v>旺旺保</v>
      </c>
      <c r="C831" t="str">
        <v>35.6</v>
      </c>
      <c r="D831" t="str">
        <v>22.36</v>
      </c>
      <c r="E831" t="str">
        <v>-308.13</v>
      </c>
      <c r="F831" t="str">
        <v>-276.04</v>
      </c>
      <c r="G831" t="str">
        <v>2022/09</v>
      </c>
      <c r="H831" t="str">
        <v>11.36</v>
      </c>
      <c r="I831" t="str">
        <v>2.81</v>
      </c>
      <c r="J831" t="str">
        <v>2022/11</v>
      </c>
      <c r="K831" t="str">
        <f t="array" ref="K831:T831">[1]!'2816.TW-OperatingProfitRatio,Price,PriceChangeRatio,InOutRatioNumber,Value,YearReturn,MonthReturn,WeekReturn,FinanceBalanceDif,ChipsField2'</f>
        <v>-13.12</v>
      </c>
      <c r="L831">
        <v>15.9</v>
      </c>
      <c r="M831">
        <v>-0.31</v>
      </c>
      <c r="N831" t="str">
        <v>52.63%</v>
      </c>
      <c r="O831" t="str">
        <v>60.6萬</v>
      </c>
      <c r="P831" t="str">
        <v>-13.55</v>
      </c>
      <c r="Q831" t="str">
        <v>+3.25</v>
      </c>
      <c r="R831" t="str">
        <v>-0.62</v>
      </c>
      <c r="S831">
        <v>0</v>
      </c>
      <c r="T831">
        <v>0</v>
      </c>
      <c r="U831">
        <f t="array" ref="U831:AD831">[1]!'2816.TW-ChipsField3,ChipsField1,ChipsField25,CashAndStockDividend,CashDividendYieldRate,ProfitFourSeason,ProfitSingle,CName,ExchangeIndustry,CompanyPos'</f>
        <v>-8</v>
      </c>
      <c r="V831">
        <v>-1</v>
      </c>
      <c r="W831" t="str">
        <v>2022/08/04</v>
      </c>
      <c r="X831" t="str">
        <v>1.00</v>
      </c>
      <c r="Y831">
        <v>6.29</v>
      </c>
      <c r="Z831" t="str">
        <v>-2.23</v>
      </c>
      <c r="AA831" t="str">
        <v>0.03</v>
      </c>
      <c r="AB831" t="str">
        <v>旺旺保</v>
      </c>
      <c r="AC831" t="str">
        <v>上市金融保險</v>
      </c>
      <c r="AD831" t="str">
        <v>台灣產險業第一家上市公司，後由旺旺集團入主</v>
      </c>
      <c r="AE831" t="str">
        <f t="array" ref="AE831:AH831">[1]!'2816.TW-CName,InvestorConferenceDate,DateofMeetingofShareHolders,TradingDate'</f>
        <v>旺旺保</v>
      </c>
      <c r="AF831" t="str">
        <v>2022/09/22</v>
      </c>
      <c r="AG831" t="str">
        <v>2022/06/24</v>
      </c>
      <c r="AH831" t="str">
        <v>2022/12/22</v>
      </c>
    </row>
    <row r="832" spans="1:34" x14ac:dyDescent="0.3">
      <c r="A832" t="str">
        <f t="array" ref="A832:J832">[1]!'2820.TW-ID,Name,MarketValue,Capital,NetIncomeGrowthRate,OperIncomeGrowthRate,FinancialStatementsTime,TFXRatio,MonthlyNetSalesYoY,RevenueMonth'</f>
        <v>2820</v>
      </c>
      <c r="B832" t="str">
        <v>華票</v>
      </c>
      <c r="C832" t="str">
        <v>195.4</v>
      </c>
      <c r="D832" t="str">
        <v>134.30</v>
      </c>
      <c r="E832" t="str">
        <v>-35.90</v>
      </c>
      <c r="F832" t="str">
        <v>--</v>
      </c>
      <c r="G832" t="str">
        <v>2022/09</v>
      </c>
      <c r="H832" t="str">
        <v>-132.72</v>
      </c>
      <c r="I832" t="str">
        <v>-108.17</v>
      </c>
      <c r="J832" t="str">
        <v>2022/11</v>
      </c>
      <c r="K832" t="str">
        <f t="array" ref="K832:T832">[1]!'2820.TW-OperatingProfitRatio,Price,PriceChangeRatio,InOutRatioNumber,Value,YearReturn,MonthReturn,WeekReturn,FinanceBalanceDif,ChipsField2'</f>
        <v>--</v>
      </c>
      <c r="L832">
        <v>14.55</v>
      </c>
      <c r="M832">
        <v>0.34</v>
      </c>
      <c r="N832" t="str">
        <v>56.70%</v>
      </c>
      <c r="O832" t="str">
        <v>423萬</v>
      </c>
      <c r="P832" t="str">
        <v>-9.54</v>
      </c>
      <c r="Q832" t="str">
        <v>0.00</v>
      </c>
      <c r="R832" t="str">
        <v>+0.34</v>
      </c>
      <c r="S832">
        <v>-10</v>
      </c>
      <c r="T832">
        <v>0</v>
      </c>
      <c r="U832">
        <f t="array" ref="U832:AD832">[1]!'2820.TW-ChipsField3,ChipsField1,ChipsField25,CashAndStockDividend,CashDividendYieldRate,ProfitFourSeason,ProfitSingle,CName,ExchangeIndustry,CompanyPos'</f>
        <v>-65</v>
      </c>
      <c r="V832">
        <v>224</v>
      </c>
      <c r="W832" t="str">
        <v>2022/07/04</v>
      </c>
      <c r="X832" t="str">
        <v>0.90</v>
      </c>
      <c r="Y832">
        <v>6.19</v>
      </c>
      <c r="Z832" t="str">
        <v>1.00</v>
      </c>
      <c r="AA832" t="str">
        <v>0.24</v>
      </c>
      <c r="AB832" t="str">
        <v>華票</v>
      </c>
      <c r="AC832" t="str">
        <v>上市金融保險</v>
      </c>
      <c r="AD832" t="str">
        <v>台灣前三大票券商</v>
      </c>
      <c r="AE832" t="str">
        <f t="array" ref="AE832:AH832">[1]!'2820.TW-CName,InvestorConferenceDate,DateofMeetingofShareHolders,TradingDate'</f>
        <v>華票</v>
      </c>
      <c r="AF832" t="str">
        <v>2022/03/23</v>
      </c>
      <c r="AG832" t="str">
        <v>2022/06/17</v>
      </c>
      <c r="AH832" t="str">
        <v>2022/12/22</v>
      </c>
    </row>
    <row r="833" spans="1:34" x14ac:dyDescent="0.3">
      <c r="A833" t="str">
        <f t="array" ref="A833:J833">[1]!'2832.TW-ID,Name,MarketValue,Capital,NetIncomeGrowthRate,OperIncomeGrowthRate,FinancialStatementsTime,TFXRatio,MonthlyNetSalesYoY,RevenueMonth'</f>
        <v>2832</v>
      </c>
      <c r="B833" t="str">
        <v>台產</v>
      </c>
      <c r="C833" t="str">
        <v>74.3</v>
      </c>
      <c r="D833" t="str">
        <v>36.22</v>
      </c>
      <c r="E833" t="str">
        <v>672.34</v>
      </c>
      <c r="F833" t="str">
        <v>604.41</v>
      </c>
      <c r="G833" t="str">
        <v>2022/09</v>
      </c>
      <c r="H833" t="str">
        <v>-8.83</v>
      </c>
      <c r="I833" t="str">
        <v>-25.81</v>
      </c>
      <c r="J833" t="str">
        <v>2022/11</v>
      </c>
      <c r="K833" t="str">
        <f t="array" ref="K833:T833">[1]!'2832.TW-OperatingProfitRatio,Price,PriceChangeRatio,InOutRatioNumber,Value,YearReturn,MonthReturn,WeekReturn,FinanceBalanceDif,ChipsField2'</f>
        <v>17.10</v>
      </c>
      <c r="L833">
        <v>20.5</v>
      </c>
      <c r="M833">
        <v>0</v>
      </c>
      <c r="N833" t="str">
        <v>36.00%</v>
      </c>
      <c r="O833" t="str">
        <v>51.2萬</v>
      </c>
      <c r="P833" t="str">
        <v>+5.80</v>
      </c>
      <c r="Q833" t="str">
        <v>+1.74</v>
      </c>
      <c r="R833" t="str">
        <v>0.00</v>
      </c>
      <c r="S833">
        <v>0</v>
      </c>
      <c r="T833">
        <v>0</v>
      </c>
      <c r="U833">
        <f t="array" ref="U833:AD833">[1]!'2832.TW-ChipsField3,ChipsField1,ChipsField25,CashAndStockDividend,CashDividendYieldRate,ProfitFourSeason,ProfitSingle,CName,ExchangeIndustry,CompanyPos'</f>
        <v>-15</v>
      </c>
      <c r="V833">
        <v>6</v>
      </c>
      <c r="W833" t="str">
        <v>2022/04/08</v>
      </c>
      <c r="X833" t="str">
        <v>0.75</v>
      </c>
      <c r="Y833">
        <v>3.66</v>
      </c>
      <c r="Z833" t="str">
        <v>3.05</v>
      </c>
      <c r="AA833" t="str">
        <v>0.71</v>
      </c>
      <c r="AB833" t="str">
        <v>台產</v>
      </c>
      <c r="AC833" t="str">
        <v>上市金融保險</v>
      </c>
      <c r="AD833" t="str">
        <v>台灣歷史最悠久的中小型產險公司</v>
      </c>
      <c r="AE833" t="str">
        <f t="array" ref="AE833:AH833">[1]!'2832.TW-CName,InvestorConferenceDate,DateofMeetingofShareHolders,TradingDate'</f>
        <v>台產</v>
      </c>
      <c r="AF833" t="str">
        <v>2022/09/13</v>
      </c>
      <c r="AG833" t="str">
        <v>2022/06/10</v>
      </c>
      <c r="AH833" t="str">
        <v>2022/12/22</v>
      </c>
    </row>
    <row r="834" spans="1:34" x14ac:dyDescent="0.3">
      <c r="A834" t="str">
        <f t="array" ref="A834:J834">[1]!'2834.TW-ID,Name,MarketValue,Capital,NetIncomeGrowthRate,OperIncomeGrowthRate,FinancialStatementsTime,TFXRatio,MonthlyNetSalesYoY,RevenueMonth'</f>
        <v>2834</v>
      </c>
      <c r="B834" t="str">
        <v>臺企銀</v>
      </c>
      <c r="C834" t="str">
        <v>1039.8</v>
      </c>
      <c r="D834" t="str">
        <v>802.97</v>
      </c>
      <c r="E834" t="str">
        <v>81.93</v>
      </c>
      <c r="F834" t="str">
        <v>--</v>
      </c>
      <c r="G834" t="str">
        <v>2022/09</v>
      </c>
      <c r="H834" t="str">
        <v>-22.18</v>
      </c>
      <c r="I834" t="str">
        <v>19.88</v>
      </c>
      <c r="J834" t="str">
        <v>2022/11</v>
      </c>
      <c r="K834" t="str">
        <f t="array" ref="K834:T834">[1]!'2834.TW-OperatingProfitRatio,Price,PriceChangeRatio,InOutRatioNumber,Value,YearReturn,MonthReturn,WeekReturn,FinanceBalanceDif,ChipsField2'</f>
        <v>--</v>
      </c>
      <c r="L834">
        <v>12.95</v>
      </c>
      <c r="M834">
        <v>0.39</v>
      </c>
      <c r="N834" t="str">
        <v>39.33%</v>
      </c>
      <c r="O834" t="str">
        <v>9328萬</v>
      </c>
      <c r="P834" t="str">
        <v>+39.56</v>
      </c>
      <c r="Q834" t="str">
        <v>+1.57</v>
      </c>
      <c r="R834" t="str">
        <v>-0.38</v>
      </c>
      <c r="S834">
        <v>-785</v>
      </c>
      <c r="T834">
        <v>0</v>
      </c>
      <c r="U834">
        <f t="array" ref="U834:AD834">[1]!'2834.TW-ChipsField3,ChipsField1,ChipsField25,CashAndStockDividend,CashDividendYieldRate,ProfitFourSeason,ProfitSingle,CName,ExchangeIndustry,CompanyPos'</f>
        <v>-644</v>
      </c>
      <c r="V834">
        <v>415</v>
      </c>
      <c r="W834" t="str">
        <v>2022/08/02</v>
      </c>
      <c r="X834" t="str">
        <v>0.47</v>
      </c>
      <c r="Y834">
        <v>3.63</v>
      </c>
      <c r="Z834" t="str">
        <v>1.05</v>
      </c>
      <c r="AA834" t="str">
        <v>0.36</v>
      </c>
      <c r="AB834" t="str">
        <v>臺企銀</v>
      </c>
      <c r="AC834" t="str">
        <v>上市金融保險</v>
      </c>
      <c r="AD834" t="str">
        <v>台灣六大泛公股銀行之一</v>
      </c>
      <c r="AE834" t="str">
        <f t="array" ref="AE834:AH834">[1]!'2834.TW-CName,InvestorConferenceDate,DateofMeetingofShareHolders,TradingDate'</f>
        <v>臺企銀</v>
      </c>
      <c r="AF834" t="str">
        <v>2022/11/23</v>
      </c>
      <c r="AG834" t="str">
        <v>2022/06/17</v>
      </c>
      <c r="AH834" t="str">
        <v>2022/12/22</v>
      </c>
    </row>
    <row r="835" spans="1:34" x14ac:dyDescent="0.3">
      <c r="A835" t="str">
        <f t="array" ref="A835:J835">[1]!'2836.TW-ID,Name,MarketValue,Capital,NetIncomeGrowthRate,OperIncomeGrowthRate,FinancialStatementsTime,TFXRatio,MonthlyNetSalesYoY,RevenueMonth'</f>
        <v>2836</v>
      </c>
      <c r="B835" t="str">
        <v>高雄銀</v>
      </c>
      <c r="C835" t="str">
        <v>150.4</v>
      </c>
      <c r="D835" t="str">
        <v>119.83</v>
      </c>
      <c r="E835" t="str">
        <v>12.82</v>
      </c>
      <c r="F835" t="str">
        <v>--</v>
      </c>
      <c r="G835" t="str">
        <v>2022/09</v>
      </c>
      <c r="H835" t="str">
        <v>3.73</v>
      </c>
      <c r="I835" t="str">
        <v>3.40</v>
      </c>
      <c r="J835" t="str">
        <v>2022/11</v>
      </c>
      <c r="K835" t="str">
        <f t="array" ref="K835:T835">[1]!'2836.TW-OperatingProfitRatio,Price,PriceChangeRatio,InOutRatioNumber,Value,YearReturn,MonthReturn,WeekReturn,FinanceBalanceDif,ChipsField2'</f>
        <v>--</v>
      </c>
      <c r="L835">
        <v>12.55</v>
      </c>
      <c r="M835">
        <v>0.4</v>
      </c>
      <c r="N835" t="str">
        <v>44.16%</v>
      </c>
      <c r="O835" t="str">
        <v>315萬</v>
      </c>
      <c r="P835" t="str">
        <v>+13.66</v>
      </c>
      <c r="Q835" t="str">
        <v>0.00</v>
      </c>
      <c r="R835" t="str">
        <v>-0.79</v>
      </c>
      <c r="S835">
        <v>-4</v>
      </c>
      <c r="T835">
        <v>0</v>
      </c>
      <c r="U835">
        <f t="array" ref="U835:AD835">[1]!'2836.TW-ChipsField3,ChipsField1,ChipsField25,CashAndStockDividend,CashDividendYieldRate,ProfitFourSeason,ProfitSingle,CName,ExchangeIndustry,CompanyPos'</f>
        <v>-21</v>
      </c>
      <c r="V835">
        <v>-66</v>
      </c>
      <c r="W835" t="str">
        <v>2022/07/28</v>
      </c>
      <c r="X835" t="str">
        <v>0.70</v>
      </c>
      <c r="Y835">
        <v>5.58</v>
      </c>
      <c r="Z835" t="str">
        <v>0.85</v>
      </c>
      <c r="AA835" t="str">
        <v>0.18</v>
      </c>
      <c r="AB835" t="str">
        <v>高雄銀</v>
      </c>
      <c r="AC835" t="str">
        <v>上市金融保險</v>
      </c>
      <c r="AD835" t="str">
        <v>高雄市政府為大股東之區域型銀行</v>
      </c>
      <c r="AE835" t="str">
        <f t="array" ref="AE835:AH835">[1]!'2836.TW-CName,InvestorConferenceDate,DateofMeetingofShareHolders,TradingDate'</f>
        <v>高雄銀</v>
      </c>
      <c r="AF835" t="str">
        <v>2022/11/23</v>
      </c>
      <c r="AG835" t="str">
        <v>2022/12/22</v>
      </c>
      <c r="AH835" t="str">
        <v>2022/12/22</v>
      </c>
    </row>
    <row r="836" spans="1:34" x14ac:dyDescent="0.3">
      <c r="A836" t="str">
        <f t="array" ref="A836:J836">[1]!'2838.TW-ID,Name,MarketValue,Capital,NetIncomeGrowthRate,OperIncomeGrowthRate,FinancialStatementsTime,TFXRatio,MonthlyNetSalesYoY,RevenueMonth'</f>
        <v>2838</v>
      </c>
      <c r="B836" t="str">
        <v>聯邦銀</v>
      </c>
      <c r="C836" t="str">
        <v>584.0</v>
      </c>
      <c r="D836" t="str">
        <v>359.40</v>
      </c>
      <c r="E836" t="str">
        <v>-33.52</v>
      </c>
      <c r="F836" t="str">
        <v>--</v>
      </c>
      <c r="G836" t="str">
        <v>2022/09</v>
      </c>
      <c r="H836" t="str">
        <v>16.92</v>
      </c>
      <c r="I836" t="str">
        <v>2.89</v>
      </c>
      <c r="J836" t="str">
        <v>2022/11</v>
      </c>
      <c r="K836" t="str">
        <f t="array" ref="K836:T836">[1]!'2838.TW-OperatingProfitRatio,Price,PriceChangeRatio,InOutRatioNumber,Value,YearReturn,MonthReturn,WeekReturn,FinanceBalanceDif,ChipsField2'</f>
        <v>--</v>
      </c>
      <c r="L836">
        <v>16.25</v>
      </c>
      <c r="M836">
        <v>1.56</v>
      </c>
      <c r="N836" t="str">
        <v>65.76%</v>
      </c>
      <c r="O836" t="str">
        <v>2065萬</v>
      </c>
      <c r="P836" t="str">
        <v>+36.85</v>
      </c>
      <c r="Q836" t="str">
        <v>+1.56</v>
      </c>
      <c r="R836" t="str">
        <v>+0.62</v>
      </c>
      <c r="S836">
        <v>1</v>
      </c>
      <c r="T836">
        <v>0</v>
      </c>
      <c r="U836">
        <f t="array" ref="U836:AD836">[1]!'2838.TW-ChipsField3,ChipsField1,ChipsField25,CashAndStockDividend,CashDividendYieldRate,ProfitFourSeason,ProfitSingle,CName,ExchangeIndustry,CompanyPos'</f>
        <v>-130</v>
      </c>
      <c r="V836">
        <v>363</v>
      </c>
      <c r="W836" t="str">
        <v>2022/07/06</v>
      </c>
      <c r="X836" t="str">
        <v>1.04</v>
      </c>
      <c r="Y836">
        <v>6.4</v>
      </c>
      <c r="Z836" t="str">
        <v>0.96</v>
      </c>
      <c r="AA836" t="str">
        <v>0.34</v>
      </c>
      <c r="AB836" t="str">
        <v>聯邦銀</v>
      </c>
      <c r="AC836" t="str">
        <v>上市金融保險</v>
      </c>
      <c r="AD836" t="str">
        <v>三重幫林榮三家族為大股東之民營銀行</v>
      </c>
      <c r="AE836" t="str">
        <f t="array" ref="AE836:AH836">[1]!'2838.TW-CName,InvestorConferenceDate,DateofMeetingofShareHolders,TradingDate'</f>
        <v>聯邦銀</v>
      </c>
      <c r="AF836" t="str">
        <v>2022/11/11</v>
      </c>
      <c r="AG836" t="str">
        <v>2022/05/27</v>
      </c>
      <c r="AH836" t="str">
        <v>2022/12/22</v>
      </c>
    </row>
    <row r="837" spans="1:34" x14ac:dyDescent="0.3">
      <c r="A837" t="str">
        <f t="array" ref="A837:J837">[1]!'2845.TW-ID,Name,MarketValue,Capital,NetIncomeGrowthRate,OperIncomeGrowthRate,FinancialStatementsTime,TFXRatio,MonthlyNetSalesYoY,RevenueMonth'</f>
        <v>2845</v>
      </c>
      <c r="B837" t="str">
        <v>遠東銀</v>
      </c>
      <c r="C837" t="str">
        <v>455.8</v>
      </c>
      <c r="D837" t="str">
        <v>406.95</v>
      </c>
      <c r="E837" t="str">
        <v>13.04</v>
      </c>
      <c r="F837" t="str">
        <v>--</v>
      </c>
      <c r="G837" t="str">
        <v>2022/09</v>
      </c>
      <c r="H837" t="str">
        <v>13.31</v>
      </c>
      <c r="I837" t="str">
        <v>24.74</v>
      </c>
      <c r="J837" t="str">
        <v>2022/11</v>
      </c>
      <c r="K837" t="str">
        <f t="array" ref="K837:T837">[1]!'2845.TW-OperatingProfitRatio,Price,PriceChangeRatio,InOutRatioNumber,Value,YearReturn,MonthReturn,WeekReturn,FinanceBalanceDif,ChipsField2'</f>
        <v>--</v>
      </c>
      <c r="L837">
        <v>11.2</v>
      </c>
      <c r="M837">
        <v>1.36</v>
      </c>
      <c r="N837" t="str">
        <v>83.63%</v>
      </c>
      <c r="O837" t="str">
        <v>6284萬</v>
      </c>
      <c r="P837" t="str">
        <v>+11.22</v>
      </c>
      <c r="Q837" t="str">
        <v>+3.70</v>
      </c>
      <c r="R837" t="str">
        <v>-0.44</v>
      </c>
      <c r="S837">
        <v>-9</v>
      </c>
      <c r="T837">
        <v>0</v>
      </c>
      <c r="U837">
        <f t="array" ref="U837:AD837">[1]!'2845.TW-ChipsField3,ChipsField1,ChipsField25,CashAndStockDividend,CashDividendYieldRate,ProfitFourSeason,ProfitSingle,CName,ExchangeIndustry,CompanyPos'</f>
        <v>-244</v>
      </c>
      <c r="V837">
        <v>-336</v>
      </c>
      <c r="W837" t="str">
        <v>2022/09/06</v>
      </c>
      <c r="X837" t="str">
        <v>0.59</v>
      </c>
      <c r="Y837">
        <v>5.27</v>
      </c>
      <c r="Z837" t="str">
        <v>0.92</v>
      </c>
      <c r="AA837" t="str">
        <v>0.24</v>
      </c>
      <c r="AB837" t="str">
        <v>遠東銀</v>
      </c>
      <c r="AC837" t="str">
        <v>上市金融保險</v>
      </c>
      <c r="AD837" t="str">
        <v>遠東集團旗下之中小型商業銀行</v>
      </c>
      <c r="AE837" t="str">
        <f t="array" ref="AE837:AH837">[1]!'2845.TW-CName,InvestorConferenceDate,DateofMeetingofShareHolders,TradingDate'</f>
        <v>遠東銀</v>
      </c>
      <c r="AF837" t="str">
        <v>2022/11/10</v>
      </c>
      <c r="AG837" t="str">
        <v>2022/06/21</v>
      </c>
      <c r="AH837" t="str">
        <v>2022/12/22</v>
      </c>
    </row>
    <row r="838" spans="1:34" x14ac:dyDescent="0.3">
      <c r="A838" t="str">
        <f t="array" ref="A838:J838">[1]!'2849.TW-ID,Name,MarketValue,Capital,NetIncomeGrowthRate,OperIncomeGrowthRate,FinancialStatementsTime,TFXRatio,MonthlyNetSalesYoY,RevenueMonth'</f>
        <v>2849</v>
      </c>
      <c r="B838" t="str">
        <v>安泰銀</v>
      </c>
      <c r="C838" t="str">
        <v>219.4</v>
      </c>
      <c r="D838" t="str">
        <v>195.76</v>
      </c>
      <c r="E838" t="str">
        <v>-13.47</v>
      </c>
      <c r="F838" t="str">
        <v>--</v>
      </c>
      <c r="G838" t="str">
        <v>2022/09</v>
      </c>
      <c r="H838" t="str">
        <v>-6.75</v>
      </c>
      <c r="I838" t="str">
        <v>3.98</v>
      </c>
      <c r="J838" t="str">
        <v>2022/11</v>
      </c>
      <c r="K838" t="str">
        <f t="array" ref="K838:T838">[1]!'2849.TW-OperatingProfitRatio,Price,PriceChangeRatio,InOutRatioNumber,Value,YearReturn,MonthReturn,WeekReturn,FinanceBalanceDif,ChipsField2'</f>
        <v>--</v>
      </c>
      <c r="L838">
        <v>14.6</v>
      </c>
      <c r="M838">
        <v>0</v>
      </c>
      <c r="N838" t="str">
        <v>38.10%</v>
      </c>
      <c r="O838" t="str">
        <v>30.8萬</v>
      </c>
      <c r="P838" t="str">
        <v>-6.45</v>
      </c>
      <c r="Q838" t="str">
        <v>-0.34</v>
      </c>
      <c r="R838" t="str">
        <v>-2.67</v>
      </c>
      <c r="S838">
        <v>1</v>
      </c>
      <c r="T838">
        <v>0</v>
      </c>
      <c r="U838">
        <f t="array" ref="U838:AD838">[1]!'2849.TW-ChipsField3,ChipsField1,ChipsField25,CashAndStockDividend,CashDividendYieldRate,ProfitFourSeason,ProfitSingle,CName,ExchangeIndustry,CompanyPos'</f>
        <v>-12</v>
      </c>
      <c r="V838">
        <v>-2</v>
      </c>
      <c r="W838" t="str">
        <v>2022/07/19</v>
      </c>
      <c r="X838" t="str">
        <v>0.73</v>
      </c>
      <c r="Y838">
        <v>5</v>
      </c>
      <c r="Z838" t="str">
        <v>1.06</v>
      </c>
      <c r="AA838" t="str">
        <v>0.24</v>
      </c>
      <c r="AB838" t="str">
        <v>安泰銀</v>
      </c>
      <c r="AC838" t="str">
        <v>上市金融保險</v>
      </c>
      <c r="AD838" t="str">
        <v>私募基金隆力集團入主的中小型銀行</v>
      </c>
      <c r="AE838" t="str">
        <f t="array" ref="AE838:AH838">[1]!'2849.TW-CName,InvestorConferenceDate,DateofMeetingofShareHolders,TradingDate'</f>
        <v>安泰銀</v>
      </c>
      <c r="AF838" t="str">
        <v>2022/11/11</v>
      </c>
      <c r="AG838" t="str">
        <v>2022/06/17</v>
      </c>
      <c r="AH838" t="str">
        <v>2022/12/22</v>
      </c>
    </row>
    <row r="839" spans="1:34" x14ac:dyDescent="0.3">
      <c r="A839" t="str">
        <f t="array" ref="A839:J839">[1]!'2850.TW-ID,Name,MarketValue,Capital,NetIncomeGrowthRate,OperIncomeGrowthRate,FinancialStatementsTime,TFXRatio,MonthlyNetSalesYoY,RevenueMonth'</f>
        <v>2850</v>
      </c>
      <c r="B839" t="str">
        <v>新產</v>
      </c>
      <c r="C839" t="str">
        <v>153.9</v>
      </c>
      <c r="D839" t="str">
        <v>31.60</v>
      </c>
      <c r="E839" t="str">
        <v>-13.00</v>
      </c>
      <c r="F839" t="str">
        <v>-7.51</v>
      </c>
      <c r="G839" t="str">
        <v>2022/09</v>
      </c>
      <c r="H839" t="str">
        <v>-3.46</v>
      </c>
      <c r="I839" t="str">
        <v>-0.73</v>
      </c>
      <c r="J839" t="str">
        <v>2022/11</v>
      </c>
      <c r="K839" t="str">
        <f t="array" ref="K839:T839">[1]!'2850.TW-OperatingProfitRatio,Price,PriceChangeRatio,InOutRatioNumber,Value,YearReturn,MonthReturn,WeekReturn,FinanceBalanceDif,ChipsField2'</f>
        <v>13.21</v>
      </c>
      <c r="L839">
        <v>48.7</v>
      </c>
      <c r="M839">
        <v>2.2000000000000002</v>
      </c>
      <c r="N839" t="str">
        <v>59.12%</v>
      </c>
      <c r="O839" t="str">
        <v>776萬</v>
      </c>
      <c r="P839" t="str">
        <v>+11.41</v>
      </c>
      <c r="Q839" t="str">
        <v>+4.39</v>
      </c>
      <c r="R839" t="str">
        <v>+2.10</v>
      </c>
      <c r="S839">
        <v>0</v>
      </c>
      <c r="T839">
        <v>0</v>
      </c>
      <c r="U839">
        <f t="array" ref="U839:AD839">[1]!'2850.TW-ChipsField3,ChipsField1,ChipsField25,CashAndStockDividend,CashDividendYieldRate,ProfitFourSeason,ProfitSingle,CName,ExchangeIndustry,CompanyPos'</f>
        <v>-20</v>
      </c>
      <c r="V839">
        <v>41</v>
      </c>
      <c r="W839" t="str">
        <v>2022/06/14</v>
      </c>
      <c r="X839" t="str">
        <v>3.20</v>
      </c>
      <c r="Y839">
        <v>6.57</v>
      </c>
      <c r="Z839" t="str">
        <v>6.42</v>
      </c>
      <c r="AA839" t="str">
        <v>1.78</v>
      </c>
      <c r="AB839" t="str">
        <v>新產</v>
      </c>
      <c r="AC839" t="str">
        <v>上市金融保險</v>
      </c>
      <c r="AD839" t="str">
        <v>新光集團旗下，為台灣前三大產險公司</v>
      </c>
      <c r="AE839" t="str">
        <f t="array" ref="AE839:AH839">[1]!'2850.TW-CName,InvestorConferenceDate,DateofMeetingofShareHolders,TradingDate'</f>
        <v>新產</v>
      </c>
      <c r="AF839" t="str">
        <v>2022/12/22</v>
      </c>
      <c r="AG839" t="str">
        <v>2022/05/27</v>
      </c>
      <c r="AH839" t="str">
        <v>2022/12/22</v>
      </c>
    </row>
    <row r="840" spans="1:34" x14ac:dyDescent="0.3">
      <c r="A840" t="str">
        <f t="array" ref="A840:J840">[1]!'2851.TW-ID,Name,MarketValue,Capital,NetIncomeGrowthRate,OperIncomeGrowthRate,FinancialStatementsTime,TFXRatio,MonthlyNetSalesYoY,RevenueMonth'</f>
        <v>2851</v>
      </c>
      <c r="B840" t="str">
        <v>中再保</v>
      </c>
      <c r="C840" t="str">
        <v>146.1</v>
      </c>
      <c r="D840" t="str">
        <v>80.04</v>
      </c>
      <c r="E840" t="str">
        <v>-95.39</v>
      </c>
      <c r="F840" t="str">
        <v>-106.45</v>
      </c>
      <c r="G840" t="str">
        <v>2022/09</v>
      </c>
      <c r="H840" t="str">
        <v>4.26</v>
      </c>
      <c r="I840" t="str">
        <v>-3.60</v>
      </c>
      <c r="J840" t="str">
        <v>2022/11</v>
      </c>
      <c r="K840" t="str">
        <f t="array" ref="K840:T840">[1]!'2851.TW-OperatingProfitRatio,Price,PriceChangeRatio,InOutRatioNumber,Value,YearReturn,MonthReturn,WeekReturn,FinanceBalanceDif,ChipsField2'</f>
        <v>-0.77</v>
      </c>
      <c r="L840">
        <v>18.25</v>
      </c>
      <c r="M840">
        <v>0.55000000000000004</v>
      </c>
      <c r="N840" t="str">
        <v>56.43%</v>
      </c>
      <c r="O840" t="str">
        <v>1870萬</v>
      </c>
      <c r="P840" t="str">
        <v>-30.99</v>
      </c>
      <c r="Q840" t="str">
        <v>+4.29</v>
      </c>
      <c r="R840" t="str">
        <v>-3.95</v>
      </c>
      <c r="S840">
        <v>29</v>
      </c>
      <c r="T840">
        <v>0</v>
      </c>
      <c r="U840">
        <f t="array" ref="U840:AD840">[1]!'2851.TW-ChipsField3,ChipsField1,ChipsField25,CashAndStockDividend,CashDividendYieldRate,ProfitFourSeason,ProfitSingle,CName,ExchangeIndustry,CompanyPos'</f>
        <v>-488</v>
      </c>
      <c r="V840">
        <v>34</v>
      </c>
      <c r="W840" t="str">
        <v>2022/06/16</v>
      </c>
      <c r="X840" t="str">
        <v>1.80</v>
      </c>
      <c r="Y840">
        <v>9.86</v>
      </c>
      <c r="Z840" t="str">
        <v>0.83</v>
      </c>
      <c r="AA840" t="str">
        <v>-0.11</v>
      </c>
      <c r="AB840" t="str">
        <v>中再保</v>
      </c>
      <c r="AC840" t="str">
        <v>上市金融保險</v>
      </c>
      <c r="AD840" t="str">
        <v>長榮集團旗下，為台灣保險市場中唯一的本土再保險公司</v>
      </c>
      <c r="AE840" t="str">
        <f t="array" ref="AE840:AH840">[1]!'2851.TW-CName,InvestorConferenceDate,DateofMeetingofShareHolders,TradingDate'</f>
        <v>中再保</v>
      </c>
      <c r="AF840" t="str">
        <v>2022/09/23</v>
      </c>
      <c r="AG840" t="str">
        <v>2022/08/10</v>
      </c>
      <c r="AH840" t="str">
        <v>2022/12/22</v>
      </c>
    </row>
    <row r="841" spans="1:34" x14ac:dyDescent="0.3">
      <c r="A841" t="str">
        <f t="array" ref="A841:J841">[1]!'2852.TW-ID,Name,MarketValue,Capital,NetIncomeGrowthRate,OperIncomeGrowthRate,FinancialStatementsTime,TFXRatio,MonthlyNetSalesYoY,RevenueMonth'</f>
        <v>2852</v>
      </c>
      <c r="B841" t="str">
        <v>第一保</v>
      </c>
      <c r="C841" t="str">
        <v>47.4</v>
      </c>
      <c r="D841" t="str">
        <v>30.12</v>
      </c>
      <c r="E841" t="str">
        <v>13.92</v>
      </c>
      <c r="F841" t="str">
        <v>16.50</v>
      </c>
      <c r="G841" t="str">
        <v>2022/09</v>
      </c>
      <c r="H841" t="str">
        <v>-3.23</v>
      </c>
      <c r="I841" t="str">
        <v>9.93</v>
      </c>
      <c r="J841" t="str">
        <v>2022/11</v>
      </c>
      <c r="K841" t="str">
        <f t="array" ref="K841:T841">[1]!'2852.TW-OperatingProfitRatio,Price,PriceChangeRatio,InOutRatioNumber,Value,YearReturn,MonthReturn,WeekReturn,FinanceBalanceDif,ChipsField2'</f>
        <v>12.06</v>
      </c>
      <c r="L841">
        <v>15.75</v>
      </c>
      <c r="M841">
        <v>0</v>
      </c>
      <c r="N841" t="str">
        <v>15.92%</v>
      </c>
      <c r="O841" t="str">
        <v>387萬</v>
      </c>
      <c r="P841" t="str">
        <v>+17.63</v>
      </c>
      <c r="Q841" t="str">
        <v>+2.94</v>
      </c>
      <c r="R841" t="str">
        <v>-0.32</v>
      </c>
      <c r="S841">
        <v>0</v>
      </c>
      <c r="T841">
        <v>0</v>
      </c>
      <c r="U841">
        <f t="array" ref="U841:AD841">[1]!'2852.TW-ChipsField3,ChipsField1,ChipsField25,CashAndStockDividend,CashDividendYieldRate,ProfitFourSeason,ProfitSingle,CName,ExchangeIndustry,CompanyPos'</f>
        <v>-10</v>
      </c>
      <c r="V841">
        <v>14</v>
      </c>
      <c r="W841" t="str">
        <v>2022/07/25</v>
      </c>
      <c r="X841" t="str">
        <v>1.21</v>
      </c>
      <c r="Y841">
        <v>7.68</v>
      </c>
      <c r="Z841" t="str">
        <v>2.05</v>
      </c>
      <c r="AA841" t="str">
        <v>0.82</v>
      </c>
      <c r="AB841" t="str">
        <v>第一保</v>
      </c>
      <c r="AC841" t="str">
        <v>上市金融保險</v>
      </c>
      <c r="AD841" t="str">
        <v>台灣排名前十大的產險公司</v>
      </c>
      <c r="AE841" t="str">
        <f t="array" ref="AE841:AH841">[1]!'2852.TW-CName,InvestorConferenceDate,DateofMeetingofShareHolders,TradingDate'</f>
        <v>第一保</v>
      </c>
      <c r="AF841" t="str">
        <v>2022/11/30</v>
      </c>
      <c r="AG841" t="str">
        <v>2022/06/23</v>
      </c>
      <c r="AH841" t="str">
        <v>2022/12/22</v>
      </c>
    </row>
    <row r="842" spans="1:34" x14ac:dyDescent="0.3">
      <c r="A842" t="str">
        <f t="array" ref="A842:J842">[1]!'2855.TW-ID,Name,MarketValue,Capital,NetIncomeGrowthRate,OperIncomeGrowthRate,FinancialStatementsTime,TFXRatio,MonthlyNetSalesYoY,RevenueMonth'</f>
        <v>2855</v>
      </c>
      <c r="B842" t="str">
        <v>統一證</v>
      </c>
      <c r="C842" t="str">
        <v>230.7</v>
      </c>
      <c r="D842" t="str">
        <v>145.58</v>
      </c>
      <c r="E842" t="str">
        <v>-84.67</v>
      </c>
      <c r="F842" t="str">
        <v>-86.32</v>
      </c>
      <c r="G842" t="str">
        <v>2022/09</v>
      </c>
      <c r="H842" t="str">
        <v>79.25</v>
      </c>
      <c r="I842" t="str">
        <v>-34.64</v>
      </c>
      <c r="J842" t="str">
        <v>2022/11</v>
      </c>
      <c r="K842" t="str">
        <f t="array" ref="K842:T842">[1]!'2855.TW-OperatingProfitRatio,Price,PriceChangeRatio,InOutRatioNumber,Value,YearReturn,MonthReturn,WeekReturn,FinanceBalanceDif,ChipsField2'</f>
        <v>10.60</v>
      </c>
      <c r="L842">
        <v>15.85</v>
      </c>
      <c r="M842">
        <v>0</v>
      </c>
      <c r="N842" t="str">
        <v>45.63%</v>
      </c>
      <c r="O842" t="str">
        <v>762萬</v>
      </c>
      <c r="P842" t="str">
        <v>-22.41</v>
      </c>
      <c r="Q842" t="str">
        <v>+1.28</v>
      </c>
      <c r="R842" t="str">
        <v>-1.55</v>
      </c>
      <c r="S842">
        <v>-2</v>
      </c>
      <c r="T842">
        <v>0</v>
      </c>
      <c r="U842">
        <f t="array" ref="U842:AD842">[1]!'2855.TW-ChipsField3,ChipsField1,ChipsField25,CashAndStockDividend,CashDividendYieldRate,ProfitFourSeason,ProfitSingle,CName,ExchangeIndustry,CompanyPos'</f>
        <v>0</v>
      </c>
      <c r="V842">
        <v>256</v>
      </c>
      <c r="W842" t="str">
        <v>2022/07/12</v>
      </c>
      <c r="X842" t="str">
        <v>1.89</v>
      </c>
      <c r="Y842">
        <v>11.92</v>
      </c>
      <c r="Z842" t="str">
        <v>0.79</v>
      </c>
      <c r="AA842" t="str">
        <v>0.47</v>
      </c>
      <c r="AB842" t="str">
        <v>統一證</v>
      </c>
      <c r="AC842" t="str">
        <v>上市金融保險</v>
      </c>
      <c r="AD842" t="str">
        <v>為統一集團旗下券商，市佔排名前八大</v>
      </c>
      <c r="AE842" t="str">
        <f t="array" ref="AE842:AH842">[1]!'2855.TW-CName,InvestorConferenceDate,DateofMeetingofShareHolders,TradingDate'</f>
        <v>統一證</v>
      </c>
      <c r="AF842" t="str">
        <v>2022/11/04</v>
      </c>
      <c r="AG842" t="str">
        <v>2022/06/23</v>
      </c>
      <c r="AH842" t="str">
        <v>2022/12/22</v>
      </c>
    </row>
    <row r="843" spans="1:34" x14ac:dyDescent="0.3">
      <c r="A843" t="str">
        <f t="array" ref="A843:J843">[1]!'2867.TW-ID,Name,MarketValue,Capital,NetIncomeGrowthRate,OperIncomeGrowthRate,FinancialStatementsTime,TFXRatio,MonthlyNetSalesYoY,RevenueMonth'</f>
        <v>2867</v>
      </c>
      <c r="B843" t="str">
        <v>三商壽</v>
      </c>
      <c r="C843" t="str">
        <v>231.2</v>
      </c>
      <c r="D843" t="str">
        <v>409.95</v>
      </c>
      <c r="E843" t="str">
        <v>-389.10</v>
      </c>
      <c r="F843" t="str">
        <v>-1511.62</v>
      </c>
      <c r="G843" t="str">
        <v>2022/09</v>
      </c>
      <c r="H843" t="str">
        <v>-16.72</v>
      </c>
      <c r="I843" t="str">
        <v>-25.69</v>
      </c>
      <c r="J843" t="str">
        <v>2022/11</v>
      </c>
      <c r="K843" t="str">
        <f t="array" ref="K843:T843">[1]!'2867.TW-OperatingProfitRatio,Price,PriceChangeRatio,InOutRatioNumber,Value,YearReturn,MonthReturn,WeekReturn,FinanceBalanceDif,ChipsField2'</f>
        <v>-6.50</v>
      </c>
      <c r="L843">
        <v>5.64</v>
      </c>
      <c r="M843">
        <v>0.36</v>
      </c>
      <c r="N843" t="str">
        <v>39.82%</v>
      </c>
      <c r="O843" t="str">
        <v>2748萬</v>
      </c>
      <c r="P843" t="str">
        <v>-38.23</v>
      </c>
      <c r="Q843" t="str">
        <v>+6.62</v>
      </c>
      <c r="R843" t="str">
        <v>-2.08</v>
      </c>
      <c r="S843">
        <v>0</v>
      </c>
      <c r="T843">
        <v>0</v>
      </c>
      <c r="U843">
        <f t="array" ref="U843:AD843">[1]!'2867.TW-ChipsField3,ChipsField1,ChipsField25,CashAndStockDividend,CashDividendYieldRate,ProfitFourSeason,ProfitSingle,CName,ExchangeIndustry,CompanyPos'</f>
        <v>-669</v>
      </c>
      <c r="V843">
        <v>127</v>
      </c>
      <c r="W843" t="str">
        <v>--</v>
      </c>
      <c r="X843" t="str">
        <v>0.00</v>
      </c>
      <c r="Y843">
        <v>0</v>
      </c>
      <c r="Z843" t="str">
        <v>-2.27</v>
      </c>
      <c r="AA843" t="str">
        <v>0.34</v>
      </c>
      <c r="AB843" t="str">
        <v>三商壽</v>
      </c>
      <c r="AC843" t="str">
        <v>上市金融保險</v>
      </c>
      <c r="AD843" t="str">
        <v>台灣排名前七大的壽險公司，隸屬三商集團</v>
      </c>
      <c r="AE843" t="str">
        <f t="array" ref="AE843:AH843">[1]!'2867.TW-CName,InvestorConferenceDate,DateofMeetingofShareHolders,TradingDate'</f>
        <v>三商壽</v>
      </c>
      <c r="AF843" t="str">
        <v>2022/12/07</v>
      </c>
      <c r="AG843" t="str">
        <v>2022/09/29</v>
      </c>
      <c r="AH843" t="str">
        <v>2022/12/22</v>
      </c>
    </row>
    <row r="844" spans="1:34" x14ac:dyDescent="0.3">
      <c r="A844" t="str">
        <f t="array" ref="A844:J844">[1]!'2880.TW-ID,Name,MarketValue,Capital,NetIncomeGrowthRate,OperIncomeGrowthRate,FinancialStatementsTime,TFXRatio,MonthlyNetSalesYoY,RevenueMonth'</f>
        <v>2880</v>
      </c>
      <c r="B844" t="str">
        <v>華南金</v>
      </c>
      <c r="C844" t="str">
        <v>3103.7</v>
      </c>
      <c r="D844" t="str">
        <v>1364.27</v>
      </c>
      <c r="E844" t="str">
        <v>-2.05</v>
      </c>
      <c r="F844" t="str">
        <v>--</v>
      </c>
      <c r="G844" t="str">
        <v>2022/09</v>
      </c>
      <c r="H844" t="str">
        <v>3.77</v>
      </c>
      <c r="I844" t="str">
        <v>-5.30</v>
      </c>
      <c r="J844" t="str">
        <v>2022/11</v>
      </c>
      <c r="K844" t="str">
        <f t="array" ref="K844:T844">[1]!'2880.TW-OperatingProfitRatio,Price,PriceChangeRatio,InOutRatioNumber,Value,YearReturn,MonthReturn,WeekReturn,FinanceBalanceDif,ChipsField2'</f>
        <v>--</v>
      </c>
      <c r="L844">
        <v>22.75</v>
      </c>
      <c r="M844">
        <v>0.44</v>
      </c>
      <c r="N844" t="str">
        <v>56.14%</v>
      </c>
      <c r="O844" t="str">
        <v>7240萬</v>
      </c>
      <c r="P844" t="str">
        <v>+16.28</v>
      </c>
      <c r="Q844" t="str">
        <v>+4.36</v>
      </c>
      <c r="R844" t="str">
        <v>+0.22</v>
      </c>
      <c r="S844">
        <v>53</v>
      </c>
      <c r="T844">
        <v>0</v>
      </c>
      <c r="U844">
        <f t="array" ref="U844:AD844">[1]!'2880.TW-ChipsField3,ChipsField1,ChipsField25,CashAndStockDividend,CashDividendYieldRate,ProfitFourSeason,ProfitSingle,CName,ExchangeIndustry,CompanyPos'</f>
        <v>-665</v>
      </c>
      <c r="V844">
        <v>819</v>
      </c>
      <c r="W844" t="str">
        <v>2022/08/11</v>
      </c>
      <c r="X844" t="str">
        <v>1.12</v>
      </c>
      <c r="Y844">
        <v>4.92</v>
      </c>
      <c r="Z844" t="str">
        <v>1.26</v>
      </c>
      <c r="AA844" t="str">
        <v>0.43</v>
      </c>
      <c r="AB844" t="str">
        <v>華南金</v>
      </c>
      <c r="AC844" t="str">
        <v>上市金融保險</v>
      </c>
      <c r="AD844" t="str">
        <v>以銀行為主體公營金控公司，為台灣銀行界歷史悠久的三商銀之一</v>
      </c>
      <c r="AE844" t="str">
        <f t="array" ref="AE844:AH844">[1]!'2880.TW-CName,InvestorConferenceDate,DateofMeetingofShareHolders,TradingDate'</f>
        <v>華南金</v>
      </c>
      <c r="AF844" t="str">
        <v>2022/08/11</v>
      </c>
      <c r="AG844" t="str">
        <v>2022/06/17</v>
      </c>
      <c r="AH844" t="str">
        <v>2022/12/22</v>
      </c>
    </row>
    <row r="845" spans="1:34" x14ac:dyDescent="0.3">
      <c r="A845" t="str">
        <f t="array" ref="A845:J845">[1]!'2881.TW-ID,Name,MarketValue,Capital,NetIncomeGrowthRate,OperIncomeGrowthRate,FinancialStatementsTime,TFXRatio,MonthlyNetSalesYoY,RevenueMonth'</f>
        <v>2881</v>
      </c>
      <c r="B845" t="str">
        <v>富邦金</v>
      </c>
      <c r="C845" t="str">
        <v>7040.5</v>
      </c>
      <c r="D845" t="str">
        <v>1239.52</v>
      </c>
      <c r="E845" t="str">
        <v>-36.17</v>
      </c>
      <c r="F845" t="str">
        <v>--</v>
      </c>
      <c r="G845" t="str">
        <v>2022/09</v>
      </c>
      <c r="H845" t="str">
        <v>-392.26</v>
      </c>
      <c r="I845" t="str">
        <v>-196.45</v>
      </c>
      <c r="J845" t="str">
        <v>2022/11</v>
      </c>
      <c r="K845" t="str">
        <f t="array" ref="K845:T845">[1]!'2881.TW-OperatingProfitRatio,Price,PriceChangeRatio,InOutRatioNumber,Value,YearReturn,MonthReturn,WeekReturn,FinanceBalanceDif,ChipsField2'</f>
        <v>--</v>
      </c>
      <c r="L845">
        <v>56.8</v>
      </c>
      <c r="M845">
        <v>1.07</v>
      </c>
      <c r="N845" t="str">
        <v>45.39%</v>
      </c>
      <c r="O845" t="str">
        <v>5.82億</v>
      </c>
      <c r="P845" t="str">
        <v>-15.26</v>
      </c>
      <c r="Q845" t="str">
        <v>+2.34</v>
      </c>
      <c r="R845" t="str">
        <v>-1.22</v>
      </c>
      <c r="S845">
        <v>39</v>
      </c>
      <c r="T845">
        <v>-3959</v>
      </c>
      <c r="U845">
        <f t="array" ref="U845:AD845">[1]!'2881.TW-ChipsField3,ChipsField1,ChipsField25,CashAndStockDividend,CashDividendYieldRate,ProfitFourSeason,ProfitSingle,CName,ExchangeIndustry,CompanyPos'</f>
        <v>-632</v>
      </c>
      <c r="V845">
        <v>5323</v>
      </c>
      <c r="W845" t="str">
        <v>2022/07/27</v>
      </c>
      <c r="X845" t="str">
        <v>4.00</v>
      </c>
      <c r="Y845">
        <v>7.04</v>
      </c>
      <c r="Z845" t="str">
        <v>8.23</v>
      </c>
      <c r="AA845" t="str">
        <v>1.15</v>
      </c>
      <c r="AB845" t="str">
        <v>富邦金</v>
      </c>
      <c r="AC845" t="str">
        <v>上市金融保險</v>
      </c>
      <c r="AD845" t="str">
        <v>台灣資產規模前二大的金控公司，旗下擁有台灣最大產險公司</v>
      </c>
      <c r="AE845" t="str">
        <f t="array" ref="AE845:AH845">[1]!'2881.TW-CName,InvestorConferenceDate,DateofMeetingofShareHolders,TradingDate'</f>
        <v>富邦金</v>
      </c>
      <c r="AF845" t="str">
        <v>2022/11/25</v>
      </c>
      <c r="AG845" t="str">
        <v>2022/06/17</v>
      </c>
      <c r="AH845" t="str">
        <v>2022/12/22</v>
      </c>
    </row>
    <row r="846" spans="1:34" x14ac:dyDescent="0.3">
      <c r="A846" t="str">
        <f t="array" ref="A846:J846">[1]!'2882.TW-ID,Name,MarketValue,Capital,NetIncomeGrowthRate,OperIncomeGrowthRate,FinancialStatementsTime,TFXRatio,MonthlyNetSalesYoY,RevenueMonth'</f>
        <v>2882</v>
      </c>
      <c r="B846" t="str">
        <v>國泰金</v>
      </c>
      <c r="C846" t="str">
        <v>5926.4</v>
      </c>
      <c r="D846" t="str">
        <v>1466.92</v>
      </c>
      <c r="E846" t="str">
        <v>-55.48</v>
      </c>
      <c r="F846" t="str">
        <v>--</v>
      </c>
      <c r="G846" t="str">
        <v>2022/09</v>
      </c>
      <c r="H846" t="str">
        <v>-90.58</v>
      </c>
      <c r="I846" t="str">
        <v>-96.31</v>
      </c>
      <c r="J846" t="str">
        <v>2022/11</v>
      </c>
      <c r="K846" t="str">
        <f t="array" ref="K846:T846">[1]!'2882.TW-OperatingProfitRatio,Price,PriceChangeRatio,InOutRatioNumber,Value,YearReturn,MonthReturn,WeekReturn,FinanceBalanceDif,ChipsField2'</f>
        <v>--</v>
      </c>
      <c r="L846">
        <v>40.4</v>
      </c>
      <c r="M846">
        <v>1</v>
      </c>
      <c r="N846" t="str">
        <v>42.54%</v>
      </c>
      <c r="O846" t="str">
        <v>7.62億</v>
      </c>
      <c r="P846" t="str">
        <v>-27.93</v>
      </c>
      <c r="Q846" t="str">
        <v>-4.04</v>
      </c>
      <c r="R846" t="str">
        <v>-1.22</v>
      </c>
      <c r="S846">
        <v>-2</v>
      </c>
      <c r="T846">
        <v>588</v>
      </c>
      <c r="U846">
        <f t="array" ref="U846:AD846">[1]!'2882.TW-ChipsField3,ChipsField1,ChipsField25,CashAndStockDividend,CashDividendYieldRate,ProfitFourSeason,ProfitSingle,CName,ExchangeIndustry,CompanyPos'</f>
        <v>-3090</v>
      </c>
      <c r="V846">
        <v>1313</v>
      </c>
      <c r="W846" t="str">
        <v>2022/07/04</v>
      </c>
      <c r="X846" t="str">
        <v>3.50</v>
      </c>
      <c r="Y846">
        <v>8.66</v>
      </c>
      <c r="Z846" t="str">
        <v>5.45</v>
      </c>
      <c r="AA846" t="str">
        <v>0.39</v>
      </c>
      <c r="AB846" t="str">
        <v>國泰金</v>
      </c>
      <c r="AC846" t="str">
        <v>上市金融保險</v>
      </c>
      <c r="AD846" t="str">
        <v>台灣資產規模前二大金控公司，旗下擁有台灣最大壽險公司</v>
      </c>
      <c r="AE846" t="str">
        <f t="array" ref="AE846:AH846">[1]!'2882.TW-CName,InvestorConferenceDate,DateofMeetingofShareHolders,TradingDate'</f>
        <v>國泰金</v>
      </c>
      <c r="AF846" t="str">
        <v>2022/11/17</v>
      </c>
      <c r="AG846" t="str">
        <v>2022/06/17</v>
      </c>
      <c r="AH846" t="str">
        <v>2022/12/22</v>
      </c>
    </row>
    <row r="847" spans="1:34" x14ac:dyDescent="0.3">
      <c r="A847" t="str">
        <f t="array" ref="A847:J847">[1]!'2883.TW-ID,Name,MarketValue,Capital,NetIncomeGrowthRate,OperIncomeGrowthRate,FinancialStatementsTime,TFXRatio,MonthlyNetSalesYoY,RevenueMonth'</f>
        <v>2883</v>
      </c>
      <c r="B847" t="str">
        <v>開發金</v>
      </c>
      <c r="C847" t="str">
        <v>2156.4</v>
      </c>
      <c r="D847" t="str">
        <v>1684.54</v>
      </c>
      <c r="E847" t="str">
        <v>-51.55</v>
      </c>
      <c r="F847" t="str">
        <v>--</v>
      </c>
      <c r="G847" t="str">
        <v>2022/09</v>
      </c>
      <c r="H847" t="str">
        <v>-334.91</v>
      </c>
      <c r="I847" t="str">
        <v>-135.04</v>
      </c>
      <c r="J847" t="str">
        <v>2022/11</v>
      </c>
      <c r="K847" t="str">
        <f t="array" ref="K847:T847">[1]!'2883.TW-OperatingProfitRatio,Price,PriceChangeRatio,InOutRatioNumber,Value,YearReturn,MonthReturn,WeekReturn,FinanceBalanceDif,ChipsField2'</f>
        <v>--</v>
      </c>
      <c r="L847">
        <v>12.8</v>
      </c>
      <c r="M847">
        <v>1.99</v>
      </c>
      <c r="N847" t="str">
        <v>58.39%</v>
      </c>
      <c r="O847" t="str">
        <v>1.46億</v>
      </c>
      <c r="P847" t="str">
        <v>-17.07</v>
      </c>
      <c r="Q847" t="str">
        <v>-2.29</v>
      </c>
      <c r="R847" t="str">
        <v>-0.39</v>
      </c>
      <c r="S847">
        <v>-71</v>
      </c>
      <c r="T847">
        <v>3934</v>
      </c>
      <c r="U847">
        <f t="array" ref="U847:AD847">[1]!'2883.TW-ChipsField3,ChipsField1,ChipsField25,CashAndStockDividend,CashDividendYieldRate,ProfitFourSeason,ProfitSingle,CName,ExchangeIndustry,CompanyPos'</f>
        <v>-710</v>
      </c>
      <c r="V847">
        <v>550</v>
      </c>
      <c r="W847" t="str">
        <v>2022/07/06</v>
      </c>
      <c r="X847" t="str">
        <v>1.00</v>
      </c>
      <c r="Y847">
        <v>7.81</v>
      </c>
      <c r="Z847" t="str">
        <v>1.51</v>
      </c>
      <c r="AA847" t="str">
        <v>0.40</v>
      </c>
      <c r="AB847" t="str">
        <v>開發金</v>
      </c>
      <c r="AC847" t="str">
        <v>上市金融保險</v>
      </c>
      <c r="AD847" t="str">
        <v>以投資銀行業務為主之金控，並藉購併跨入證券與商業銀行領域</v>
      </c>
      <c r="AE847" t="str">
        <f t="array" ref="AE847:AH847">[1]!'2883.TW-CName,InvestorConferenceDate,DateofMeetingofShareHolders,TradingDate'</f>
        <v>開發金</v>
      </c>
      <c r="AF847" t="str">
        <v>2022/11/23</v>
      </c>
      <c r="AG847" t="str">
        <v>2022/06/17</v>
      </c>
      <c r="AH847" t="str">
        <v>2022/12/22</v>
      </c>
    </row>
    <row r="848" spans="1:34" x14ac:dyDescent="0.3">
      <c r="A848" t="str">
        <f t="array" ref="A848:J848">[1]!'2884.TW-ID,Name,MarketValue,Capital,NetIncomeGrowthRate,OperIncomeGrowthRate,FinancialStatementsTime,TFXRatio,MonthlyNetSalesYoY,RevenueMonth'</f>
        <v>2884</v>
      </c>
      <c r="B848" t="str">
        <v>玉山金</v>
      </c>
      <c r="C848" t="str">
        <v>3476.0</v>
      </c>
      <c r="D848" t="str">
        <v>1427.51</v>
      </c>
      <c r="E848" t="str">
        <v>-26.66</v>
      </c>
      <c r="F848" t="str">
        <v>--</v>
      </c>
      <c r="G848" t="str">
        <v>2022/09</v>
      </c>
      <c r="H848" t="str">
        <v>17.24</v>
      </c>
      <c r="I848" t="str">
        <v>-1.58</v>
      </c>
      <c r="J848" t="str">
        <v>2022/11</v>
      </c>
      <c r="K848" t="str">
        <f t="array" ref="K848:T848">[1]!'2884.TW-OperatingProfitRatio,Price,PriceChangeRatio,InOutRatioNumber,Value,YearReturn,MonthReturn,WeekReturn,FinanceBalanceDif,ChipsField2'</f>
        <v>--</v>
      </c>
      <c r="L848">
        <v>24.35</v>
      </c>
      <c r="M848">
        <v>1.04</v>
      </c>
      <c r="N848" t="str">
        <v>45.33%</v>
      </c>
      <c r="O848" t="str">
        <v>2.17億</v>
      </c>
      <c r="P848" t="str">
        <v>-4.84</v>
      </c>
      <c r="Q848" t="str">
        <v>+2.53</v>
      </c>
      <c r="R848" t="str">
        <v>-1.22</v>
      </c>
      <c r="S848">
        <v>-18</v>
      </c>
      <c r="T848">
        <v>2</v>
      </c>
      <c r="U848">
        <f t="array" ref="U848:AD848">[1]!'2884.TW-ChipsField3,ChipsField1,ChipsField25,CashAndStockDividend,CashDividendYieldRate,ProfitFourSeason,ProfitSingle,CName,ExchangeIndustry,CompanyPos'</f>
        <v>-806</v>
      </c>
      <c r="V848">
        <v>363</v>
      </c>
      <c r="W848" t="str">
        <v>2022/07/28</v>
      </c>
      <c r="X848" t="str">
        <v>1.34</v>
      </c>
      <c r="Y848">
        <v>5.5</v>
      </c>
      <c r="Z848" t="str">
        <v>1.18</v>
      </c>
      <c r="AA848" t="str">
        <v>0.32</v>
      </c>
      <c r="AB848" t="str">
        <v>玉山金</v>
      </c>
      <c r="AC848" t="str">
        <v>上市金融保險</v>
      </c>
      <c r="AD848" t="str">
        <v>以玉山銀行為主體的金控公司</v>
      </c>
      <c r="AE848" t="str">
        <f t="array" ref="AE848:AH848">[1]!'2884.TW-CName,InvestorConferenceDate,DateofMeetingofShareHolders,TradingDate'</f>
        <v>玉山金</v>
      </c>
      <c r="AF848" t="str">
        <v>2022/11/11</v>
      </c>
      <c r="AG848" t="str">
        <v>2022/06/17</v>
      </c>
      <c r="AH848" t="str">
        <v>2022/12/22</v>
      </c>
    </row>
    <row r="849" spans="1:34" x14ac:dyDescent="0.3">
      <c r="A849" t="str">
        <f t="array" ref="A849:J849">[1]!'2885.TW-ID,Name,MarketValue,Capital,NetIncomeGrowthRate,OperIncomeGrowthRate,FinancialStatementsTime,TFXRatio,MonthlyNetSalesYoY,RevenueMonth'</f>
        <v>2885</v>
      </c>
      <c r="B849" t="str">
        <v>元大金</v>
      </c>
      <c r="C849" t="str">
        <v>2750.3</v>
      </c>
      <c r="D849" t="str">
        <v>1250.16</v>
      </c>
      <c r="E849" t="str">
        <v>-33.37</v>
      </c>
      <c r="F849" t="str">
        <v>--</v>
      </c>
      <c r="G849" t="str">
        <v>2022/09</v>
      </c>
      <c r="H849" t="str">
        <v>-26.42</v>
      </c>
      <c r="I849" t="str">
        <v>-55.79</v>
      </c>
      <c r="J849" t="str">
        <v>2022/11</v>
      </c>
      <c r="K849" t="str">
        <f t="array" ref="K849:T849">[1]!'2885.TW-OperatingProfitRatio,Price,PriceChangeRatio,InOutRatioNumber,Value,YearReturn,MonthReturn,WeekReturn,FinanceBalanceDif,ChipsField2'</f>
        <v>--</v>
      </c>
      <c r="L849">
        <v>22</v>
      </c>
      <c r="M849">
        <v>0.92</v>
      </c>
      <c r="N849" t="str">
        <v>74.27%</v>
      </c>
      <c r="O849" t="str">
        <v>10.5億</v>
      </c>
      <c r="P849" t="str">
        <v>-2.14</v>
      </c>
      <c r="Q849" t="str">
        <v>+4.27</v>
      </c>
      <c r="R849" t="str">
        <v>-1.35</v>
      </c>
      <c r="S849">
        <v>33</v>
      </c>
      <c r="T849">
        <v>33076</v>
      </c>
      <c r="U849">
        <f t="array" ref="U849:AD849">[1]!'2885.TW-ChipsField3,ChipsField1,ChipsField25,CashAndStockDividend,CashDividendYieldRate,ProfitFourSeason,ProfitSingle,CName,ExchangeIndustry,CompanyPos'</f>
        <v>-119</v>
      </c>
      <c r="V849">
        <v>-32342</v>
      </c>
      <c r="W849" t="str">
        <v>2022/06/28</v>
      </c>
      <c r="X849" t="str">
        <v>1.80</v>
      </c>
      <c r="Y849">
        <v>8.18</v>
      </c>
      <c r="Z849" t="str">
        <v>2.12</v>
      </c>
      <c r="AA849" t="str">
        <v>0.65</v>
      </c>
      <c r="AB849" t="str">
        <v>元大金</v>
      </c>
      <c r="AC849" t="str">
        <v>上市金融保險</v>
      </c>
      <c r="AD849" t="str">
        <v>以證券為主體金控公司，旗下元大證券為台灣最大券商</v>
      </c>
      <c r="AE849" t="str">
        <f t="array" ref="AE849:AH849">[1]!'2885.TW-CName,InvestorConferenceDate,DateofMeetingofShareHolders,TradingDate'</f>
        <v>元大金</v>
      </c>
      <c r="AF849" t="str">
        <v>2022/12/16</v>
      </c>
      <c r="AG849" t="str">
        <v>2022/06/10</v>
      </c>
      <c r="AH849" t="str">
        <v>2022/12/22</v>
      </c>
    </row>
    <row r="850" spans="1:34" x14ac:dyDescent="0.3">
      <c r="A850" t="str">
        <f t="array" ref="A850:J850">[1]!'2886.TW-ID,Name,MarketValue,Capital,NetIncomeGrowthRate,OperIncomeGrowthRate,FinancialStatementsTime,TFXRatio,MonthlyNetSalesYoY,RevenueMonth'</f>
        <v>2886</v>
      </c>
      <c r="B850" t="str">
        <v>兆豐金</v>
      </c>
      <c r="C850" t="str">
        <v>4300.4</v>
      </c>
      <c r="D850" t="str">
        <v>1393.98</v>
      </c>
      <c r="E850" t="str">
        <v>-30.68</v>
      </c>
      <c r="F850" t="str">
        <v>--</v>
      </c>
      <c r="G850" t="str">
        <v>2022/09</v>
      </c>
      <c r="H850" t="str">
        <v>71.03</v>
      </c>
      <c r="I850" t="str">
        <v>1.32</v>
      </c>
      <c r="J850" t="str">
        <v>2022/11</v>
      </c>
      <c r="K850" t="str">
        <f t="array" ref="K850:T850">[1]!'2886.TW-OperatingProfitRatio,Price,PriceChangeRatio,InOutRatioNumber,Value,YearReturn,MonthReturn,WeekReturn,FinanceBalanceDif,ChipsField2'</f>
        <v>--</v>
      </c>
      <c r="L850">
        <v>30.85</v>
      </c>
      <c r="M850">
        <v>1.1499999999999999</v>
      </c>
      <c r="N850" t="str">
        <v>46.56%</v>
      </c>
      <c r="O850" t="str">
        <v>1.99億</v>
      </c>
      <c r="P850" t="str">
        <v>-8.09</v>
      </c>
      <c r="Q850" t="str">
        <v>+0.98</v>
      </c>
      <c r="R850" t="str">
        <v>-1.12</v>
      </c>
      <c r="S850">
        <v>21</v>
      </c>
      <c r="T850">
        <v>1604</v>
      </c>
      <c r="U850">
        <f t="array" ref="U850:AD850">[1]!'2886.TW-ChipsField3,ChipsField1,ChipsField25,CashAndStockDividend,CashDividendYieldRate,ProfitFourSeason,ProfitSingle,CName,ExchangeIndustry,CompanyPos'</f>
        <v>-564</v>
      </c>
      <c r="V850">
        <v>-1237</v>
      </c>
      <c r="W850" t="str">
        <v>2022/08/11</v>
      </c>
      <c r="X850" t="str">
        <v>1.65</v>
      </c>
      <c r="Y850">
        <v>5.35</v>
      </c>
      <c r="Z850" t="str">
        <v>1.43</v>
      </c>
      <c r="AA850" t="str">
        <v>0.41</v>
      </c>
      <c r="AB850" t="str">
        <v>兆豐金</v>
      </c>
      <c r="AC850" t="str">
        <v>上市金融保險</v>
      </c>
      <c r="AD850" t="str">
        <v>具有國營背景的金控公司，旗下銀行為台灣主要企業聯貸銀行</v>
      </c>
      <c r="AE850" t="str">
        <f t="array" ref="AE850:AH850">[1]!'2886.TW-CName,InvestorConferenceDate,DateofMeetingofShareHolders,TradingDate'</f>
        <v>兆豐金</v>
      </c>
      <c r="AF850" t="str">
        <v>2022/09/01</v>
      </c>
      <c r="AG850" t="str">
        <v>2022/06/17</v>
      </c>
      <c r="AH850" t="str">
        <v>2022/12/22</v>
      </c>
    </row>
    <row r="851" spans="1:34" x14ac:dyDescent="0.3">
      <c r="A851" t="str">
        <f t="array" ref="A851:J851">[1]!'2887.TW-ID,Name,MarketValue,Capital,NetIncomeGrowthRate,OperIncomeGrowthRate,FinancialStatementsTime,TFXRatio,MonthlyNetSalesYoY,RevenueMonth'</f>
        <v>2887</v>
      </c>
      <c r="B851" t="str">
        <v>台新金</v>
      </c>
      <c r="C851" t="str">
        <v>1820.1</v>
      </c>
      <c r="D851" t="str">
        <v>1197.41</v>
      </c>
      <c r="E851" t="str">
        <v>-53.59</v>
      </c>
      <c r="F851" t="str">
        <v>--</v>
      </c>
      <c r="G851" t="str">
        <v>2022/09</v>
      </c>
      <c r="H851" t="str">
        <v>-18.82</v>
      </c>
      <c r="I851" t="str">
        <v>5.93</v>
      </c>
      <c r="J851" t="str">
        <v>2022/11</v>
      </c>
      <c r="K851" t="str">
        <f t="array" ref="K851:T851">[1]!'2887.TW-OperatingProfitRatio,Price,PriceChangeRatio,InOutRatioNumber,Value,YearReturn,MonthReturn,WeekReturn,FinanceBalanceDif,ChipsField2'</f>
        <v>--</v>
      </c>
      <c r="L851">
        <v>15.2</v>
      </c>
      <c r="M851">
        <v>1</v>
      </c>
      <c r="N851" t="str">
        <v>61.21%</v>
      </c>
      <c r="O851" t="str">
        <v>1.55億</v>
      </c>
      <c r="P851" t="str">
        <v>-11.14</v>
      </c>
      <c r="Q851" t="str">
        <v>+4.11</v>
      </c>
      <c r="R851" t="str">
        <v>+0.66</v>
      </c>
      <c r="S851">
        <v>-10</v>
      </c>
      <c r="T851">
        <v>0</v>
      </c>
      <c r="U851">
        <f t="array" ref="U851:AD851">[1]!'2887.TW-ChipsField3,ChipsField1,ChipsField25,CashAndStockDividend,CashDividendYieldRate,ProfitFourSeason,ProfitSingle,CName,ExchangeIndustry,CompanyPos'</f>
        <v>-581</v>
      </c>
      <c r="V851">
        <v>532</v>
      </c>
      <c r="W851" t="str">
        <v>2022/08/24</v>
      </c>
      <c r="X851" t="str">
        <v>1.10</v>
      </c>
      <c r="Y851">
        <v>7.24</v>
      </c>
      <c r="Z851" t="str">
        <v>0.93</v>
      </c>
      <c r="AA851" t="str">
        <v>0.28</v>
      </c>
      <c r="AB851" t="str">
        <v>台新金</v>
      </c>
      <c r="AC851" t="str">
        <v>上市金融保險</v>
      </c>
      <c r="AD851" t="str">
        <v>以消費金融業務為主體之台灣金控公司</v>
      </c>
      <c r="AE851" t="str">
        <f t="array" ref="AE851:AH851">[1]!'2887.TW-CName,InvestorConferenceDate,DateofMeetingofShareHolders,TradingDate'</f>
        <v>台新金</v>
      </c>
      <c r="AF851" t="str">
        <v>2022/11/02</v>
      </c>
      <c r="AG851" t="str">
        <v>2022/06/17</v>
      </c>
      <c r="AH851" t="str">
        <v>2022/12/22</v>
      </c>
    </row>
    <row r="852" spans="1:34" x14ac:dyDescent="0.3">
      <c r="A852" t="str">
        <f t="array" ref="A852:J852">[1]!'2888.TW-ID,Name,MarketValue,Capital,NetIncomeGrowthRate,OperIncomeGrowthRate,FinancialStatementsTime,TFXRatio,MonthlyNetSalesYoY,RevenueMonth'</f>
        <v>2888</v>
      </c>
      <c r="B852" t="str">
        <v>新光金</v>
      </c>
      <c r="C852" t="str">
        <v>1362.9</v>
      </c>
      <c r="D852" t="str">
        <v>1548.76</v>
      </c>
      <c r="E852" t="str">
        <v>-52.08</v>
      </c>
      <c r="F852" t="str">
        <v>--</v>
      </c>
      <c r="G852" t="str">
        <v>2022/09</v>
      </c>
      <c r="H852" t="str">
        <v>-285.48</v>
      </c>
      <c r="I852" t="str">
        <v>-129.43</v>
      </c>
      <c r="J852" t="str">
        <v>2022/11</v>
      </c>
      <c r="K852" t="str">
        <f t="array" ref="K852:T852">[1]!'2888.TW-OperatingProfitRatio,Price,PriceChangeRatio,InOutRatioNumber,Value,YearReturn,MonthReturn,WeekReturn,FinanceBalanceDif,ChipsField2'</f>
        <v>--</v>
      </c>
      <c r="L852">
        <v>8.8000000000000007</v>
      </c>
      <c r="M852">
        <v>1.1499999999999999</v>
      </c>
      <c r="N852" t="str">
        <v>61.79%</v>
      </c>
      <c r="O852" t="str">
        <v>1.58億</v>
      </c>
      <c r="P852" t="str">
        <v>-12.80</v>
      </c>
      <c r="Q852" t="str">
        <v>+2.68</v>
      </c>
      <c r="R852" t="str">
        <v>+0.46</v>
      </c>
      <c r="S852">
        <v>103</v>
      </c>
      <c r="T852">
        <v>220</v>
      </c>
      <c r="U852">
        <f t="array" ref="U852:AD852">[1]!'2888.TW-ChipsField3,ChipsField1,ChipsField25,CashAndStockDividend,CashDividendYieldRate,ProfitFourSeason,ProfitSingle,CName,ExchangeIndustry,CompanyPos'</f>
        <v>-1351</v>
      </c>
      <c r="V852">
        <v>-590</v>
      </c>
      <c r="W852" t="str">
        <v>2022/06/28</v>
      </c>
      <c r="X852" t="str">
        <v>0.40</v>
      </c>
      <c r="Y852">
        <v>4.55</v>
      </c>
      <c r="Z852" t="str">
        <v>0.78</v>
      </c>
      <c r="AA852" t="str">
        <v>0.48</v>
      </c>
      <c r="AB852" t="str">
        <v>新光金</v>
      </c>
      <c r="AC852" t="str">
        <v>上市金融保險</v>
      </c>
      <c r="AD852" t="str">
        <v>以壽險為主體的金控公司，旗下新光人壽為台灣前五大保險公司</v>
      </c>
      <c r="AE852" t="str">
        <f t="array" ref="AE852:AH852">[1]!'2888.TW-CName,InvestorConferenceDate,DateofMeetingofShareHolders,TradingDate'</f>
        <v>新光金</v>
      </c>
      <c r="AF852" t="str">
        <v>2022/11/29</v>
      </c>
      <c r="AG852" t="str">
        <v>2022/05/27</v>
      </c>
      <c r="AH852" t="str">
        <v>2022/12/22</v>
      </c>
    </row>
    <row r="853" spans="1:34" x14ac:dyDescent="0.3">
      <c r="A853" t="str">
        <f t="array" ref="A853:J853">[1]!'2889.TW-ID,Name,MarketValue,Capital,NetIncomeGrowthRate,OperIncomeGrowthRate,FinancialStatementsTime,TFXRatio,MonthlyNetSalesYoY,RevenueMonth'</f>
        <v>2889</v>
      </c>
      <c r="B853" t="str">
        <v>國票金</v>
      </c>
      <c r="C853" t="str">
        <v>391.3</v>
      </c>
      <c r="D853" t="str">
        <v>344.74</v>
      </c>
      <c r="E853" t="str">
        <v>-57.67</v>
      </c>
      <c r="F853" t="str">
        <v>--</v>
      </c>
      <c r="G853" t="str">
        <v>2022/09</v>
      </c>
      <c r="H853" t="str">
        <v>142.12</v>
      </c>
      <c r="I853" t="str">
        <v>-38.56</v>
      </c>
      <c r="J853" t="str">
        <v>2022/11</v>
      </c>
      <c r="K853" t="str">
        <f t="array" ref="K853:T853">[1]!'2889.TW-OperatingProfitRatio,Price,PriceChangeRatio,InOutRatioNumber,Value,YearReturn,MonthReturn,WeekReturn,FinanceBalanceDif,ChipsField2'</f>
        <v>--</v>
      </c>
      <c r="L853">
        <v>11.35</v>
      </c>
      <c r="M853">
        <v>0.89</v>
      </c>
      <c r="N853" t="str">
        <v>54.03%</v>
      </c>
      <c r="O853" t="str">
        <v>3119萬</v>
      </c>
      <c r="P853" t="str">
        <v>-21.33</v>
      </c>
      <c r="Q853" t="str">
        <v>+2.25</v>
      </c>
      <c r="R853" t="str">
        <v>-1.30</v>
      </c>
      <c r="S853">
        <v>-102</v>
      </c>
      <c r="T853">
        <v>15</v>
      </c>
      <c r="U853">
        <f t="array" ref="U853:AD853">[1]!'2889.TW-ChipsField3,ChipsField1,ChipsField25,CashAndStockDividend,CashDividendYieldRate,ProfitFourSeason,ProfitSingle,CName,ExchangeIndustry,CompanyPos'</f>
        <v>-209</v>
      </c>
      <c r="V853">
        <v>-1073</v>
      </c>
      <c r="W853" t="str">
        <v>2022/06/29</v>
      </c>
      <c r="X853" t="str">
        <v>1.15</v>
      </c>
      <c r="Y853">
        <v>10.130000000000001</v>
      </c>
      <c r="Z853" t="str">
        <v>0.66</v>
      </c>
      <c r="AA853" t="str">
        <v>0.13</v>
      </c>
      <c r="AB853" t="str">
        <v>國票金</v>
      </c>
      <c r="AC853" t="str">
        <v>上市金融保險</v>
      </c>
      <c r="AD853" t="str">
        <v>台灣唯一以票券業務為主體之金控公司</v>
      </c>
      <c r="AE853" t="str">
        <f t="array" ref="AE853:AH853">[1]!'2889.TW-CName,InvestorConferenceDate,DateofMeetingofShareHolders,TradingDate'</f>
        <v>國票金</v>
      </c>
      <c r="AF853" t="str">
        <v>2022/06/21</v>
      </c>
      <c r="AG853" t="str">
        <v>2022/05/27</v>
      </c>
      <c r="AH853" t="str">
        <v>2022/12/22</v>
      </c>
    </row>
    <row r="854" spans="1:34" x14ac:dyDescent="0.3">
      <c r="A854" t="str">
        <f t="array" ref="A854:J854">[1]!'2890.TW-ID,Name,MarketValue,Capital,NetIncomeGrowthRate,OperIncomeGrowthRate,FinancialStatementsTime,TFXRatio,MonthlyNetSalesYoY,RevenueMonth'</f>
        <v>2890</v>
      </c>
      <c r="B854" t="str">
        <v>永豐金</v>
      </c>
      <c r="C854" t="str">
        <v>1997.9</v>
      </c>
      <c r="D854" t="str">
        <v>1138.38</v>
      </c>
      <c r="E854" t="str">
        <v>1.11</v>
      </c>
      <c r="F854" t="str">
        <v>--</v>
      </c>
      <c r="G854" t="str">
        <v>2022/09</v>
      </c>
      <c r="H854" t="str">
        <v>-6.28</v>
      </c>
      <c r="I854" t="str">
        <v>-15.56</v>
      </c>
      <c r="J854" t="str">
        <v>2022/11</v>
      </c>
      <c r="K854" t="str">
        <f t="array" ref="K854:T854">[1]!'2890.TW-OperatingProfitRatio,Price,PriceChangeRatio,InOutRatioNumber,Value,YearReturn,MonthReturn,WeekReturn,FinanceBalanceDif,ChipsField2'</f>
        <v>--</v>
      </c>
      <c r="L854">
        <v>17.55</v>
      </c>
      <c r="M854">
        <v>5.72</v>
      </c>
      <c r="N854" t="str">
        <v>66.44%</v>
      </c>
      <c r="O854" t="str">
        <v>11.9億</v>
      </c>
      <c r="P854" t="str">
        <v>+16.76</v>
      </c>
      <c r="Q854" t="str">
        <v>+4.15</v>
      </c>
      <c r="R854" t="str">
        <v>-0.28</v>
      </c>
      <c r="S854">
        <v>55</v>
      </c>
      <c r="T854">
        <v>30585</v>
      </c>
      <c r="U854">
        <f t="array" ref="U854:AD854">[1]!'2890.TW-ChipsField3,ChipsField1,ChipsField25,CashAndStockDividend,CashDividendYieldRate,ProfitFourSeason,ProfitSingle,CName,ExchangeIndustry,CompanyPos'</f>
        <v>-266</v>
      </c>
      <c r="V854">
        <v>-37084</v>
      </c>
      <c r="W854" t="str">
        <v>2022/08/10</v>
      </c>
      <c r="X854" t="str">
        <v>0.90</v>
      </c>
      <c r="Y854">
        <v>5.13</v>
      </c>
      <c r="Z854" t="str">
        <v>1.44</v>
      </c>
      <c r="AA854" t="str">
        <v>0.41</v>
      </c>
      <c r="AB854" t="str">
        <v>永豐金</v>
      </c>
      <c r="AC854" t="str">
        <v>上市金融保險</v>
      </c>
      <c r="AD854" t="str">
        <v>以銀行為主體的的大型金控，旗下另有證券、投信業務</v>
      </c>
      <c r="AE854" t="str">
        <f t="array" ref="AE854:AH854">[1]!'2890.TW-CName,InvestorConferenceDate,DateofMeetingofShareHolders,TradingDate'</f>
        <v>永豐金</v>
      </c>
      <c r="AF854" t="str">
        <v>2022/12/08</v>
      </c>
      <c r="AG854" t="str">
        <v>2022/05/27</v>
      </c>
      <c r="AH854" t="str">
        <v>2022/12/22</v>
      </c>
    </row>
    <row r="855" spans="1:34" x14ac:dyDescent="0.3">
      <c r="A855" t="str">
        <f t="array" ref="A855:J855">[1]!'2891.TW-ID,Name,MarketValue,Capital,NetIncomeGrowthRate,OperIncomeGrowthRate,FinancialStatementsTime,TFXRatio,MonthlyNetSalesYoY,RevenueMonth'</f>
        <v>2891</v>
      </c>
      <c r="B855" t="str">
        <v>中信金</v>
      </c>
      <c r="C855" t="str">
        <v>4318.6</v>
      </c>
      <c r="D855" t="str">
        <v>1958.41</v>
      </c>
      <c r="E855" t="str">
        <v>-28.89</v>
      </c>
      <c r="F855" t="str">
        <v>--</v>
      </c>
      <c r="G855" t="str">
        <v>2022/09</v>
      </c>
      <c r="H855" t="str">
        <v>-172.32</v>
      </c>
      <c r="I855" t="str">
        <v>-114.77</v>
      </c>
      <c r="J855" t="str">
        <v>2022/11</v>
      </c>
      <c r="K855" t="str">
        <f t="array" ref="K855:T855">[1]!'2891.TW-OperatingProfitRatio,Price,PriceChangeRatio,InOutRatioNumber,Value,YearReturn,MonthReturn,WeekReturn,FinanceBalanceDif,ChipsField2'</f>
        <v>--</v>
      </c>
      <c r="L855">
        <v>22.15</v>
      </c>
      <c r="M855">
        <v>2.0699999999999998</v>
      </c>
      <c r="N855" t="str">
        <v>50.76%</v>
      </c>
      <c r="O855" t="str">
        <v>11.7億</v>
      </c>
      <c r="P855" t="str">
        <v>-8.78</v>
      </c>
      <c r="Q855" t="str">
        <v>+3.50</v>
      </c>
      <c r="R855" t="str">
        <v>-3.28</v>
      </c>
      <c r="S855">
        <v>321</v>
      </c>
      <c r="T855">
        <v>32058</v>
      </c>
      <c r="U855">
        <f t="array" ref="U855:AD855">[1]!'2891.TW-ChipsField3,ChipsField1,ChipsField25,CashAndStockDividend,CashDividendYieldRate,ProfitFourSeason,ProfitSingle,CName,ExchangeIndustry,CompanyPos'</f>
        <v>-1231</v>
      </c>
      <c r="V855">
        <v>-39486</v>
      </c>
      <c r="W855" t="str">
        <v>2022/07/14</v>
      </c>
      <c r="X855" t="str">
        <v>1.25</v>
      </c>
      <c r="Y855">
        <v>5.64</v>
      </c>
      <c r="Z855" t="str">
        <v>2.05</v>
      </c>
      <c r="AA855" t="str">
        <v>0.40</v>
      </c>
      <c r="AB855" t="str">
        <v>中信金</v>
      </c>
      <c r="AC855" t="str">
        <v>上市金融保險</v>
      </c>
      <c r="AD855" t="str">
        <v>台灣資產規模前四大金控公司，旗下中信銀為最大信用卡發卡銀行</v>
      </c>
      <c r="AE855" t="str">
        <f t="array" ref="AE855:AH855">[1]!'2891.TW-CName,InvestorConferenceDate,DateofMeetingofShareHolders,TradingDate'</f>
        <v>中信金</v>
      </c>
      <c r="AF855" t="str">
        <v>2022/11/18</v>
      </c>
      <c r="AG855" t="str">
        <v>2022/06/17</v>
      </c>
      <c r="AH855" t="str">
        <v>2022/12/22</v>
      </c>
    </row>
    <row r="856" spans="1:34" x14ac:dyDescent="0.3">
      <c r="A856" t="str">
        <f t="array" ref="A856:J856">[1]!'2892.TW-ID,Name,MarketValue,Capital,NetIncomeGrowthRate,OperIncomeGrowthRate,FinancialStatementsTime,TFXRatio,MonthlyNetSalesYoY,RevenueMonth'</f>
        <v>2892</v>
      </c>
      <c r="B856" t="str">
        <v>第一金</v>
      </c>
      <c r="C856" t="str">
        <v>3491.0</v>
      </c>
      <c r="D856" t="str">
        <v>1322.34</v>
      </c>
      <c r="E856" t="str">
        <v>-0.56</v>
      </c>
      <c r="F856" t="str">
        <v>--</v>
      </c>
      <c r="G856" t="str">
        <v>2022/09</v>
      </c>
      <c r="H856" t="str">
        <v>1.98</v>
      </c>
      <c r="I856" t="str">
        <v>-0.64</v>
      </c>
      <c r="J856" t="str">
        <v>2022/11</v>
      </c>
      <c r="K856" t="str">
        <f t="array" ref="K856:T856">[1]!'2892.TW-OperatingProfitRatio,Price,PriceChangeRatio,InOutRatioNumber,Value,YearReturn,MonthReturn,WeekReturn,FinanceBalanceDif,ChipsField2'</f>
        <v>--</v>
      </c>
      <c r="L856">
        <v>26.4</v>
      </c>
      <c r="M856">
        <v>0.38</v>
      </c>
      <c r="N856" t="str">
        <v>57.02%</v>
      </c>
      <c r="O856" t="str">
        <v>1.78億</v>
      </c>
      <c r="P856" t="str">
        <v>+16.04</v>
      </c>
      <c r="Q856" t="str">
        <v>+4.14</v>
      </c>
      <c r="R856" t="str">
        <v>+0.19</v>
      </c>
      <c r="S856">
        <v>-32</v>
      </c>
      <c r="T856">
        <v>1880</v>
      </c>
      <c r="U856">
        <f t="array" ref="U856:AD856">[1]!'2892.TW-ChipsField3,ChipsField1,ChipsField25,CashAndStockDividend,CashDividendYieldRate,ProfitFourSeason,ProfitSingle,CName,ExchangeIndustry,CompanyPos'</f>
        <v>-812</v>
      </c>
      <c r="V856">
        <v>-532</v>
      </c>
      <c r="W856" t="str">
        <v>2022/08/04</v>
      </c>
      <c r="X856" t="str">
        <v>1.20</v>
      </c>
      <c r="Y856">
        <v>4.55</v>
      </c>
      <c r="Z856" t="str">
        <v>1.50</v>
      </c>
      <c r="AA856" t="str">
        <v>0.47</v>
      </c>
      <c r="AB856" t="str">
        <v>第一金</v>
      </c>
      <c r="AC856" t="str">
        <v>上市金融保險</v>
      </c>
      <c r="AD856" t="str">
        <v>台灣前三大官股金控公司，旗下銀行為業界歷史悠久的三商銀之一</v>
      </c>
      <c r="AE856" t="str">
        <f t="array" ref="AE856:AH856">[1]!'2892.TW-CName,InvestorConferenceDate,DateofMeetingofShareHolders,TradingDate'</f>
        <v>第一金</v>
      </c>
      <c r="AF856" t="str">
        <v>2022/11/30</v>
      </c>
      <c r="AG856" t="str">
        <v>2022/06/17</v>
      </c>
      <c r="AH856" t="str">
        <v>2022/12/22</v>
      </c>
    </row>
    <row r="857" spans="1:34" x14ac:dyDescent="0.3">
      <c r="A857" t="str">
        <f t="array" ref="A857:J857">[1]!'2897.TW-ID,Name,MarketValue,Capital,NetIncomeGrowthRate,OperIncomeGrowthRate,FinancialStatementsTime,TFXRatio,MonthlyNetSalesYoY,RevenueMonth'</f>
        <v>2897</v>
      </c>
      <c r="B857" t="str">
        <v>王道銀行</v>
      </c>
      <c r="C857" t="str">
        <v>228.3</v>
      </c>
      <c r="D857" t="str">
        <v>273.40</v>
      </c>
      <c r="E857" t="str">
        <v>-4.99</v>
      </c>
      <c r="F857" t="str">
        <v>--</v>
      </c>
      <c r="G857" t="str">
        <v>2022/09</v>
      </c>
      <c r="H857" t="str">
        <v>-22.29</v>
      </c>
      <c r="I857" t="str">
        <v>-29.78</v>
      </c>
      <c r="J857" t="str">
        <v>2022/11</v>
      </c>
      <c r="K857" t="str">
        <f t="array" ref="K857:T857">[1]!'2897.TW-OperatingProfitRatio,Price,PriceChangeRatio,InOutRatioNumber,Value,YearReturn,MonthReturn,WeekReturn,FinanceBalanceDif,ChipsField2'</f>
        <v>--</v>
      </c>
      <c r="L857">
        <v>8.35</v>
      </c>
      <c r="M857">
        <v>0.36</v>
      </c>
      <c r="N857" t="str">
        <v>30.29%</v>
      </c>
      <c r="O857" t="str">
        <v>795萬</v>
      </c>
      <c r="P857" t="str">
        <v>+9.70</v>
      </c>
      <c r="Q857" t="str">
        <v>+0.24</v>
      </c>
      <c r="R857" t="str">
        <v>-1.65</v>
      </c>
      <c r="S857">
        <v>108</v>
      </c>
      <c r="T857">
        <v>0</v>
      </c>
      <c r="U857">
        <f t="array" ref="U857:AD857">[1]!'2897.TW-ChipsField3,ChipsField1,ChipsField25,CashAndStockDividend,CashDividendYieldRate,ProfitFourSeason,ProfitSingle,CName,ExchangeIndustry,CompanyPos'</f>
        <v>-199</v>
      </c>
      <c r="V857">
        <v>-226</v>
      </c>
      <c r="W857" t="str">
        <v>2022/07/19</v>
      </c>
      <c r="X857" t="str">
        <v>0.30</v>
      </c>
      <c r="Y857">
        <v>3.59</v>
      </c>
      <c r="Z857" t="str">
        <v>0.77</v>
      </c>
      <c r="AA857" t="str">
        <v>0.26</v>
      </c>
      <c r="AB857" t="str">
        <v>王道銀行</v>
      </c>
      <c r="AC857" t="str">
        <v>上市金融保險</v>
      </c>
      <c r="AD857" t="str">
        <v>前身為台灣工業銀行已轉型為商業銀行</v>
      </c>
      <c r="AE857" t="str">
        <f t="array" ref="AE857:AH857">[1]!'2897.TW-CName,InvestorConferenceDate,DateofMeetingofShareHolders,TradingDate'</f>
        <v>王道銀行</v>
      </c>
      <c r="AF857" t="str">
        <v>2022/12/07</v>
      </c>
      <c r="AG857" t="str">
        <v>2022/06/17</v>
      </c>
      <c r="AH857" t="str">
        <v>2022/12/22</v>
      </c>
    </row>
    <row r="858" spans="1:34" x14ac:dyDescent="0.3">
      <c r="A858" t="str">
        <f t="array" ref="A858:J858">[1]!'5876.TW-ID,Name,MarketValue,Capital,NetIncomeGrowthRate,OperIncomeGrowthRate,FinancialStatementsTime,TFXRatio,MonthlyNetSalesYoY,RevenueMonth'</f>
        <v>5876</v>
      </c>
      <c r="B858" t="str">
        <v>上海商銀</v>
      </c>
      <c r="C858" t="str">
        <v>2161.0</v>
      </c>
      <c r="D858" t="str">
        <v>486.16</v>
      </c>
      <c r="E858" t="str">
        <v>13.09</v>
      </c>
      <c r="F858" t="str">
        <v>--</v>
      </c>
      <c r="G858" t="str">
        <v>2022/09</v>
      </c>
      <c r="H858" t="str">
        <v>-0.18</v>
      </c>
      <c r="I858" t="str">
        <v>27.48</v>
      </c>
      <c r="J858" t="str">
        <v>2022/11</v>
      </c>
      <c r="K858" t="str">
        <f t="array" ref="K858:T858">[1]!'5876.TW-OperatingProfitRatio,Price,PriceChangeRatio,InOutRatioNumber,Value,YearReturn,MonthReturn,WeekReturn,FinanceBalanceDif,ChipsField2'</f>
        <v>--</v>
      </c>
      <c r="L858">
        <v>44.45</v>
      </c>
      <c r="M858">
        <v>1.6</v>
      </c>
      <c r="N858" t="str">
        <v>56.54%</v>
      </c>
      <c r="O858" t="str">
        <v>1.78億</v>
      </c>
      <c r="P858" t="str">
        <v>-1.66</v>
      </c>
      <c r="Q858" t="str">
        <v>-1.44</v>
      </c>
      <c r="R858" t="str">
        <v>-7.78</v>
      </c>
      <c r="S858">
        <v>149</v>
      </c>
      <c r="T858">
        <v>606</v>
      </c>
      <c r="U858">
        <f t="array" ref="U858:AD858">[1]!'5876.TW-ChipsField3,ChipsField1,ChipsField25,CashAndStockDividend,CashDividendYieldRate,ProfitFourSeason,ProfitSingle,CName,ExchangeIndustry,CompanyPos'</f>
        <v>6</v>
      </c>
      <c r="V858">
        <v>-2890</v>
      </c>
      <c r="W858" t="str">
        <v>2022/07/07</v>
      </c>
      <c r="X858" t="str">
        <v>1.80</v>
      </c>
      <c r="Y858">
        <v>4.05</v>
      </c>
      <c r="Z858" t="str">
        <v>3.66</v>
      </c>
      <c r="AA858" t="str">
        <v>1.28</v>
      </c>
      <c r="AB858" t="str">
        <v>上海商銀</v>
      </c>
      <c r="AC858" t="str">
        <v>上市金融保險</v>
      </c>
      <c r="AD858" t="str">
        <v>唯一自大陸遷台復業的民營銀行</v>
      </c>
      <c r="AE858" t="str">
        <f t="array" ref="AE858:AH858">[1]!'5876.TW-CName,InvestorConferenceDate,DateofMeetingofShareHolders,TradingDate'</f>
        <v>上海商銀</v>
      </c>
      <c r="AF858" t="str">
        <v>2022/08/23</v>
      </c>
      <c r="AG858" t="str">
        <v>2022/06/17</v>
      </c>
      <c r="AH858" t="str">
        <v>2022/12/22</v>
      </c>
    </row>
    <row r="859" spans="1:34" x14ac:dyDescent="0.3">
      <c r="A859" t="str">
        <f t="array" ref="A859:J859">[1]!'5880.TW-ID,Name,MarketValue,Capital,NetIncomeGrowthRate,OperIncomeGrowthRate,FinancialStatementsTime,TFXRatio,MonthlyNetSalesYoY,RevenueMonth'</f>
        <v>5880</v>
      </c>
      <c r="B859" t="str">
        <v>合庫金</v>
      </c>
      <c r="C859" t="str">
        <v>3663.3</v>
      </c>
      <c r="D859" t="str">
        <v>1400.89</v>
      </c>
      <c r="E859" t="str">
        <v>-7.08</v>
      </c>
      <c r="F859" t="str">
        <v>--</v>
      </c>
      <c r="G859" t="str">
        <v>2022/09</v>
      </c>
      <c r="H859" t="str">
        <v>19.58</v>
      </c>
      <c r="I859" t="str">
        <v>18.60</v>
      </c>
      <c r="J859" t="str">
        <v>2022/11</v>
      </c>
      <c r="K859" t="str">
        <f t="array" ref="K859:T859">[1]!'5880.TW-OperatingProfitRatio,Price,PriceChangeRatio,InOutRatioNumber,Value,YearReturn,MonthReturn,WeekReturn,FinanceBalanceDif,ChipsField2'</f>
        <v>--</v>
      </c>
      <c r="L859">
        <v>26.15</v>
      </c>
      <c r="M859">
        <v>0.57999999999999996</v>
      </c>
      <c r="N859" t="str">
        <v>55.97%</v>
      </c>
      <c r="O859" t="str">
        <v>9856萬</v>
      </c>
      <c r="P859" t="str">
        <v>+11.66</v>
      </c>
      <c r="Q859" t="str">
        <v>+0.38</v>
      </c>
      <c r="R859" t="str">
        <v>-1.32</v>
      </c>
      <c r="S859">
        <v>5</v>
      </c>
      <c r="T859">
        <v>2</v>
      </c>
      <c r="U859">
        <f t="array" ref="U859:AD859">[1]!'5880.TW-ChipsField3,ChipsField1,ChipsField25,CashAndStockDividend,CashDividendYieldRate,ProfitFourSeason,ProfitSingle,CName,ExchangeIndustry,CompanyPos'</f>
        <v>-831</v>
      </c>
      <c r="V859">
        <v>217</v>
      </c>
      <c r="W859" t="str">
        <v>2022/08/10</v>
      </c>
      <c r="X859" t="str">
        <v>1.30</v>
      </c>
      <c r="Y859">
        <v>4.97</v>
      </c>
      <c r="Z859" t="str">
        <v>1.41</v>
      </c>
      <c r="AA859" t="str">
        <v>0.41</v>
      </c>
      <c r="AB859" t="str">
        <v>合庫金</v>
      </c>
      <c r="AC859" t="str">
        <v>上市金融保險</v>
      </c>
      <c r="AD859" t="str">
        <v>具有國營背景的金控公司，金融資產規模排名前六大</v>
      </c>
      <c r="AE859" t="str">
        <f t="array" ref="AE859:AH859">[1]!'5880.TW-CName,InvestorConferenceDate,DateofMeetingofShareHolders,TradingDate'</f>
        <v>合庫金</v>
      </c>
      <c r="AF859" t="str">
        <v>2022/11/16</v>
      </c>
      <c r="AG859" t="str">
        <v>2022/06/17</v>
      </c>
      <c r="AH859" t="str">
        <v>2022/12/22</v>
      </c>
    </row>
    <row r="860" spans="1:34" x14ac:dyDescent="0.3">
      <c r="A860" t="str">
        <f t="array" ref="A860:J860">[1]!'6005.TW-ID,Name,MarketValue,Capital,NetIncomeGrowthRate,OperIncomeGrowthRate,FinancialStatementsTime,TFXRatio,MonthlyNetSalesYoY,RevenueMonth'</f>
        <v>6005</v>
      </c>
      <c r="B860" t="str">
        <v>群益證</v>
      </c>
      <c r="C860" t="str">
        <v>241.0</v>
      </c>
      <c r="D860" t="str">
        <v>217.09</v>
      </c>
      <c r="E860" t="str">
        <v>-87.62</v>
      </c>
      <c r="F860" t="str">
        <v>-96.71</v>
      </c>
      <c r="G860" t="str">
        <v>2022/09</v>
      </c>
      <c r="H860" t="str">
        <v>116.41</v>
      </c>
      <c r="I860" t="str">
        <v>-17.77</v>
      </c>
      <c r="J860" t="str">
        <v>2022/11</v>
      </c>
      <c r="K860" t="str">
        <f t="array" ref="K860:T860">[1]!'6005.TW-OperatingProfitRatio,Price,PriceChangeRatio,InOutRatioNumber,Value,YearReturn,MonthReturn,WeekReturn,FinanceBalanceDif,ChipsField2'</f>
        <v>2.24</v>
      </c>
      <c r="L860">
        <v>11.1</v>
      </c>
      <c r="M860">
        <v>0.45</v>
      </c>
      <c r="N860" t="str">
        <v>28.59%</v>
      </c>
      <c r="O860" t="str">
        <v>1524萬</v>
      </c>
      <c r="P860" t="str">
        <v>-22.87</v>
      </c>
      <c r="Q860" t="str">
        <v>0.00</v>
      </c>
      <c r="R860" t="str">
        <v>-3.48</v>
      </c>
      <c r="S860">
        <v>32</v>
      </c>
      <c r="T860">
        <v>0</v>
      </c>
      <c r="U860">
        <f t="array" ref="U860:AD860">[1]!'6005.TW-ChipsField3,ChipsField1,ChipsField25,CashAndStockDividend,CashDividendYieldRate,ProfitFourSeason,ProfitSingle,CName,ExchangeIndustry,CompanyPos'</f>
        <v>0</v>
      </c>
      <c r="V860">
        <v>38</v>
      </c>
      <c r="W860" t="str">
        <v>2022/07/14</v>
      </c>
      <c r="X860" t="str">
        <v>1.65</v>
      </c>
      <c r="Y860">
        <v>14.86</v>
      </c>
      <c r="Z860" t="str">
        <v>0.77</v>
      </c>
      <c r="AA860" t="str">
        <v>0.11</v>
      </c>
      <c r="AB860" t="str">
        <v>群益證</v>
      </c>
      <c r="AC860" t="str">
        <v>上市金融保險</v>
      </c>
      <c r="AD860" t="str">
        <v>台灣證券經紀市佔排名前五大之獨立券商</v>
      </c>
      <c r="AE860" t="str">
        <f t="array" ref="AE860:AH860">[1]!'6005.TW-CName,InvestorConferenceDate,DateofMeetingofShareHolders,TradingDate'</f>
        <v>群益證</v>
      </c>
      <c r="AF860" t="str">
        <v>2022/09/27</v>
      </c>
      <c r="AG860" t="str">
        <v>2022/06/27</v>
      </c>
      <c r="AH860" t="str">
        <v>2022/12/22</v>
      </c>
    </row>
    <row r="861" spans="1:34" x14ac:dyDescent="0.3">
      <c r="A861" t="str">
        <f t="array" ref="A861:J861">[1]!'6024.TW-ID,Name,MarketValue,Capital,NetIncomeGrowthRate,OperIncomeGrowthRate,FinancialStatementsTime,TFXRatio,MonthlyNetSalesYoY,RevenueMonth'</f>
        <v>6024</v>
      </c>
      <c r="B861" t="str">
        <v>群益期</v>
      </c>
      <c r="C861" t="str">
        <v>78.1</v>
      </c>
      <c r="D861" t="str">
        <v>21.04</v>
      </c>
      <c r="E861" t="str">
        <v>37.32</v>
      </c>
      <c r="F861" t="str">
        <v>9.90</v>
      </c>
      <c r="G861" t="str">
        <v>2022/09</v>
      </c>
      <c r="H861" t="str">
        <v>-18.81</v>
      </c>
      <c r="I861" t="str">
        <v>14.70</v>
      </c>
      <c r="J861" t="str">
        <v>2022/11</v>
      </c>
      <c r="K861" t="str">
        <f t="array" ref="K861:T861">[1]!'6024.TW-OperatingProfitRatio,Price,PriceChangeRatio,InOutRatioNumber,Value,YearReturn,MonthReturn,WeekReturn,FinanceBalanceDif,ChipsField2'</f>
        <v>18.37</v>
      </c>
      <c r="L861">
        <v>37.1</v>
      </c>
      <c r="M861">
        <v>0</v>
      </c>
      <c r="N861" t="str">
        <v>52.46%</v>
      </c>
      <c r="O861" t="str">
        <v>241萬</v>
      </c>
      <c r="P861" t="str">
        <v>+0.73</v>
      </c>
      <c r="Q861" t="str">
        <v>+3.20</v>
      </c>
      <c r="R861" t="str">
        <v>-0.27</v>
      </c>
      <c r="S861">
        <v>0</v>
      </c>
      <c r="T861">
        <v>0</v>
      </c>
      <c r="U861">
        <f t="array" ref="U861:AD861">[1]!'6024.TW-ChipsField3,ChipsField1,ChipsField25,CashAndStockDividend,CashDividendYieldRate,ProfitFourSeason,ProfitSingle,CName,ExchangeIndustry,CompanyPos'</f>
        <v>-3</v>
      </c>
      <c r="V861">
        <v>-2</v>
      </c>
      <c r="W861" t="str">
        <v>2022/07/11</v>
      </c>
      <c r="X861" t="str">
        <v>1.60</v>
      </c>
      <c r="Y861">
        <v>4.3099999999999996</v>
      </c>
      <c r="Z861" t="str">
        <v>3.03</v>
      </c>
      <c r="AA861" t="str">
        <v>1.07</v>
      </c>
      <c r="AB861" t="str">
        <v>群益期</v>
      </c>
      <c r="AC861" t="str">
        <v>上市金融保險</v>
      </c>
      <c r="AD861" t="str">
        <v>群益金融集團旗下的期貨公司，台灣市場排名前三大</v>
      </c>
      <c r="AE861" t="str">
        <f t="array" ref="AE861:AH861">[1]!'6024.TW-CName,InvestorConferenceDate,DateofMeetingofShareHolders,TradingDate'</f>
        <v>群益期</v>
      </c>
      <c r="AF861" t="str">
        <v>2022/12/15</v>
      </c>
      <c r="AG861" t="str">
        <v>2022/06/21</v>
      </c>
      <c r="AH861" t="str">
        <v>2022/12/22</v>
      </c>
    </row>
    <row r="862" spans="1:34" x14ac:dyDescent="0.3">
      <c r="A862" t="str">
        <f t="array" ref="A862:J862">[1]!'1432.TW-ID,Name,MarketValue,Capital,NetIncomeGrowthRate,OperIncomeGrowthRate,FinancialStatementsTime,TFXRatio,MonthlyNetSalesYoY,RevenueMonth'</f>
        <v>1432</v>
      </c>
      <c r="B862" t="str">
        <v>大魯閣</v>
      </c>
      <c r="C862" t="str">
        <v>10.8</v>
      </c>
      <c r="D862" t="str">
        <v>9.00</v>
      </c>
      <c r="E862" t="str">
        <v>76.64</v>
      </c>
      <c r="F862" t="str">
        <v>103.42</v>
      </c>
      <c r="G862" t="str">
        <v>2022/09</v>
      </c>
      <c r="H862" t="str">
        <v>-12.58</v>
      </c>
      <c r="I862" t="str">
        <v>8.99</v>
      </c>
      <c r="J862" t="str">
        <v>2022/11</v>
      </c>
      <c r="K862" t="str">
        <f t="array" ref="K862:T862">[1]!'1432.TW-OperatingProfitRatio,Price,PriceChangeRatio,InOutRatioNumber,Value,YearReturn,MonthReturn,WeekReturn,FinanceBalanceDif,ChipsField2'</f>
        <v>0.57</v>
      </c>
      <c r="L862">
        <v>11.95</v>
      </c>
      <c r="M862">
        <v>0.84</v>
      </c>
      <c r="N862" t="str">
        <v>81.29%</v>
      </c>
      <c r="O862" t="str">
        <v>185萬</v>
      </c>
      <c r="P862" t="str">
        <v>-6.64</v>
      </c>
      <c r="Q862" t="str">
        <v>-0.42</v>
      </c>
      <c r="R862" t="str">
        <v>0.00</v>
      </c>
      <c r="S862">
        <v>0</v>
      </c>
      <c r="T862">
        <v>0</v>
      </c>
      <c r="U862">
        <f t="array" ref="U862:AD862">[1]!'1432.TW-ChipsField3,ChipsField1,ChipsField25,CashAndStockDividend,CashDividendYieldRate,ProfitFourSeason,ProfitSingle,CName,ExchangeIndustry,CompanyPos'</f>
        <v>0</v>
      </c>
      <c r="V862">
        <v>2</v>
      </c>
      <c r="W862" t="str">
        <v>--</v>
      </c>
      <c r="X862" t="str">
        <v>0.00</v>
      </c>
      <c r="Y862">
        <v>0</v>
      </c>
      <c r="Z862" t="str">
        <v>-0.56</v>
      </c>
      <c r="AA862" t="str">
        <v>0.45</v>
      </c>
      <c r="AB862" t="str">
        <v>大魯閣</v>
      </c>
      <c r="AC862" t="str">
        <v>上市貿易百貨</v>
      </c>
      <c r="AD862" t="str">
        <v>經營型娛樂購物中心事業</v>
      </c>
      <c r="AE862" t="str">
        <f t="array" ref="AE862:AH862">[1]!'1432.TW-CName,InvestorConferenceDate,DateofMeetingofShareHolders,TradingDate'</f>
        <v>大魯閣</v>
      </c>
      <c r="AF862" t="str">
        <v>2022/12/15</v>
      </c>
      <c r="AG862" t="str">
        <v>2022/06/01</v>
      </c>
      <c r="AH862" t="str">
        <v>2022/12/22</v>
      </c>
    </row>
    <row r="863" spans="1:34" x14ac:dyDescent="0.3">
      <c r="A863" t="str">
        <f t="array" ref="A863:J863">[1]!'2601.TW-ID,Name,MarketValue,Capital,NetIncomeGrowthRate,OperIncomeGrowthRate,FinancialStatementsTime,TFXRatio,MonthlyNetSalesYoY,RevenueMonth'</f>
        <v>2601</v>
      </c>
      <c r="B863" t="str">
        <v>益航</v>
      </c>
      <c r="C863" t="str">
        <v>75.8</v>
      </c>
      <c r="D863" t="str">
        <v>83.48</v>
      </c>
      <c r="E863" t="str">
        <v>-244.50</v>
      </c>
      <c r="F863" t="str">
        <v>-13.35</v>
      </c>
      <c r="G863" t="str">
        <v>2022/09</v>
      </c>
      <c r="H863" t="str">
        <v>-15.22</v>
      </c>
      <c r="I863" t="str">
        <v>-34.24</v>
      </c>
      <c r="J863" t="str">
        <v>2022/11</v>
      </c>
      <c r="K863" t="str">
        <f t="array" ref="K863:T863">[1]!'2601.TW-OperatingProfitRatio,Price,PriceChangeRatio,InOutRatioNumber,Value,YearReturn,MonthReturn,WeekReturn,FinanceBalanceDif,ChipsField2'</f>
        <v>10.79</v>
      </c>
      <c r="L863">
        <v>9.08</v>
      </c>
      <c r="M863">
        <v>1.91</v>
      </c>
      <c r="N863" t="str">
        <v>58.70%</v>
      </c>
      <c r="O863" t="str">
        <v>6245萬</v>
      </c>
      <c r="P863" t="str">
        <v>-30.69</v>
      </c>
      <c r="Q863" t="str">
        <v>+11.69</v>
      </c>
      <c r="R863" t="str">
        <v>+1.57</v>
      </c>
      <c r="S863">
        <v>-10</v>
      </c>
      <c r="T863">
        <v>0</v>
      </c>
      <c r="U863">
        <f t="array" ref="U863:AD863">[1]!'2601.TW-ChipsField3,ChipsField1,ChipsField25,CashAndStockDividend,CashDividendYieldRate,ProfitFourSeason,ProfitSingle,CName,ExchangeIndustry,CompanyPos'</f>
        <v>-385</v>
      </c>
      <c r="V863">
        <v>429</v>
      </c>
      <c r="W863" t="str">
        <v>--</v>
      </c>
      <c r="X863" t="str">
        <v>0.00</v>
      </c>
      <c r="Y863">
        <v>0</v>
      </c>
      <c r="Z863" t="str">
        <v>0.14</v>
      </c>
      <c r="AA863" t="str">
        <v>-0.03</v>
      </c>
      <c r="AB863" t="str">
        <v>益航</v>
      </c>
      <c r="AC863" t="str">
        <v>上市貿易百貨</v>
      </c>
      <c r="AD863" t="str">
        <v>從事散裝航運，在大陸持有大洋百貨</v>
      </c>
      <c r="AE863" t="str">
        <f t="array" ref="AE863:AH863">[1]!'2601.TW-CName,InvestorConferenceDate,DateofMeetingofShareHolders,TradingDate'</f>
        <v>益航</v>
      </c>
      <c r="AF863" t="str">
        <v>2022/12/02</v>
      </c>
      <c r="AG863" t="str">
        <v>2022/06/24</v>
      </c>
      <c r="AH863" t="str">
        <v>2022/12/22</v>
      </c>
    </row>
    <row r="864" spans="1:34" x14ac:dyDescent="0.3">
      <c r="A864" t="str">
        <f t="array" ref="A864:J864">[1]!'2901.TW-ID,Name,MarketValue,Capital,NetIncomeGrowthRate,OperIncomeGrowthRate,FinancialStatementsTime,TFXRatio,MonthlyNetSalesYoY,RevenueMonth'</f>
        <v>2901</v>
      </c>
      <c r="B864" t="str">
        <v>欣欣</v>
      </c>
      <c r="C864" t="str">
        <v>17.2</v>
      </c>
      <c r="D864" t="str">
        <v>7.30</v>
      </c>
      <c r="E864" t="str">
        <v>1697.27</v>
      </c>
      <c r="F864" t="str">
        <v>173.44</v>
      </c>
      <c r="G864" t="str">
        <v>2022/09</v>
      </c>
      <c r="H864" t="str">
        <v>-6.19</v>
      </c>
      <c r="I864" t="str">
        <v>-2.47</v>
      </c>
      <c r="J864" t="str">
        <v>2022/11</v>
      </c>
      <c r="K864" t="str">
        <f t="array" ref="K864:T864">[1]!'2901.TW-OperatingProfitRatio,Price,PriceChangeRatio,InOutRatioNumber,Value,YearReturn,MonthReturn,WeekReturn,FinanceBalanceDif,ChipsField2'</f>
        <v>7.97</v>
      </c>
      <c r="L864">
        <v>23.6</v>
      </c>
      <c r="M864">
        <v>1.51</v>
      </c>
      <c r="N864" t="str">
        <v>100.00%</v>
      </c>
      <c r="O864" t="str">
        <v>7.07萬</v>
      </c>
      <c r="P864" t="str">
        <v>-4.96</v>
      </c>
      <c r="Q864" t="str">
        <v>+0.85</v>
      </c>
      <c r="R864" t="str">
        <v>+0.21</v>
      </c>
      <c r="S864">
        <v>-39</v>
      </c>
      <c r="T864">
        <v>0</v>
      </c>
      <c r="U864">
        <f t="array" ref="U864:AD864">[1]!'2901.TW-ChipsField3,ChipsField1,ChipsField25,CashAndStockDividend,CashDividendYieldRate,ProfitFourSeason,ProfitSingle,CName,ExchangeIndustry,CompanyPos'</f>
        <v>0</v>
      </c>
      <c r="V864">
        <v>-5</v>
      </c>
      <c r="W864" t="str">
        <v>2022/08/23</v>
      </c>
      <c r="X864" t="str">
        <v>0.07</v>
      </c>
      <c r="Y864">
        <v>0.3</v>
      </c>
      <c r="Z864" t="str">
        <v>0.27</v>
      </c>
      <c r="AA864" t="str">
        <v>0.07</v>
      </c>
      <c r="AB864" t="str">
        <v>欣欣</v>
      </c>
      <c r="AC864" t="str">
        <v>上市貿易百貨</v>
      </c>
      <c r="AD864" t="str">
        <v>位於台北市中山區精華地段之百貨業者，退撫會為最大股東</v>
      </c>
      <c r="AE864" t="str">
        <f t="array" ref="AE864:AH864">[1]!'2901.TW-CName,InvestorConferenceDate,DateofMeetingofShareHolders,TradingDate'</f>
        <v>欣欣</v>
      </c>
      <c r="AF864" t="str">
        <v>2022/11/16</v>
      </c>
      <c r="AG864" t="str">
        <v>2022/06/22</v>
      </c>
      <c r="AH864" t="str">
        <v>2022/12/22</v>
      </c>
    </row>
    <row r="865" spans="1:34" x14ac:dyDescent="0.3">
      <c r="A865" t="str">
        <f t="array" ref="A865:J865">[1]!'2903.TW-ID,Name,MarketValue,Capital,NetIncomeGrowthRate,OperIncomeGrowthRate,FinancialStatementsTime,TFXRatio,MonthlyNetSalesYoY,RevenueMonth'</f>
        <v>2903</v>
      </c>
      <c r="B865" t="str">
        <v>遠百</v>
      </c>
      <c r="C865" t="str">
        <v>304.6</v>
      </c>
      <c r="D865" t="str">
        <v>141.69</v>
      </c>
      <c r="E865" t="str">
        <v>43.15</v>
      </c>
      <c r="F865" t="str">
        <v>49.56</v>
      </c>
      <c r="G865" t="str">
        <v>2022/09</v>
      </c>
      <c r="H865" t="str">
        <v>18.82</v>
      </c>
      <c r="I865" t="str">
        <v>-3.50</v>
      </c>
      <c r="J865" t="str">
        <v>2022/11</v>
      </c>
      <c r="K865" t="str">
        <f t="array" ref="K865:T865">[1]!'2903.TW-OperatingProfitRatio,Price,PriceChangeRatio,InOutRatioNumber,Value,YearReturn,MonthReturn,WeekReturn,FinanceBalanceDif,ChipsField2'</f>
        <v>10.39</v>
      </c>
      <c r="L865">
        <v>21.5</v>
      </c>
      <c r="M865">
        <v>0</v>
      </c>
      <c r="N865" t="str">
        <v>71.97%</v>
      </c>
      <c r="O865" t="str">
        <v>3322萬</v>
      </c>
      <c r="P865" t="str">
        <v>+7.07</v>
      </c>
      <c r="Q865" t="str">
        <v>+9.41</v>
      </c>
      <c r="R865" t="str">
        <v>+4.12</v>
      </c>
      <c r="S865">
        <v>9</v>
      </c>
      <c r="T865">
        <v>1018</v>
      </c>
      <c r="U865">
        <f t="array" ref="U865:AD865">[1]!'2903.TW-ChipsField3,ChipsField1,ChipsField25,CashAndStockDividend,CashDividendYieldRate,ProfitFourSeason,ProfitSingle,CName,ExchangeIndustry,CompanyPos'</f>
        <v>-1437</v>
      </c>
      <c r="V865">
        <v>55</v>
      </c>
      <c r="W865" t="str">
        <v>2022/07/14</v>
      </c>
      <c r="X865" t="str">
        <v>0.90</v>
      </c>
      <c r="Y865">
        <v>4.1900000000000004</v>
      </c>
      <c r="Z865" t="str">
        <v>1.15</v>
      </c>
      <c r="AA865" t="str">
        <v>0.56</v>
      </c>
      <c r="AB865" t="str">
        <v>遠百</v>
      </c>
      <c r="AC865" t="str">
        <v>上市貿易百貨</v>
      </c>
      <c r="AD865" t="str">
        <v>隸屬遠東集團，合併SOGO百貨成為台灣規模最大的百貨業者</v>
      </c>
      <c r="AE865" t="str">
        <f t="array" ref="AE865:AH865">[1]!'2903.TW-CName,InvestorConferenceDate,DateofMeetingofShareHolders,TradingDate'</f>
        <v>遠百</v>
      </c>
      <c r="AF865" t="str">
        <v>2021/12/16</v>
      </c>
      <c r="AG865" t="str">
        <v>2022/06/24</v>
      </c>
      <c r="AH865" t="str">
        <v>2022/12/22</v>
      </c>
    </row>
    <row r="866" spans="1:34" x14ac:dyDescent="0.3">
      <c r="A866" t="str">
        <f t="array" ref="A866:J866">[1]!'2905.TW-ID,Name,MarketValue,Capital,NetIncomeGrowthRate,OperIncomeGrowthRate,FinancialStatementsTime,TFXRatio,MonthlyNetSalesYoY,RevenueMonth'</f>
        <v>2905</v>
      </c>
      <c r="B866" t="str">
        <v>三商</v>
      </c>
      <c r="C866" t="str">
        <v>139.8</v>
      </c>
      <c r="D866" t="str">
        <v>92.25</v>
      </c>
      <c r="E866" t="str">
        <v>-275.91</v>
      </c>
      <c r="F866" t="str">
        <v>-1024.13</v>
      </c>
      <c r="G866" t="str">
        <v>2022/09</v>
      </c>
      <c r="H866" t="str">
        <v>-166.91</v>
      </c>
      <c r="I866" t="str">
        <v>-199.64</v>
      </c>
      <c r="J866" t="str">
        <v>2022/11</v>
      </c>
      <c r="K866" t="str">
        <f t="array" ref="K866:T866">[1]!'2905.TW-OperatingProfitRatio,Price,PriceChangeRatio,InOutRatioNumber,Value,YearReturn,MonthReturn,WeekReturn,FinanceBalanceDif,ChipsField2'</f>
        <v>-77.39</v>
      </c>
      <c r="L866">
        <v>15.15</v>
      </c>
      <c r="M866">
        <v>1</v>
      </c>
      <c r="N866" t="str">
        <v>34.57%</v>
      </c>
      <c r="O866" t="str">
        <v>123萬</v>
      </c>
      <c r="P866" t="str">
        <v>-27.63</v>
      </c>
      <c r="Q866" t="str">
        <v>+3.41</v>
      </c>
      <c r="R866" t="str">
        <v>-1.62</v>
      </c>
      <c r="S866">
        <v>1</v>
      </c>
      <c r="T866">
        <v>0</v>
      </c>
      <c r="U866">
        <f t="array" ref="U866:AD866">[1]!'2905.TW-ChipsField3,ChipsField1,ChipsField25,CashAndStockDividend,CashDividendYieldRate,ProfitFourSeason,ProfitSingle,CName,ExchangeIndustry,CompanyPos'</f>
        <v>-40</v>
      </c>
      <c r="V866">
        <v>-11</v>
      </c>
      <c r="W866" t="str">
        <v>2022/09/08</v>
      </c>
      <c r="X866" t="str">
        <v>1.10</v>
      </c>
      <c r="Y866">
        <v>7.26</v>
      </c>
      <c r="Z866" t="str">
        <v>-1.32</v>
      </c>
      <c r="AA866" t="str">
        <v>0.79</v>
      </c>
      <c r="AB866" t="str">
        <v>三商</v>
      </c>
      <c r="AC866" t="str">
        <v>上市貿易百貨</v>
      </c>
      <c r="AD866" t="str">
        <v>轉投資子公司業務包含零售業、餐飲、壽險、製藥等</v>
      </c>
      <c r="AE866" t="str">
        <f t="array" ref="AE866:AH866">[1]!'2905.TW-CName,InvestorConferenceDate,DateofMeetingofShareHolders,TradingDate'</f>
        <v>三商</v>
      </c>
      <c r="AF866" t="str">
        <v>2022/09/16</v>
      </c>
      <c r="AG866" t="str">
        <v>2022/06/24</v>
      </c>
      <c r="AH866" t="str">
        <v>2022/12/22</v>
      </c>
    </row>
    <row r="867" spans="1:34" x14ac:dyDescent="0.3">
      <c r="A867" t="str">
        <f t="array" ref="A867:J867">[1]!'2906.TW-ID,Name,MarketValue,Capital,NetIncomeGrowthRate,OperIncomeGrowthRate,FinancialStatementsTime,TFXRatio,MonthlyNetSalesYoY,RevenueMonth'</f>
        <v>2906</v>
      </c>
      <c r="B867" t="str">
        <v>高林</v>
      </c>
      <c r="C867" t="str">
        <v>36.9</v>
      </c>
      <c r="D867" t="str">
        <v>20.91</v>
      </c>
      <c r="E867" t="str">
        <v>45.73</v>
      </c>
      <c r="F867" t="str">
        <v>55.63</v>
      </c>
      <c r="G867" t="str">
        <v>2022/09</v>
      </c>
      <c r="H867" t="str">
        <v>-3.74</v>
      </c>
      <c r="I867" t="str">
        <v>-6.52</v>
      </c>
      <c r="J867" t="str">
        <v>2022/11</v>
      </c>
      <c r="K867" t="str">
        <f t="array" ref="K867:T867">[1]!'2906.TW-OperatingProfitRatio,Price,PriceChangeRatio,InOutRatioNumber,Value,YearReturn,MonthReturn,WeekReturn,FinanceBalanceDif,ChipsField2'</f>
        <v>4.75</v>
      </c>
      <c r="L867">
        <v>17.649999999999999</v>
      </c>
      <c r="M867">
        <v>2.92</v>
      </c>
      <c r="N867" t="str">
        <v>56.73%</v>
      </c>
      <c r="O867" t="str">
        <v>1.39億</v>
      </c>
      <c r="P867" t="str">
        <v>+17.03</v>
      </c>
      <c r="Q867" t="str">
        <v>+0.57</v>
      </c>
      <c r="R867" t="str">
        <v>+2.02</v>
      </c>
      <c r="S867">
        <v>4</v>
      </c>
      <c r="T867">
        <v>0</v>
      </c>
      <c r="U867">
        <f t="array" ref="U867:AD867">[1]!'2906.TW-ChipsField3,ChipsField1,ChipsField25,CashAndStockDividend,CashDividendYieldRate,ProfitFourSeason,ProfitSingle,CName,ExchangeIndustry,CompanyPos'</f>
        <v>-11</v>
      </c>
      <c r="V867">
        <v>189</v>
      </c>
      <c r="W867" t="str">
        <v>2022/07/20</v>
      </c>
      <c r="X867" t="str">
        <v>0.40</v>
      </c>
      <c r="Y867">
        <v>2.27</v>
      </c>
      <c r="Z867" t="str">
        <v>0.74</v>
      </c>
      <c r="AA867" t="str">
        <v>0.24</v>
      </c>
      <c r="AB867" t="str">
        <v>高林</v>
      </c>
      <c r="AC867" t="str">
        <v>上市貿易百貨</v>
      </c>
      <c r="AD867" t="str">
        <v>為國內知名貿易商，並代理G2000、Nike等多項品牌服飾</v>
      </c>
      <c r="AE867" t="str">
        <f t="array" ref="AE867:AH867">[1]!'2906.TW-CName,InvestorConferenceDate,DateofMeetingofShareHolders,TradingDate'</f>
        <v>高林</v>
      </c>
      <c r="AF867" t="str">
        <v>2022/12/21</v>
      </c>
      <c r="AG867" t="str">
        <v>2022/06/15</v>
      </c>
      <c r="AH867" t="str">
        <v>2022/12/22</v>
      </c>
    </row>
    <row r="868" spans="1:34" x14ac:dyDescent="0.3">
      <c r="A868" t="str">
        <f t="array" ref="A868:J868">[1]!'2908.TW-ID,Name,MarketValue,Capital,NetIncomeGrowthRate,OperIncomeGrowthRate,FinancialStatementsTime,TFXRatio,MonthlyNetSalesYoY,RevenueMonth'</f>
        <v>2908</v>
      </c>
      <c r="B868" t="str">
        <v>特力</v>
      </c>
      <c r="C868" t="str">
        <v>101.0</v>
      </c>
      <c r="D868" t="str">
        <v>50.99</v>
      </c>
      <c r="E868" t="str">
        <v>-24.55</v>
      </c>
      <c r="F868" t="str">
        <v>-70.29</v>
      </c>
      <c r="G868" t="str">
        <v>2022/09</v>
      </c>
      <c r="H868" t="str">
        <v>9.45</v>
      </c>
      <c r="I868" t="str">
        <v>-27.83</v>
      </c>
      <c r="J868" t="str">
        <v>2022/11</v>
      </c>
      <c r="K868" t="str">
        <f t="array" ref="K868:T868">[1]!'2908.TW-OperatingProfitRatio,Price,PriceChangeRatio,InOutRatioNumber,Value,YearReturn,MonthReturn,WeekReturn,FinanceBalanceDif,ChipsField2'</f>
        <v>0.68</v>
      </c>
      <c r="L868">
        <v>19.8</v>
      </c>
      <c r="M868">
        <v>0.25</v>
      </c>
      <c r="N868" t="str">
        <v>82.61%</v>
      </c>
      <c r="O868" t="str">
        <v>47.5萬</v>
      </c>
      <c r="P868" t="str">
        <v>-0.53</v>
      </c>
      <c r="Q868" t="str">
        <v>-0.75</v>
      </c>
      <c r="R868" t="str">
        <v>-1.74</v>
      </c>
      <c r="S868">
        <v>38</v>
      </c>
      <c r="T868">
        <v>0</v>
      </c>
      <c r="U868">
        <f t="array" ref="U868:AD868">[1]!'2908.TW-ChipsField3,ChipsField1,ChipsField25,CashAndStockDividend,CashDividendYieldRate,ProfitFourSeason,ProfitSingle,CName,ExchangeIndustry,CompanyPos'</f>
        <v>-3</v>
      </c>
      <c r="V868">
        <v>-35</v>
      </c>
      <c r="W868" t="str">
        <v>2022/06/15</v>
      </c>
      <c r="X868" t="str">
        <v>1.28</v>
      </c>
      <c r="Y868">
        <v>6.46</v>
      </c>
      <c r="Z868" t="str">
        <v>1.26</v>
      </c>
      <c r="AA868" t="str">
        <v>0.29</v>
      </c>
      <c r="AB868" t="str">
        <v>特力</v>
      </c>
      <c r="AC868" t="str">
        <v>上市貿易百貨</v>
      </c>
      <c r="AD868" t="str">
        <v>海內外家居用品貿易商，擁有特力屋、HOLA零售品牌賣場</v>
      </c>
      <c r="AE868" t="str">
        <f t="array" ref="AE868:AH868">[1]!'2908.TW-CName,InvestorConferenceDate,DateofMeetingofShareHolders,TradingDate'</f>
        <v>特力</v>
      </c>
      <c r="AF868" t="str">
        <v>2022/09/21</v>
      </c>
      <c r="AG868" t="str">
        <v>2022/06/15</v>
      </c>
      <c r="AH868" t="str">
        <v>2022/12/22</v>
      </c>
    </row>
    <row r="869" spans="1:34" x14ac:dyDescent="0.3">
      <c r="A869" t="str">
        <f t="array" ref="A869:J869">[1]!'2910.TW-ID,Name,MarketValue,Capital,NetIncomeGrowthRate,OperIncomeGrowthRate,FinancialStatementsTime,TFXRatio,MonthlyNetSalesYoY,RevenueMonth'</f>
        <v>2910</v>
      </c>
      <c r="B869" t="str">
        <v>統領</v>
      </c>
      <c r="C869" t="str">
        <v>63.2</v>
      </c>
      <c r="D869" t="str">
        <v>20.87</v>
      </c>
      <c r="E869" t="str">
        <v>-28.32</v>
      </c>
      <c r="F869" t="str">
        <v>38.26</v>
      </c>
      <c r="G869" t="str">
        <v>2022/09</v>
      </c>
      <c r="H869" t="str">
        <v>0.13</v>
      </c>
      <c r="I869" t="str">
        <v>-8.91</v>
      </c>
      <c r="J869" t="str">
        <v>2022/11</v>
      </c>
      <c r="K869" t="str">
        <f t="array" ref="K869:T869">[1]!'2910.TW-OperatingProfitRatio,Price,PriceChangeRatio,InOutRatioNumber,Value,YearReturn,MonthReturn,WeekReturn,FinanceBalanceDif,ChipsField2'</f>
        <v>23.06</v>
      </c>
      <c r="L869">
        <v>30.3</v>
      </c>
      <c r="M869">
        <v>0.66</v>
      </c>
      <c r="N869" t="str">
        <v>42.86%</v>
      </c>
      <c r="O869" t="str">
        <v>21.2萬</v>
      </c>
      <c r="P869" t="str">
        <v>-14.82</v>
      </c>
      <c r="Q869" t="str">
        <v>-5.61</v>
      </c>
      <c r="R869" t="str">
        <v>-5.31</v>
      </c>
      <c r="S869">
        <v>2</v>
      </c>
      <c r="T869">
        <v>0</v>
      </c>
      <c r="U869">
        <f t="array" ref="U869:AD869">[1]!'2910.TW-ChipsField3,ChipsField1,ChipsField25,CashAndStockDividend,CashDividendYieldRate,ProfitFourSeason,ProfitSingle,CName,ExchangeIndustry,CompanyPos'</f>
        <v>0</v>
      </c>
      <c r="V869">
        <v>1</v>
      </c>
      <c r="W869" t="str">
        <v>2022/04/14</v>
      </c>
      <c r="X869" t="str">
        <v>0.50</v>
      </c>
      <c r="Y869">
        <v>1.65</v>
      </c>
      <c r="Z869" t="str">
        <v>0.67</v>
      </c>
      <c r="AA869" t="str">
        <v>0.20</v>
      </c>
      <c r="AB869" t="str">
        <v>統領</v>
      </c>
      <c r="AC869" t="str">
        <v>上市貿易百貨</v>
      </c>
      <c r="AD869" t="str">
        <v>由百貨公司跨足至營建與餐飲業者</v>
      </c>
      <c r="AE869" t="str">
        <f t="array" ref="AE869:AH869">[1]!'2910.TW-CName,InvestorConferenceDate,DateofMeetingofShareHolders,TradingDate'</f>
        <v>統領</v>
      </c>
      <c r="AF869" t="str">
        <v>2022/11/21</v>
      </c>
      <c r="AG869" t="str">
        <v>2022/06/14</v>
      </c>
      <c r="AH869" t="str">
        <v>2022/12/22</v>
      </c>
    </row>
    <row r="870" spans="1:34" x14ac:dyDescent="0.3">
      <c r="A870" t="str">
        <f t="array" ref="A870:J870">[1]!'2911.TW-ID,Name,MarketValue,Capital,NetIncomeGrowthRate,OperIncomeGrowthRate,FinancialStatementsTime,TFXRatio,MonthlyNetSalesYoY,RevenueMonth'</f>
        <v>2911</v>
      </c>
      <c r="B870" t="str">
        <v>麗嬰房</v>
      </c>
      <c r="C870" t="str">
        <v>13.1</v>
      </c>
      <c r="D870" t="str">
        <v>18.47</v>
      </c>
      <c r="E870" t="str">
        <v>-29.79</v>
      </c>
      <c r="F870" t="str">
        <v>-13.81</v>
      </c>
      <c r="G870" t="str">
        <v>2022/09</v>
      </c>
      <c r="H870" t="str">
        <v>-28.07</v>
      </c>
      <c r="I870" t="str">
        <v>-30.14</v>
      </c>
      <c r="J870" t="str">
        <v>2022/11</v>
      </c>
      <c r="K870" t="str">
        <f t="array" ref="K870:T870">[1]!'2911.TW-OperatingProfitRatio,Price,PriceChangeRatio,InOutRatioNumber,Value,YearReturn,MonthReturn,WeekReturn,FinanceBalanceDif,ChipsField2'</f>
        <v>-20.45</v>
      </c>
      <c r="L870">
        <v>7.09</v>
      </c>
      <c r="M870">
        <v>0.56999999999999995</v>
      </c>
      <c r="N870" t="str">
        <v>37.73%</v>
      </c>
      <c r="O870" t="str">
        <v>281萬</v>
      </c>
      <c r="P870" t="str">
        <v>-12.90</v>
      </c>
      <c r="Q870" t="str">
        <v>+12.18</v>
      </c>
      <c r="R870" t="str">
        <v>-9.22</v>
      </c>
      <c r="S870">
        <v>-42</v>
      </c>
      <c r="T870">
        <v>0</v>
      </c>
      <c r="U870">
        <f t="array" ref="U870:AD870">[1]!'2911.TW-ChipsField3,ChipsField1,ChipsField25,CashAndStockDividend,CashDividendYieldRate,ProfitFourSeason,ProfitSingle,CName,ExchangeIndustry,CompanyPos'</f>
        <v>0</v>
      </c>
      <c r="V870">
        <v>27</v>
      </c>
      <c r="W870" t="str">
        <v>--</v>
      </c>
      <c r="X870" t="str">
        <v>0.00</v>
      </c>
      <c r="Y870">
        <v>0</v>
      </c>
      <c r="Z870" t="str">
        <v>-1.94</v>
      </c>
      <c r="AA870" t="str">
        <v>-0.92</v>
      </c>
      <c r="AB870" t="str">
        <v>麗嬰房</v>
      </c>
      <c r="AC870" t="str">
        <v>上市貿易百貨</v>
      </c>
      <c r="AD870" t="str">
        <v>台灣嬰幼童服飾第一大品牌</v>
      </c>
      <c r="AE870" t="str">
        <f t="array" ref="AE870:AH870">[1]!'2911.TW-CName,InvestorConferenceDate,DateofMeetingofShareHolders,TradingDate'</f>
        <v>麗嬰房</v>
      </c>
      <c r="AF870" t="str">
        <v>2021/12/16</v>
      </c>
      <c r="AG870" t="str">
        <v>2022/12/30</v>
      </c>
      <c r="AH870" t="str">
        <v>2022/12/22</v>
      </c>
    </row>
    <row r="871" spans="1:34" x14ac:dyDescent="0.3">
      <c r="A871" t="str">
        <f t="array" ref="A871:J871">[1]!'2912.TW-ID,Name,MarketValue,Capital,NetIncomeGrowthRate,OperIncomeGrowthRate,FinancialStatementsTime,TFXRatio,MonthlyNetSalesYoY,RevenueMonth'</f>
        <v>2912</v>
      </c>
      <c r="B871" t="str">
        <v>統一超</v>
      </c>
      <c r="C871" t="str">
        <v>2827.8</v>
      </c>
      <c r="D871" t="str">
        <v>103.96</v>
      </c>
      <c r="E871" t="str">
        <v>18.46</v>
      </c>
      <c r="F871" t="str">
        <v>22.31</v>
      </c>
      <c r="G871" t="str">
        <v>2022/09</v>
      </c>
      <c r="H871" t="str">
        <v>0.12</v>
      </c>
      <c r="I871" t="str">
        <v>10.07</v>
      </c>
      <c r="J871" t="str">
        <v>2022/11</v>
      </c>
      <c r="K871" t="str">
        <f t="array" ref="K871:T871">[1]!'2912.TW-OperatingProfitRatio,Price,PriceChangeRatio,InOutRatioNumber,Value,YearReturn,MonthReturn,WeekReturn,FinanceBalanceDif,ChipsField2'</f>
        <v>4.37</v>
      </c>
      <c r="L871">
        <v>272</v>
      </c>
      <c r="M871">
        <v>0.74</v>
      </c>
      <c r="N871" t="str">
        <v>65.21%</v>
      </c>
      <c r="O871" t="str">
        <v>1.69億</v>
      </c>
      <c r="P871" t="str">
        <v>+1.95</v>
      </c>
      <c r="Q871" t="str">
        <v>+2.45</v>
      </c>
      <c r="R871" t="str">
        <v>-0.55</v>
      </c>
      <c r="S871">
        <v>-13</v>
      </c>
      <c r="T871">
        <v>-233</v>
      </c>
      <c r="U871">
        <f t="array" ref="U871:AD871">[1]!'2912.TW-ChipsField3,ChipsField1,ChipsField25,CashAndStockDividend,CashDividendYieldRate,ProfitFourSeason,ProfitSingle,CName,ExchangeIndustry,CompanyPos'</f>
        <v>-44</v>
      </c>
      <c r="V871">
        <v>254</v>
      </c>
      <c r="W871" t="str">
        <v>2022/08/03</v>
      </c>
      <c r="X871" t="str">
        <v>9.00</v>
      </c>
      <c r="Y871">
        <v>3.31</v>
      </c>
      <c r="Z871" t="str">
        <v>9.27</v>
      </c>
      <c r="AA871" t="str">
        <v>2.59</v>
      </c>
      <c r="AB871" t="str">
        <v>統一超</v>
      </c>
      <c r="AC871" t="str">
        <v>上市貿易百貨</v>
      </c>
      <c r="AD871" t="str">
        <v>經營7-11為台灣超商龍頭，隸屬統一集團</v>
      </c>
      <c r="AE871" t="str">
        <f t="array" ref="AE871:AH871">[1]!'2912.TW-CName,InvestorConferenceDate,DateofMeetingofShareHolders,TradingDate'</f>
        <v>統一超</v>
      </c>
      <c r="AF871" t="str">
        <v>2021/03/30</v>
      </c>
      <c r="AG871" t="str">
        <v>2022/05/26</v>
      </c>
      <c r="AH871" t="str">
        <v>2022/12/22</v>
      </c>
    </row>
    <row r="872" spans="1:34" x14ac:dyDescent="0.3">
      <c r="A872" t="str">
        <f t="array" ref="A872:J872">[1]!'2913.TW-ID,Name,MarketValue,Capital,NetIncomeGrowthRate,OperIncomeGrowthRate,FinancialStatementsTime,TFXRatio,MonthlyNetSalesYoY,RevenueMonth'</f>
        <v>2913</v>
      </c>
      <c r="B872" t="str">
        <v>農林</v>
      </c>
      <c r="C872" t="str">
        <v>153.4</v>
      </c>
      <c r="D872" t="str">
        <v>79.00</v>
      </c>
      <c r="E872" t="str">
        <v>-18.65</v>
      </c>
      <c r="F872" t="str">
        <v>17.50</v>
      </c>
      <c r="G872" t="str">
        <v>2022/09</v>
      </c>
      <c r="H872" t="str">
        <v>8.87</v>
      </c>
      <c r="I872" t="str">
        <v>-9.03</v>
      </c>
      <c r="J872" t="str">
        <v>2022/11</v>
      </c>
      <c r="K872" t="str">
        <f t="array" ref="K872:T872">[1]!'2913.TW-OperatingProfitRatio,Price,PriceChangeRatio,InOutRatioNumber,Value,YearReturn,MonthReturn,WeekReturn,FinanceBalanceDif,ChipsField2'</f>
        <v>-37.46</v>
      </c>
      <c r="L872">
        <v>21.7</v>
      </c>
      <c r="M872">
        <v>-0.23</v>
      </c>
      <c r="N872" t="str">
        <v>27.25%</v>
      </c>
      <c r="O872" t="str">
        <v>1961萬</v>
      </c>
      <c r="P872" t="str">
        <v>+9.32</v>
      </c>
      <c r="Q872" t="str">
        <v>-2.25</v>
      </c>
      <c r="R872" t="str">
        <v>-5.24</v>
      </c>
      <c r="S872">
        <v>-35</v>
      </c>
      <c r="T872">
        <v>0</v>
      </c>
      <c r="U872">
        <f t="array" ref="U872:AD872">[1]!'2913.TW-ChipsField3,ChipsField1,ChipsField25,CashAndStockDividend,CashDividendYieldRate,ProfitFourSeason,ProfitSingle,CName,ExchangeIndustry,CompanyPos'</f>
        <v>-221</v>
      </c>
      <c r="V872">
        <v>546</v>
      </c>
      <c r="W872" t="str">
        <v>--</v>
      </c>
      <c r="X872" t="str">
        <v>0.00</v>
      </c>
      <c r="Y872">
        <v>0</v>
      </c>
      <c r="Z872" t="str">
        <v>-1.44</v>
      </c>
      <c r="AA872" t="str">
        <v>-0.05</v>
      </c>
      <c r="AB872" t="str">
        <v>農林</v>
      </c>
      <c r="AC872" t="str">
        <v>上市貿易百貨</v>
      </c>
      <c r="AD872" t="str">
        <v>擁有自有茶園及以外銷茶葉至日本、澳洲為主的企業</v>
      </c>
      <c r="AE872" t="str">
        <f t="array" ref="AE872:AH872">[1]!'2913.TW-CName,InvestorConferenceDate,DateofMeetingofShareHolders,TradingDate'</f>
        <v>農林</v>
      </c>
      <c r="AF872" t="str">
        <v>--</v>
      </c>
      <c r="AG872" t="str">
        <v>2022/05/20</v>
      </c>
      <c r="AH872" t="str">
        <v>2022/12/22</v>
      </c>
    </row>
    <row r="873" spans="1:34" x14ac:dyDescent="0.3">
      <c r="A873" t="str">
        <f t="array" ref="A873:J873">[1]!'2915.TW-ID,Name,MarketValue,Capital,NetIncomeGrowthRate,OperIncomeGrowthRate,FinancialStatementsTime,TFXRatio,MonthlyNetSalesYoY,RevenueMonth'</f>
        <v>2915</v>
      </c>
      <c r="B873" t="str">
        <v>潤泰全</v>
      </c>
      <c r="C873" t="str">
        <v>735.5</v>
      </c>
      <c r="D873" t="str">
        <v>110.43</v>
      </c>
      <c r="E873" t="str">
        <v>12.65</v>
      </c>
      <c r="F873" t="str">
        <v>-120.67</v>
      </c>
      <c r="G873" t="str">
        <v>2022/09</v>
      </c>
      <c r="H873" t="str">
        <v>-12.07</v>
      </c>
      <c r="I873" t="str">
        <v>-2.18</v>
      </c>
      <c r="J873" t="str">
        <v>2022/11</v>
      </c>
      <c r="K873" t="str">
        <f t="array" ref="K873:T873">[1]!'2915.TW-OperatingProfitRatio,Price,PriceChangeRatio,InOutRatioNumber,Value,YearReturn,MonthReturn,WeekReturn,FinanceBalanceDif,ChipsField2'</f>
        <v>-0.36</v>
      </c>
      <c r="L873">
        <v>66.599999999999994</v>
      </c>
      <c r="M873">
        <v>2.62</v>
      </c>
      <c r="N873" t="str">
        <v>68.07%</v>
      </c>
      <c r="O873" t="str">
        <v>9.41億</v>
      </c>
      <c r="P873" t="str">
        <v>-25.03</v>
      </c>
      <c r="Q873" t="str">
        <v>+3.90</v>
      </c>
      <c r="R873" t="str">
        <v>-3.90</v>
      </c>
      <c r="S873">
        <v>82</v>
      </c>
      <c r="T873">
        <v>8695</v>
      </c>
      <c r="U873">
        <f t="array" ref="U873:AD873">[1]!'2915.TW-ChipsField3,ChipsField1,ChipsField25,CashAndStockDividend,CashDividendYieldRate,ProfitFourSeason,ProfitSingle,CName,ExchangeIndustry,CompanyPos'</f>
        <v>-227</v>
      </c>
      <c r="V873">
        <v>-7536</v>
      </c>
      <c r="W873" t="str">
        <v>2022/08/09</v>
      </c>
      <c r="X873" t="str">
        <v>5.00</v>
      </c>
      <c r="Y873">
        <v>7.51</v>
      </c>
      <c r="Z873" t="str">
        <v>25.25</v>
      </c>
      <c r="AA873" t="str">
        <v>10.53</v>
      </c>
      <c r="AB873" t="str">
        <v>潤泰全</v>
      </c>
      <c r="AC873" t="str">
        <v>上市貿易百貨</v>
      </c>
      <c r="AD873" t="str">
        <v>中概內需股之一，集團旗下擁有「大潤發」及「歐尚」雙量販品牌</v>
      </c>
      <c r="AE873" t="str">
        <f t="array" ref="AE873:AH873">[1]!'2915.TW-CName,InvestorConferenceDate,DateofMeetingofShareHolders,TradingDate'</f>
        <v>潤泰全</v>
      </c>
      <c r="AF873" t="str">
        <v>2022/12/27</v>
      </c>
      <c r="AG873" t="str">
        <v>2022/06/23</v>
      </c>
      <c r="AH873" t="str">
        <v>2022/12/22</v>
      </c>
    </row>
    <row r="874" spans="1:34" x14ac:dyDescent="0.3">
      <c r="A874" t="str">
        <f t="array" ref="A874:J874">[1]!'2929.TW-ID,Name,MarketValue,Capital,NetIncomeGrowthRate,OperIncomeGrowthRate,FinancialStatementsTime,TFXRatio,MonthlyNetSalesYoY,RevenueMonth'</f>
        <v>2929</v>
      </c>
      <c r="B874" t="str">
        <v>淘帝-KY</v>
      </c>
      <c r="C874" t="str">
        <v>19.2</v>
      </c>
      <c r="D874" t="str">
        <v>10.95</v>
      </c>
      <c r="E874" t="str">
        <v>131.25</v>
      </c>
      <c r="F874" t="str">
        <v>85.47</v>
      </c>
      <c r="G874" t="str">
        <v>2022/09</v>
      </c>
      <c r="H874" t="str">
        <v>-0.62</v>
      </c>
      <c r="I874" t="str">
        <v>-17.83</v>
      </c>
      <c r="J874" t="str">
        <v>2022/11</v>
      </c>
      <c r="K874" t="str">
        <f t="array" ref="K874:T874">[1]!'2929.TW-OperatingProfitRatio,Price,PriceChangeRatio,InOutRatioNumber,Value,YearReturn,MonthReturn,WeekReturn,FinanceBalanceDif,ChipsField2'</f>
        <v>-5.33</v>
      </c>
      <c r="L874">
        <v>17.55</v>
      </c>
      <c r="M874">
        <v>4.46</v>
      </c>
      <c r="N874" t="str">
        <v>64.85%</v>
      </c>
      <c r="O874" t="str">
        <v>1.51億</v>
      </c>
      <c r="P874" t="str">
        <v>+48.73</v>
      </c>
      <c r="Q874" t="str">
        <v>+43.27</v>
      </c>
      <c r="R874" t="str">
        <v>+5.72</v>
      </c>
      <c r="S874">
        <v>60</v>
      </c>
      <c r="T874">
        <v>0</v>
      </c>
      <c r="U874">
        <f t="array" ref="U874:AD874">[1]!'2929.TW-ChipsField3,ChipsField1,ChipsField25,CashAndStockDividend,CashDividendYieldRate,ProfitFourSeason,ProfitSingle,CName,ExchangeIndustry,CompanyPos'</f>
        <v>0</v>
      </c>
      <c r="V874">
        <v>286</v>
      </c>
      <c r="W874" t="str">
        <v>--</v>
      </c>
      <c r="X874" t="str">
        <v>0.00</v>
      </c>
      <c r="Y874">
        <v>0</v>
      </c>
      <c r="Z874" t="str">
        <v>0.65</v>
      </c>
      <c r="AA874" t="str">
        <v>2.11</v>
      </c>
      <c r="AB874" t="str">
        <v>淘帝-KY</v>
      </c>
      <c r="AC874" t="str">
        <v>上市貿易百貨</v>
      </c>
      <c r="AD874" t="str">
        <v>為中國大陸童裝前十大品牌廠</v>
      </c>
      <c r="AE874" t="str">
        <f t="array" ref="AE874:AH874">[1]!'2929.TW-CName,InvestorConferenceDate,DateofMeetingofShareHolders,TradingDate'</f>
        <v>淘帝-KY</v>
      </c>
      <c r="AF874" t="str">
        <v>2022/05/17</v>
      </c>
      <c r="AG874" t="str">
        <v>2022/06/29</v>
      </c>
      <c r="AH874" t="str">
        <v>2022/12/22</v>
      </c>
    </row>
    <row r="875" spans="1:34" x14ac:dyDescent="0.3">
      <c r="A875" t="str">
        <f t="array" ref="A875:J875">[1]!'2939.TW-ID,Name,MarketValue,Capital,NetIncomeGrowthRate,OperIncomeGrowthRate,FinancialStatementsTime,TFXRatio,MonthlyNetSalesYoY,RevenueMonth'</f>
        <v>2939</v>
      </c>
      <c r="B875" t="str">
        <v>凱羿-KY</v>
      </c>
      <c r="C875" t="str">
        <v>15.1</v>
      </c>
      <c r="D875" t="str">
        <v>4.55</v>
      </c>
      <c r="E875" t="str">
        <v>157.76</v>
      </c>
      <c r="F875" t="str">
        <v>-240.94</v>
      </c>
      <c r="G875" t="str">
        <v>2022/09</v>
      </c>
      <c r="H875" t="str">
        <v>11.84</v>
      </c>
      <c r="I875" t="str">
        <v>13.65</v>
      </c>
      <c r="J875" t="str">
        <v>2022/11</v>
      </c>
      <c r="K875" t="str">
        <f t="array" ref="K875:T875">[1]!'2939.TW-OperatingProfitRatio,Price,PriceChangeRatio,InOutRatioNumber,Value,YearReturn,MonthReturn,WeekReturn,FinanceBalanceDif,ChipsField2'</f>
        <v>-15.22</v>
      </c>
      <c r="L875">
        <v>33.15</v>
      </c>
      <c r="M875">
        <v>3.59</v>
      </c>
      <c r="N875" t="str">
        <v>47.92%</v>
      </c>
      <c r="O875" t="str">
        <v>157萬</v>
      </c>
      <c r="P875" t="str">
        <v>+2.16</v>
      </c>
      <c r="Q875" t="str">
        <v>-5.96</v>
      </c>
      <c r="R875" t="str">
        <v>-9.55</v>
      </c>
      <c r="S875">
        <v>-14</v>
      </c>
      <c r="T875">
        <v>0</v>
      </c>
      <c r="U875">
        <f t="array" ref="U875:AD875">[1]!'2939.TW-ChipsField3,ChipsField1,ChipsField25,CashAndStockDividend,CashDividendYieldRate,ProfitFourSeason,ProfitSingle,CName,ExchangeIndustry,CompanyPos'</f>
        <v>0</v>
      </c>
      <c r="V875">
        <v>-2</v>
      </c>
      <c r="W875" t="str">
        <v>--</v>
      </c>
      <c r="X875" t="str">
        <v>0.00</v>
      </c>
      <c r="Y875">
        <v>0</v>
      </c>
      <c r="Z875" t="str">
        <v>0.47</v>
      </c>
      <c r="AA875" t="str">
        <v>0.11</v>
      </c>
      <c r="AB875" t="str">
        <v>凱羿-KY</v>
      </c>
      <c r="AC875" t="str">
        <v>上市貿易百貨</v>
      </c>
      <c r="AD875" t="str">
        <v>生活應用產品開發供應商</v>
      </c>
      <c r="AE875" t="str">
        <f t="array" ref="AE875:AH875">[1]!'2939.TW-CName,InvestorConferenceDate,DateofMeetingofShareHolders,TradingDate'</f>
        <v>凱羿-KY</v>
      </c>
      <c r="AF875" t="str">
        <v>2022/12/19</v>
      </c>
      <c r="AG875" t="str">
        <v>2022/06/20</v>
      </c>
      <c r="AH875" t="str">
        <v>2022/12/22</v>
      </c>
    </row>
    <row r="876" spans="1:34" x14ac:dyDescent="0.3">
      <c r="A876" t="str">
        <f t="array" ref="A876:J876">[1]!'2945.TW-ID,Name,MarketValue,Capital,NetIncomeGrowthRate,OperIncomeGrowthRate,FinancialStatementsTime,TFXRatio,MonthlyNetSalesYoY,RevenueMonth'</f>
        <v>2945</v>
      </c>
      <c r="B876" t="str">
        <v>三商家購</v>
      </c>
      <c r="C876" t="str">
        <v>28.5</v>
      </c>
      <c r="D876" t="str">
        <v>6.75</v>
      </c>
      <c r="E876" t="str">
        <v>-89.29</v>
      </c>
      <c r="F876" t="str">
        <v>-96.77</v>
      </c>
      <c r="G876" t="str">
        <v>2022/09</v>
      </c>
      <c r="H876" t="str">
        <v>-4.89</v>
      </c>
      <c r="I876" t="str">
        <v>9.46</v>
      </c>
      <c r="J876" t="str">
        <v>2022/11</v>
      </c>
      <c r="K876" t="str">
        <f t="array" ref="K876:T876">[1]!'2945.TW-OperatingProfitRatio,Price,PriceChangeRatio,InOutRatioNumber,Value,YearReturn,MonthReturn,WeekReturn,FinanceBalanceDif,ChipsField2'</f>
        <v>0.05</v>
      </c>
      <c r="L876">
        <v>42.25</v>
      </c>
      <c r="M876">
        <v>-0.59</v>
      </c>
      <c r="N876" t="str">
        <v>25.00%</v>
      </c>
      <c r="O876" t="str">
        <v>33.8萬</v>
      </c>
      <c r="P876" t="str">
        <v>-38.37</v>
      </c>
      <c r="Q876" t="str">
        <v>+4.19</v>
      </c>
      <c r="R876" t="str">
        <v>-5.59</v>
      </c>
      <c r="S876">
        <v>0</v>
      </c>
      <c r="T876">
        <v>0</v>
      </c>
      <c r="U876">
        <f t="array" ref="U876:AD876">[1]!'2945.TW-ChipsField3,ChipsField1,ChipsField25,CashAndStockDividend,CashDividendYieldRate,ProfitFourSeason,ProfitSingle,CName,ExchangeIndustry,CompanyPos'</f>
        <v>0</v>
      </c>
      <c r="V876">
        <v>0</v>
      </c>
      <c r="W876" t="str">
        <v>2022/07/15</v>
      </c>
      <c r="X876" t="str">
        <v>2.59</v>
      </c>
      <c r="Y876">
        <v>6.13</v>
      </c>
      <c r="Z876" t="str">
        <v>1.16</v>
      </c>
      <c r="AA876" t="str">
        <v>0.23</v>
      </c>
      <c r="AB876" t="str">
        <v>三商家購</v>
      </c>
      <c r="AC876" t="str">
        <v>上市貿易百貨</v>
      </c>
      <c r="AD876" t="str">
        <v>三商旗下社區型連鎖超市業者</v>
      </c>
      <c r="AE876" t="str">
        <f t="array" ref="AE876:AH876">[1]!'2945.TW-CName,InvestorConferenceDate,DateofMeetingofShareHolders,TradingDate'</f>
        <v>三商家購</v>
      </c>
      <c r="AF876" t="str">
        <v>2022/11/22</v>
      </c>
      <c r="AG876" t="str">
        <v>2022/05/25</v>
      </c>
      <c r="AH876" t="str">
        <v>2022/12/22</v>
      </c>
    </row>
    <row r="877" spans="1:34" x14ac:dyDescent="0.3">
      <c r="A877" t="str">
        <f t="array" ref="A877:J877">[1]!'4807.TW-ID,Name,MarketValue,Capital,NetIncomeGrowthRate,OperIncomeGrowthRate,FinancialStatementsTime,TFXRatio,MonthlyNetSalesYoY,RevenueMonth'</f>
        <v>4807</v>
      </c>
      <c r="B877" t="str">
        <v>日成-KY</v>
      </c>
      <c r="C877" t="str">
        <v>7.6</v>
      </c>
      <c r="D877" t="str">
        <v>3.84</v>
      </c>
      <c r="E877" t="str">
        <v>-40.20</v>
      </c>
      <c r="F877" t="str">
        <v>-66.63</v>
      </c>
      <c r="G877" t="str">
        <v>2022/09</v>
      </c>
      <c r="H877" t="str">
        <v>-24.27</v>
      </c>
      <c r="I877" t="str">
        <v>-33.71</v>
      </c>
      <c r="J877" t="str">
        <v>2022/11</v>
      </c>
      <c r="K877" t="str">
        <f t="array" ref="K877:T877">[1]!'4807.TW-OperatingProfitRatio,Price,PriceChangeRatio,InOutRatioNumber,Value,YearReturn,MonthReturn,WeekReturn,FinanceBalanceDif,ChipsField2'</f>
        <v>3.33</v>
      </c>
      <c r="L877">
        <v>19.7</v>
      </c>
      <c r="M877">
        <v>-0.25</v>
      </c>
      <c r="N877" t="str">
        <v>25.00%</v>
      </c>
      <c r="O877" t="str">
        <v>39.8萬</v>
      </c>
      <c r="P877" t="str">
        <v>-22.38</v>
      </c>
      <c r="Q877" t="str">
        <v>-6.19</v>
      </c>
      <c r="R877" t="str">
        <v>-10.45</v>
      </c>
      <c r="S877">
        <v>0</v>
      </c>
      <c r="T877">
        <v>0</v>
      </c>
      <c r="U877">
        <f t="array" ref="U877:AD877">[1]!'4807.TW-ChipsField3,ChipsField1,ChipsField25,CashAndStockDividend,CashDividendYieldRate,ProfitFourSeason,ProfitSingle,CName,ExchangeIndustry,CompanyPos'</f>
        <v>0</v>
      </c>
      <c r="V877">
        <v>-1</v>
      </c>
      <c r="W877" t="str">
        <v>2022/09/05</v>
      </c>
      <c r="X877" t="str">
        <v>1.66</v>
      </c>
      <c r="Y877">
        <v>8.43</v>
      </c>
      <c r="Z877" t="str">
        <v>2.32</v>
      </c>
      <c r="AA877" t="str">
        <v>1.61</v>
      </c>
      <c r="AB877" t="str">
        <v>日成-KY</v>
      </c>
      <c r="AC877" t="str">
        <v>上市貿易百貨</v>
      </c>
      <c r="AD877" t="str">
        <v>泰國前三大珠寶ODM 及OEM廠商</v>
      </c>
      <c r="AE877" t="str">
        <f t="array" ref="AE877:AH877">[1]!'4807.TW-CName,InvestorConferenceDate,DateofMeetingofShareHolders,TradingDate'</f>
        <v>日成-KY</v>
      </c>
      <c r="AF877" t="str">
        <v>2022/03/17</v>
      </c>
      <c r="AG877" t="str">
        <v>2022/06/10</v>
      </c>
      <c r="AH877" t="str">
        <v>2022/12/22</v>
      </c>
    </row>
    <row r="878" spans="1:34" x14ac:dyDescent="0.3">
      <c r="A878" t="str">
        <f t="array" ref="A878:J878">[1]!'5906.TW-ID,Name,MarketValue,Capital,NetIncomeGrowthRate,OperIncomeGrowthRate,FinancialStatementsTime,TFXRatio,MonthlyNetSalesYoY,RevenueMonth'</f>
        <v>5906</v>
      </c>
      <c r="B878" t="str">
        <v>台南-KY</v>
      </c>
      <c r="C878" t="str">
        <v>9.7</v>
      </c>
      <c r="D878" t="str">
        <v>3.24</v>
      </c>
      <c r="E878" t="str">
        <v>-7.12</v>
      </c>
      <c r="F878" t="str">
        <v>46.32</v>
      </c>
      <c r="G878" t="str">
        <v>2022/09</v>
      </c>
      <c r="H878" t="str">
        <v>8.36</v>
      </c>
      <c r="I878" t="str">
        <v>-4.41</v>
      </c>
      <c r="J878" t="str">
        <v>2022/11</v>
      </c>
      <c r="K878" t="str">
        <f t="array" ref="K878:T878">[1]!'5906.TW-OperatingProfitRatio,Price,PriceChangeRatio,InOutRatioNumber,Value,YearReturn,MonthReturn,WeekReturn,FinanceBalanceDif,ChipsField2'</f>
        <v>8.55</v>
      </c>
      <c r="L878">
        <v>29.8</v>
      </c>
      <c r="M878">
        <v>0.17</v>
      </c>
      <c r="N878" t="str">
        <v>25.00%</v>
      </c>
      <c r="O878" t="str">
        <v>12.0萬</v>
      </c>
      <c r="P878" t="str">
        <v>-18.21</v>
      </c>
      <c r="Q878" t="str">
        <v>-5.99</v>
      </c>
      <c r="R878" t="str">
        <v>-0.67</v>
      </c>
      <c r="S878">
        <v>0</v>
      </c>
      <c r="T878">
        <v>0</v>
      </c>
      <c r="U878">
        <f t="array" ref="U878:AD878">[1]!'5906.TW-ChipsField3,ChipsField1,ChipsField25,CashAndStockDividend,CashDividendYieldRate,ProfitFourSeason,ProfitSingle,CName,ExchangeIndustry,CompanyPos'</f>
        <v>0</v>
      </c>
      <c r="V878">
        <v>0</v>
      </c>
      <c r="W878" t="str">
        <v>2022/06/29</v>
      </c>
      <c r="X878" t="str">
        <v>1.70</v>
      </c>
      <c r="Y878">
        <v>5.7</v>
      </c>
      <c r="Z878" t="str">
        <v>3.06</v>
      </c>
      <c r="AA878" t="str">
        <v>0.75</v>
      </c>
      <c r="AB878" t="str">
        <v>台南-KY</v>
      </c>
      <c r="AC878" t="str">
        <v>上市貿易百貨</v>
      </c>
      <c r="AD878" t="str">
        <v>代理FILA品牌</v>
      </c>
      <c r="AE878" t="str">
        <f t="array" ref="AE878:AH878">[1]!'5906.TW-CName,InvestorConferenceDate,DateofMeetingofShareHolders,TradingDate'</f>
        <v>台南-KY</v>
      </c>
      <c r="AF878" t="str">
        <v>2022/12/05</v>
      </c>
      <c r="AG878" t="str">
        <v>2022/06/14</v>
      </c>
      <c r="AH878" t="str">
        <v>2022/12/22</v>
      </c>
    </row>
    <row r="879" spans="1:34" x14ac:dyDescent="0.3">
      <c r="A879" t="str">
        <f t="array" ref="A879:J879">[1]!'5907.TW-ID,Name,MarketValue,Capital,NetIncomeGrowthRate,OperIncomeGrowthRate,FinancialStatementsTime,TFXRatio,MonthlyNetSalesYoY,RevenueMonth'</f>
        <v>5907</v>
      </c>
      <c r="B879" t="str">
        <v>大洋-KY</v>
      </c>
      <c r="C879" t="str">
        <v>34.4</v>
      </c>
      <c r="D879" t="str">
        <v>19.55</v>
      </c>
      <c r="E879" t="str">
        <v>-173.11</v>
      </c>
      <c r="F879" t="str">
        <v>-73.64</v>
      </c>
      <c r="G879" t="str">
        <v>2022/09</v>
      </c>
      <c r="H879" t="str">
        <v>-13.54</v>
      </c>
      <c r="I879" t="str">
        <v>-42.50</v>
      </c>
      <c r="J879" t="str">
        <v>2022/11</v>
      </c>
      <c r="K879" t="str">
        <f t="array" ref="K879:T879">[1]!'5907.TW-OperatingProfitRatio,Price,PriceChangeRatio,InOutRatioNumber,Value,YearReturn,MonthReturn,WeekReturn,FinanceBalanceDif,ChipsField2'</f>
        <v>2.38</v>
      </c>
      <c r="L879">
        <v>17.600000000000001</v>
      </c>
      <c r="M879">
        <v>0.28000000000000003</v>
      </c>
      <c r="N879" t="str">
        <v>40.72%</v>
      </c>
      <c r="O879" t="str">
        <v>845萬</v>
      </c>
      <c r="P879" t="str">
        <v>-1.40</v>
      </c>
      <c r="Q879" t="str">
        <v>+29.41</v>
      </c>
      <c r="R879" t="str">
        <v>-0.28</v>
      </c>
      <c r="S879">
        <v>15</v>
      </c>
      <c r="T879">
        <v>0</v>
      </c>
      <c r="U879">
        <f t="array" ref="U879:AD879">[1]!'5907.TW-ChipsField3,ChipsField1,ChipsField25,CashAndStockDividend,CashDividendYieldRate,ProfitFourSeason,ProfitSingle,CName,ExchangeIndustry,CompanyPos'</f>
        <v>0</v>
      </c>
      <c r="V879">
        <v>-1</v>
      </c>
      <c r="W879" t="str">
        <v>--</v>
      </c>
      <c r="X879" t="str">
        <v>0.00</v>
      </c>
      <c r="Y879">
        <v>0</v>
      </c>
      <c r="Z879" t="str">
        <v>-2.48</v>
      </c>
      <c r="AA879" t="str">
        <v>-0.84</v>
      </c>
      <c r="AB879" t="str">
        <v>大洋-KY</v>
      </c>
      <c r="AC879" t="str">
        <v>上市貿易百貨</v>
      </c>
      <c r="AD879" t="str">
        <v>益航轉投資在大陸從事百貨零售之台商企業</v>
      </c>
      <c r="AE879" t="str">
        <f t="array" ref="AE879:AH879">[1]!'5907.TW-CName,InvestorConferenceDate,DateofMeetingofShareHolders,TradingDate'</f>
        <v>大洋-KY</v>
      </c>
      <c r="AF879" t="str">
        <v>2022/12/02</v>
      </c>
      <c r="AG879" t="str">
        <v>2022/06/23</v>
      </c>
      <c r="AH879" t="str">
        <v>2022/12/22</v>
      </c>
    </row>
    <row r="880" spans="1:34" x14ac:dyDescent="0.3">
      <c r="A880" t="str">
        <f t="array" ref="A880:J880">[1]!'8429.TW-ID,Name,MarketValue,Capital,NetIncomeGrowthRate,OperIncomeGrowthRate,FinancialStatementsTime,TFXRatio,MonthlyNetSalesYoY,RevenueMonth'</f>
        <v>8429</v>
      </c>
      <c r="B880" t="str">
        <v>金麗-KY</v>
      </c>
      <c r="C880" t="str">
        <v>20.2</v>
      </c>
      <c r="D880" t="str">
        <v>18.57</v>
      </c>
      <c r="E880" t="str">
        <v>-800.98</v>
      </c>
      <c r="F880" t="str">
        <v>-4390.33</v>
      </c>
      <c r="G880" t="str">
        <v>2022/09</v>
      </c>
      <c r="H880" t="str">
        <v>15.05</v>
      </c>
      <c r="I880" t="str">
        <v>-73.52</v>
      </c>
      <c r="J880" t="str">
        <v>2022/11</v>
      </c>
      <c r="K880" t="str">
        <f t="array" ref="K880:T880">[1]!'8429.TW-OperatingProfitRatio,Price,PriceChangeRatio,InOutRatioNumber,Value,YearReturn,MonthReturn,WeekReturn,FinanceBalanceDif,ChipsField2'</f>
        <v>-121.32</v>
      </c>
      <c r="L880">
        <v>10.85</v>
      </c>
      <c r="M880">
        <v>0.46</v>
      </c>
      <c r="N880" t="str">
        <v>44.98%</v>
      </c>
      <c r="O880" t="str">
        <v>615萬</v>
      </c>
      <c r="P880" t="str">
        <v>-15.56</v>
      </c>
      <c r="Q880" t="str">
        <v>+16.92</v>
      </c>
      <c r="R880" t="str">
        <v>-3.56</v>
      </c>
      <c r="S880">
        <v>-122</v>
      </c>
      <c r="T880">
        <v>0</v>
      </c>
      <c r="U880">
        <f t="array" ref="U880:AD880">[1]!'8429.TW-ChipsField3,ChipsField1,ChipsField25,CashAndStockDividend,CashDividendYieldRate,ProfitFourSeason,ProfitSingle,CName,ExchangeIndustry,CompanyPos'</f>
        <v>-1</v>
      </c>
      <c r="V880">
        <v>92</v>
      </c>
      <c r="W880" t="str">
        <v>--</v>
      </c>
      <c r="X880" t="str">
        <v>0.00</v>
      </c>
      <c r="Y880">
        <v>0</v>
      </c>
      <c r="Z880" t="str">
        <v>-1.16</v>
      </c>
      <c r="AA880" t="str">
        <v>-0.68</v>
      </c>
      <c r="AB880" t="str">
        <v>金麗-KY</v>
      </c>
      <c r="AC880" t="str">
        <v>上市貿易百貨</v>
      </c>
      <c r="AD880" t="str">
        <v>大陸三、四線城市中低價品牌服飾與休閒鞋業者</v>
      </c>
      <c r="AE880" t="str">
        <f t="array" ref="AE880:AH880">[1]!'8429.TW-CName,InvestorConferenceDate,DateofMeetingofShareHolders,TradingDate'</f>
        <v>金麗-KY</v>
      </c>
      <c r="AF880" t="str">
        <v>2022/12/07</v>
      </c>
      <c r="AG880" t="str">
        <v>2022/06/23</v>
      </c>
      <c r="AH880" t="str">
        <v>2022/12/22</v>
      </c>
    </row>
    <row r="881" spans="1:34" x14ac:dyDescent="0.3">
      <c r="A881" t="str">
        <f t="array" ref="A881:J881">[1]!'8443.TW-ID,Name,MarketValue,Capital,NetIncomeGrowthRate,OperIncomeGrowthRate,FinancialStatementsTime,TFXRatio,MonthlyNetSalesYoY,RevenueMonth'</f>
        <v>8443</v>
      </c>
      <c r="B881" t="str">
        <v>阿瘦</v>
      </c>
      <c r="C881" t="str">
        <v>7.3</v>
      </c>
      <c r="D881" t="str">
        <v>6.68</v>
      </c>
      <c r="E881" t="str">
        <v>35.00</v>
      </c>
      <c r="F881" t="str">
        <v>55.17</v>
      </c>
      <c r="G881" t="str">
        <v>2022/09</v>
      </c>
      <c r="H881" t="str">
        <v>19.77</v>
      </c>
      <c r="I881" t="str">
        <v>-10.92</v>
      </c>
      <c r="J881" t="str">
        <v>2022/11</v>
      </c>
      <c r="K881" t="str">
        <f t="array" ref="K881:T881">[1]!'8443.TW-OperatingProfitRatio,Price,PriceChangeRatio,InOutRatioNumber,Value,YearReturn,MonthReturn,WeekReturn,FinanceBalanceDif,ChipsField2'</f>
        <v>-10.73</v>
      </c>
      <c r="L881">
        <v>10.95</v>
      </c>
      <c r="M881">
        <v>0</v>
      </c>
      <c r="N881" t="str">
        <v>28.95%</v>
      </c>
      <c r="O881" t="str">
        <v>41.5萬</v>
      </c>
      <c r="P881" t="str">
        <v>-8.37</v>
      </c>
      <c r="Q881" t="str">
        <v>-2.23</v>
      </c>
      <c r="R881" t="str">
        <v>-1.35</v>
      </c>
      <c r="S881">
        <v>0</v>
      </c>
      <c r="T881">
        <v>0</v>
      </c>
      <c r="U881">
        <f t="array" ref="U881:AD881">[1]!'8443.TW-ChipsField3,ChipsField1,ChipsField25,CashAndStockDividend,CashDividendYieldRate,ProfitFourSeason,ProfitSingle,CName,ExchangeIndustry,CompanyPos'</f>
        <v>0</v>
      </c>
      <c r="V881">
        <v>1</v>
      </c>
      <c r="W881" t="str">
        <v>--</v>
      </c>
      <c r="X881" t="str">
        <v>0.00</v>
      </c>
      <c r="Y881">
        <v>0</v>
      </c>
      <c r="Z881" t="str">
        <v>-2.76</v>
      </c>
      <c r="AA881" t="str">
        <v>-0.90</v>
      </c>
      <c r="AB881" t="str">
        <v>阿瘦</v>
      </c>
      <c r="AC881" t="str">
        <v>上市貿易百貨</v>
      </c>
      <c r="AD881" t="str">
        <v>台灣第一家掛牌的鞋業自有品牌業者</v>
      </c>
      <c r="AE881" t="str">
        <f t="array" ref="AE881:AH881">[1]!'8443.TW-CName,InvestorConferenceDate,DateofMeetingofShareHolders,TradingDate'</f>
        <v>阿瘦</v>
      </c>
      <c r="AF881" t="str">
        <v>2022/11/09</v>
      </c>
      <c r="AG881" t="str">
        <v>2022/06/14</v>
      </c>
      <c r="AH881" t="str">
        <v>2022/12/22</v>
      </c>
    </row>
    <row r="882" spans="1:34" x14ac:dyDescent="0.3">
      <c r="A882" t="str">
        <f t="array" ref="A882:J882">[1]!'8454.TW-ID,Name,MarketValue,Capital,NetIncomeGrowthRate,OperIncomeGrowthRate,FinancialStatementsTime,TFXRatio,MonthlyNetSalesYoY,RevenueMonth'</f>
        <v>8454</v>
      </c>
      <c r="B882" t="str">
        <v>富邦媒</v>
      </c>
      <c r="C882" t="str">
        <v>1367.8</v>
      </c>
      <c r="D882" t="str">
        <v>21.85</v>
      </c>
      <c r="E882" t="str">
        <v>2.23</v>
      </c>
      <c r="F882" t="str">
        <v>1.04</v>
      </c>
      <c r="G882" t="str">
        <v>2022/09</v>
      </c>
      <c r="H882" t="str">
        <v>88.67</v>
      </c>
      <c r="I882" t="str">
        <v>18.84</v>
      </c>
      <c r="J882" t="str">
        <v>2022/11</v>
      </c>
      <c r="K882" t="str">
        <f t="array" ref="K882:T882">[1]!'8454.TW-OperatingProfitRatio,Price,PriceChangeRatio,InOutRatioNumber,Value,YearReturn,MonthReturn,WeekReturn,FinanceBalanceDif,ChipsField2'</f>
        <v>4.10</v>
      </c>
      <c r="L882">
        <v>626</v>
      </c>
      <c r="M882">
        <v>3.64</v>
      </c>
      <c r="N882" t="str">
        <v>63.18%</v>
      </c>
      <c r="O882" t="str">
        <v>4.39億</v>
      </c>
      <c r="P882" t="str">
        <v>-53.40</v>
      </c>
      <c r="Q882" t="str">
        <v>+11.99</v>
      </c>
      <c r="R882" t="str">
        <v>-0.63</v>
      </c>
      <c r="S882">
        <v>-54</v>
      </c>
      <c r="T882">
        <v>65</v>
      </c>
      <c r="U882">
        <f t="array" ref="U882:AD882">[1]!'8454.TW-ChipsField3,ChipsField1,ChipsField25,CashAndStockDividend,CashDividendYieldRate,ProfitFourSeason,ProfitSingle,CName,ExchangeIndustry,CompanyPos'</f>
        <v>-6</v>
      </c>
      <c r="V882">
        <v>163</v>
      </c>
      <c r="W882" t="str">
        <v>2022/06/30</v>
      </c>
      <c r="X882" t="str">
        <v>15.00</v>
      </c>
      <c r="Y882">
        <v>2.4</v>
      </c>
      <c r="Z882" t="str">
        <v>16.63</v>
      </c>
      <c r="AA882" t="str">
        <v>3.46</v>
      </c>
      <c r="AB882" t="str">
        <v>富邦媒</v>
      </c>
      <c r="AC882" t="str">
        <v>上市貿易百貨</v>
      </c>
      <c r="AD882" t="str">
        <v>台灣網路購物龍頭平台</v>
      </c>
      <c r="AE882" t="str">
        <f t="array" ref="AE882:AH882">[1]!'8454.TW-CName,InvestorConferenceDate,DateofMeetingofShareHolders,TradingDate'</f>
        <v>富邦媒</v>
      </c>
      <c r="AF882" t="str">
        <v>2022/10/27</v>
      </c>
      <c r="AG882" t="str">
        <v>2022/05/20</v>
      </c>
      <c r="AH882" t="str">
        <v>2022/12/22</v>
      </c>
    </row>
    <row r="883" spans="1:34" x14ac:dyDescent="0.3">
      <c r="A883" t="str">
        <f t="array" ref="A883:J883">[1]!'2616.TW-ID,Name,MarketValue,Capital,NetIncomeGrowthRate,OperIncomeGrowthRate,FinancialStatementsTime,TFXRatio,MonthlyNetSalesYoY,RevenueMonth'</f>
        <v>2616</v>
      </c>
      <c r="B883" t="str">
        <v>山隆</v>
      </c>
      <c r="C883" t="str">
        <v>44.1</v>
      </c>
      <c r="D883" t="str">
        <v>13.73</v>
      </c>
      <c r="E883" t="str">
        <v>-37.65</v>
      </c>
      <c r="F883" t="str">
        <v>-67.00</v>
      </c>
      <c r="G883" t="str">
        <v>2022/09</v>
      </c>
      <c r="H883" t="str">
        <v>-1.63</v>
      </c>
      <c r="I883" t="str">
        <v>-15.19</v>
      </c>
      <c r="J883" t="str">
        <v>2022/11</v>
      </c>
      <c r="K883" t="str">
        <f t="array" ref="K883:T883">[1]!'2616.TW-OperatingProfitRatio,Price,PriceChangeRatio,InOutRatioNumber,Value,YearReturn,MonthReturn,WeekReturn,FinanceBalanceDif,ChipsField2'</f>
        <v>0.72</v>
      </c>
      <c r="L883">
        <v>32.15</v>
      </c>
      <c r="M883">
        <v>-0.16</v>
      </c>
      <c r="N883" t="str">
        <v>34.43%</v>
      </c>
      <c r="O883" t="str">
        <v>783萬</v>
      </c>
      <c r="P883" t="str">
        <v>-5.24</v>
      </c>
      <c r="Q883" t="str">
        <v>+0.16</v>
      </c>
      <c r="R883" t="str">
        <v>-0.31</v>
      </c>
      <c r="S883">
        <v>0</v>
      </c>
      <c r="T883">
        <v>0</v>
      </c>
      <c r="U883">
        <f t="array" ref="U883:AD883">[1]!'2616.TW-ChipsField3,ChipsField1,ChipsField25,CashAndStockDividend,CashDividendYieldRate,ProfitFourSeason,ProfitSingle,CName,ExchangeIndustry,CompanyPos'</f>
        <v>-4</v>
      </c>
      <c r="V883">
        <v>1</v>
      </c>
      <c r="W883" t="str">
        <v>2022/06/17</v>
      </c>
      <c r="X883" t="str">
        <v>2.50</v>
      </c>
      <c r="Y883">
        <v>7.78</v>
      </c>
      <c r="Z883" t="str">
        <v>2.06</v>
      </c>
      <c r="AA883" t="str">
        <v>0.14</v>
      </c>
      <c r="AB883" t="str">
        <v>山隆</v>
      </c>
      <c r="AC883" t="str">
        <v>上市油電燃氣</v>
      </c>
      <c r="AD883" t="str">
        <v>台灣知名加油站運營商</v>
      </c>
      <c r="AE883" t="str">
        <f t="array" ref="AE883:AH883">[1]!'2616.TW-CName,InvestorConferenceDate,DateofMeetingofShareHolders,TradingDate'</f>
        <v>山隆</v>
      </c>
      <c r="AF883" t="str">
        <v>2022/08/19</v>
      </c>
      <c r="AG883" t="str">
        <v>2022/05/26</v>
      </c>
      <c r="AH883" t="str">
        <v>2022/12/22</v>
      </c>
    </row>
    <row r="884" spans="1:34" x14ac:dyDescent="0.3">
      <c r="A884" t="str">
        <f t="array" ref="A884:J884">[1]!'6505.TW-ID,Name,MarketValue,Capital,NetIncomeGrowthRate,OperIncomeGrowthRate,FinancialStatementsTime,TFXRatio,MonthlyNetSalesYoY,RevenueMonth'</f>
        <v>6505</v>
      </c>
      <c r="B884" t="str">
        <v>台塑化</v>
      </c>
      <c r="C884" t="str">
        <v>7716.0</v>
      </c>
      <c r="D884" t="str">
        <v>952.60</v>
      </c>
      <c r="E884" t="str">
        <v>-41.85</v>
      </c>
      <c r="F884" t="str">
        <v>-60.65</v>
      </c>
      <c r="G884" t="str">
        <v>2022/09</v>
      </c>
      <c r="H884" t="str">
        <v>-11.06</v>
      </c>
      <c r="I884" t="str">
        <v>4.58</v>
      </c>
      <c r="J884" t="str">
        <v>2022/11</v>
      </c>
      <c r="K884" t="str">
        <f t="array" ref="K884:T884">[1]!'6505.TW-OperatingProfitRatio,Price,PriceChangeRatio,InOutRatioNumber,Value,YearReturn,MonthReturn,WeekReturn,FinanceBalanceDif,ChipsField2'</f>
        <v>2.79</v>
      </c>
      <c r="L884">
        <v>81</v>
      </c>
      <c r="M884">
        <v>1.76</v>
      </c>
      <c r="N884" t="str">
        <v>54.14%</v>
      </c>
      <c r="O884" t="str">
        <v>9170萬</v>
      </c>
      <c r="P884" t="str">
        <v>-11.16</v>
      </c>
      <c r="Q884" t="str">
        <v>-2.17</v>
      </c>
      <c r="R884" t="str">
        <v>-2.17</v>
      </c>
      <c r="S884">
        <v>9</v>
      </c>
      <c r="T884">
        <v>0</v>
      </c>
      <c r="U884">
        <f t="array" ref="U884:AD884">[1]!'6505.TW-ChipsField3,ChipsField1,ChipsField25,CashAndStockDividend,CashDividendYieldRate,ProfitFourSeason,ProfitSingle,CName,ExchangeIndustry,CompanyPos'</f>
        <v>-400</v>
      </c>
      <c r="V884">
        <v>-163</v>
      </c>
      <c r="W884" t="str">
        <v>2022/06/21</v>
      </c>
      <c r="X884" t="str">
        <v>3.80</v>
      </c>
      <c r="Y884">
        <v>4.6900000000000004</v>
      </c>
      <c r="Z884" t="str">
        <v>3.35</v>
      </c>
      <c r="AA884" t="str">
        <v>-0.66</v>
      </c>
      <c r="AB884" t="str">
        <v>台塑化</v>
      </c>
      <c r="AC884" t="str">
        <v>上市油電燃氣</v>
      </c>
      <c r="AD884" t="str">
        <v>台灣最大的民營輕油裂解廠</v>
      </c>
      <c r="AE884" t="str">
        <f t="array" ref="AE884:AH884">[1]!'6505.TW-CName,InvestorConferenceDate,DateofMeetingofShareHolders,TradingDate'</f>
        <v>台塑化</v>
      </c>
      <c r="AF884" t="str">
        <v>2022/11/30</v>
      </c>
      <c r="AG884" t="str">
        <v>2022/05/31</v>
      </c>
      <c r="AH884" t="str">
        <v>2022/12/22</v>
      </c>
    </row>
    <row r="885" spans="1:34" x14ac:dyDescent="0.3">
      <c r="A885" t="str">
        <f t="array" ref="A885:J885">[1]!'8926.TW-ID,Name,MarketValue,Capital,NetIncomeGrowthRate,OperIncomeGrowthRate,FinancialStatementsTime,TFXRatio,MonthlyNetSalesYoY,RevenueMonth'</f>
        <v>8926</v>
      </c>
      <c r="B885" t="str">
        <v>台汽電</v>
      </c>
      <c r="C885" t="str">
        <v>190.6</v>
      </c>
      <c r="D885" t="str">
        <v>58.90</v>
      </c>
      <c r="E885" t="str">
        <v>-54.50</v>
      </c>
      <c r="F885" t="str">
        <v>-87.24</v>
      </c>
      <c r="G885" t="str">
        <v>2022/09</v>
      </c>
      <c r="H885" t="str">
        <v>121.23</v>
      </c>
      <c r="I885" t="str">
        <v>99.11</v>
      </c>
      <c r="J885" t="str">
        <v>2022/11</v>
      </c>
      <c r="K885" t="str">
        <f t="array" ref="K885:T885">[1]!'8926.TW-OperatingProfitRatio,Price,PriceChangeRatio,InOutRatioNumber,Value,YearReturn,MonthReturn,WeekReturn,FinanceBalanceDif,ChipsField2'</f>
        <v>1.63</v>
      </c>
      <c r="L885">
        <v>32.35</v>
      </c>
      <c r="M885">
        <v>1.57</v>
      </c>
      <c r="N885" t="str">
        <v>64.74%</v>
      </c>
      <c r="O885" t="str">
        <v>1798萬</v>
      </c>
      <c r="P885" t="str">
        <v>-10.23</v>
      </c>
      <c r="Q885" t="str">
        <v>+1.57</v>
      </c>
      <c r="R885" t="str">
        <v>-0.61</v>
      </c>
      <c r="S885">
        <v>4</v>
      </c>
      <c r="T885">
        <v>0</v>
      </c>
      <c r="U885">
        <f t="array" ref="U885:AD885">[1]!'8926.TW-ChipsField3,ChipsField1,ChipsField25,CashAndStockDividend,CashDividendYieldRate,ProfitFourSeason,ProfitSingle,CName,ExchangeIndustry,CompanyPos'</f>
        <v>-60</v>
      </c>
      <c r="V885">
        <v>96</v>
      </c>
      <c r="W885" t="str">
        <v>2022/07/13</v>
      </c>
      <c r="X885" t="str">
        <v>1.75</v>
      </c>
      <c r="Y885">
        <v>5.41</v>
      </c>
      <c r="Z885" t="str">
        <v>0.87</v>
      </c>
      <c r="AA885" t="str">
        <v>0.32</v>
      </c>
      <c r="AB885" t="str">
        <v>台汽電</v>
      </c>
      <c r="AC885" t="str">
        <v>上市油電燃氣</v>
      </c>
      <c r="AD885" t="str">
        <v>為一開發、投資、興建及營運汽電共生廠及民營電廠</v>
      </c>
      <c r="AE885" t="str">
        <f t="array" ref="AE885:AH885">[1]!'8926.TW-CName,InvestorConferenceDate,DateofMeetingofShareHolders,TradingDate'</f>
        <v>台汽電</v>
      </c>
      <c r="AF885" t="str">
        <v>2022/11/25</v>
      </c>
      <c r="AG885" t="str">
        <v>2022/05/31</v>
      </c>
      <c r="AH885" t="str">
        <v>2022/12/22</v>
      </c>
    </row>
    <row r="886" spans="1:34" x14ac:dyDescent="0.3">
      <c r="A886" t="str">
        <f t="array" ref="A886:J886">[1]!'9908.TW-ID,Name,MarketValue,Capital,NetIncomeGrowthRate,OperIncomeGrowthRate,FinancialStatementsTime,TFXRatio,MonthlyNetSalesYoY,RevenueMonth'</f>
        <v>9908</v>
      </c>
      <c r="B886" t="str">
        <v>大台北</v>
      </c>
      <c r="C886" t="str">
        <v>160.8</v>
      </c>
      <c r="D886" t="str">
        <v>51.64</v>
      </c>
      <c r="E886" t="str">
        <v>-4.24</v>
      </c>
      <c r="F886" t="str">
        <v>3.01</v>
      </c>
      <c r="G886" t="str">
        <v>2022/09</v>
      </c>
      <c r="H886" t="str">
        <v>2.76</v>
      </c>
      <c r="I886" t="str">
        <v>-2.64</v>
      </c>
      <c r="J886" t="str">
        <v>2022/11</v>
      </c>
      <c r="K886" t="str">
        <f t="array" ref="K886:T886">[1]!'9908.TW-OperatingProfitRatio,Price,PriceChangeRatio,InOutRatioNumber,Value,YearReturn,MonthReturn,WeekReturn,FinanceBalanceDif,ChipsField2'</f>
        <v>19.02</v>
      </c>
      <c r="L886">
        <v>31.15</v>
      </c>
      <c r="M886">
        <v>0.32</v>
      </c>
      <c r="N886" t="str">
        <v>50.00%</v>
      </c>
      <c r="O886" t="str">
        <v>68.6萬</v>
      </c>
      <c r="P886" t="str">
        <v>-2.73</v>
      </c>
      <c r="Q886" t="str">
        <v>+1.63</v>
      </c>
      <c r="R886" t="str">
        <v>-0.80</v>
      </c>
      <c r="S886">
        <v>4</v>
      </c>
      <c r="T886">
        <v>0</v>
      </c>
      <c r="U886">
        <f t="array" ref="U886:AD886">[1]!'9908.TW-ChipsField3,ChipsField1,ChipsField25,CashAndStockDividend,CashDividendYieldRate,ProfitFourSeason,ProfitSingle,CName,ExchangeIndustry,CompanyPos'</f>
        <v>0</v>
      </c>
      <c r="V886">
        <v>6</v>
      </c>
      <c r="W886" t="str">
        <v>2022/07/29</v>
      </c>
      <c r="X886" t="str">
        <v>1.10</v>
      </c>
      <c r="Y886">
        <v>3.53</v>
      </c>
      <c r="Z886" t="str">
        <v>1.67</v>
      </c>
      <c r="AA886" t="str">
        <v>0.65</v>
      </c>
      <c r="AB886" t="str">
        <v>大台北</v>
      </c>
      <c r="AC886" t="str">
        <v>上市油電燃氣</v>
      </c>
      <c r="AD886" t="str">
        <v>主要經營台北市信義、松山等地區之天然氣業者</v>
      </c>
      <c r="AE886" t="str">
        <f t="array" ref="AE886:AH886">[1]!'9908.TW-CName,InvestorConferenceDate,DateofMeetingofShareHolders,TradingDate'</f>
        <v>大台北</v>
      </c>
      <c r="AF886" t="str">
        <v>2022/10/28</v>
      </c>
      <c r="AG886" t="str">
        <v>2022/06/23</v>
      </c>
      <c r="AH886" t="str">
        <v>2022/12/22</v>
      </c>
    </row>
    <row r="887" spans="1:34" x14ac:dyDescent="0.3">
      <c r="A887" t="str">
        <f t="array" ref="A887:J887">[1]!'9918.TW-ID,Name,MarketValue,Capital,NetIncomeGrowthRate,OperIncomeGrowthRate,FinancialStatementsTime,TFXRatio,MonthlyNetSalesYoY,RevenueMonth'</f>
        <v>9918</v>
      </c>
      <c r="B887" t="str">
        <v>欣天然</v>
      </c>
      <c r="C887" t="str">
        <v>76.5</v>
      </c>
      <c r="D887" t="str">
        <v>18.05</v>
      </c>
      <c r="E887" t="str">
        <v>-55.30</v>
      </c>
      <c r="F887" t="str">
        <v>37.42</v>
      </c>
      <c r="G887" t="str">
        <v>2022/09</v>
      </c>
      <c r="H887" t="str">
        <v>23.11</v>
      </c>
      <c r="I887" t="str">
        <v>13.30</v>
      </c>
      <c r="J887" t="str">
        <v>2022/11</v>
      </c>
      <c r="K887" t="str">
        <f t="array" ref="K887:T887">[1]!'9918.TW-OperatingProfitRatio,Price,PriceChangeRatio,InOutRatioNumber,Value,YearReturn,MonthReturn,WeekReturn,FinanceBalanceDif,ChipsField2'</f>
        <v>18.68</v>
      </c>
      <c r="L887">
        <v>42.35</v>
      </c>
      <c r="M887">
        <v>0.24</v>
      </c>
      <c r="N887" t="str">
        <v>0.00%</v>
      </c>
      <c r="O887" t="str">
        <v>16.9萬</v>
      </c>
      <c r="P887" t="str">
        <v>+4.09</v>
      </c>
      <c r="Q887" t="str">
        <v>+0.71</v>
      </c>
      <c r="R887" t="str">
        <v>-0.24</v>
      </c>
      <c r="S887">
        <v>0</v>
      </c>
      <c r="T887">
        <v>0</v>
      </c>
      <c r="U887">
        <f t="array" ref="U887:AD887">[1]!'9918.TW-ChipsField3,ChipsField1,ChipsField25,CashAndStockDividend,CashDividendYieldRate,ProfitFourSeason,ProfitSingle,CName,ExchangeIndustry,CompanyPos'</f>
        <v>0</v>
      </c>
      <c r="V887">
        <v>-2</v>
      </c>
      <c r="W887" t="str">
        <v>2022/07/21</v>
      </c>
      <c r="X887" t="str">
        <v>1.70</v>
      </c>
      <c r="Y887">
        <v>4.01</v>
      </c>
      <c r="Z887" t="str">
        <v>1.21</v>
      </c>
      <c r="AA887" t="str">
        <v>0.08</v>
      </c>
      <c r="AB887" t="str">
        <v>欣天然</v>
      </c>
      <c r="AC887" t="str">
        <v>上市油電燃氣</v>
      </c>
      <c r="AD887" t="str">
        <v>主要經營新北市中和、永和、新店、深坑之天然氣業者</v>
      </c>
      <c r="AE887" t="str">
        <f t="array" ref="AE887:AH887">[1]!'9918.TW-CName,InvestorConferenceDate,DateofMeetingofShareHolders,TradingDate'</f>
        <v>欣天然</v>
      </c>
      <c r="AF887" t="str">
        <v>2022/10/31</v>
      </c>
      <c r="AG887" t="str">
        <v>2022/06/17</v>
      </c>
      <c r="AH887" t="str">
        <v>2022/12/22</v>
      </c>
    </row>
    <row r="888" spans="1:34" x14ac:dyDescent="0.3">
      <c r="A888" t="str">
        <f t="array" ref="A888:J888">[1]!'9926.TW-ID,Name,MarketValue,Capital,NetIncomeGrowthRate,OperIncomeGrowthRate,FinancialStatementsTime,TFXRatio,MonthlyNetSalesYoY,RevenueMonth'</f>
        <v>9926</v>
      </c>
      <c r="B888" t="str">
        <v>新海</v>
      </c>
      <c r="C888" t="str">
        <v>92.8</v>
      </c>
      <c r="D888" t="str">
        <v>17.95</v>
      </c>
      <c r="E888" t="str">
        <v>1.96</v>
      </c>
      <c r="F888" t="str">
        <v>2.25</v>
      </c>
      <c r="G888" t="str">
        <v>2022/09</v>
      </c>
      <c r="H888" t="str">
        <v>-5.86</v>
      </c>
      <c r="I888" t="str">
        <v>-10.29</v>
      </c>
      <c r="J888" t="str">
        <v>2022/11</v>
      </c>
      <c r="K888" t="str">
        <f t="array" ref="K888:T888">[1]!'9926.TW-OperatingProfitRatio,Price,PriceChangeRatio,InOutRatioNumber,Value,YearReturn,MonthReturn,WeekReturn,FinanceBalanceDif,ChipsField2'</f>
        <v>23.24</v>
      </c>
      <c r="L888">
        <v>51.7</v>
      </c>
      <c r="M888">
        <v>0.57999999999999996</v>
      </c>
      <c r="N888" t="str">
        <v>100.00%</v>
      </c>
      <c r="O888" t="str">
        <v>10.3萬</v>
      </c>
      <c r="P888" t="str">
        <v>+11.10</v>
      </c>
      <c r="Q888" t="str">
        <v>+0.58</v>
      </c>
      <c r="R888" t="str">
        <v>-0.19</v>
      </c>
      <c r="S888">
        <v>0</v>
      </c>
      <c r="T888">
        <v>0</v>
      </c>
      <c r="U888">
        <f t="array" ref="U888:AD888">[1]!'9926.TW-ChipsField3,ChipsField1,ChipsField25,CashAndStockDividend,CashDividendYieldRate,ProfitFourSeason,ProfitSingle,CName,ExchangeIndustry,CompanyPos'</f>
        <v>0</v>
      </c>
      <c r="V888">
        <v>1</v>
      </c>
      <c r="W888" t="str">
        <v>2022/07/26</v>
      </c>
      <c r="X888" t="str">
        <v>2.00</v>
      </c>
      <c r="Y888">
        <v>3.87</v>
      </c>
      <c r="Z888" t="str">
        <v>2.54</v>
      </c>
      <c r="AA888" t="str">
        <v>0.83</v>
      </c>
      <c r="AB888" t="str">
        <v>新海</v>
      </c>
      <c r="AC888" t="str">
        <v>上市油電燃氣</v>
      </c>
      <c r="AD888" t="str">
        <v>主要經營新北市三重、板橋及新莊區之天然氣業者</v>
      </c>
      <c r="AE888" t="str">
        <f t="array" ref="AE888:AH888">[1]!'9926.TW-CName,InvestorConferenceDate,DateofMeetingofShareHolders,TradingDate'</f>
        <v>新海</v>
      </c>
      <c r="AF888" t="str">
        <v>2022/08/31</v>
      </c>
      <c r="AG888" t="str">
        <v>2022/06/24</v>
      </c>
      <c r="AH888" t="str">
        <v>2022/12/22</v>
      </c>
    </row>
    <row r="889" spans="1:34" x14ac:dyDescent="0.3">
      <c r="A889" t="str">
        <f t="array" ref="A889:J889">[1]!'9931.TW-ID,Name,MarketValue,Capital,NetIncomeGrowthRate,OperIncomeGrowthRate,FinancialStatementsTime,TFXRatio,MonthlyNetSalesYoY,RevenueMonth'</f>
        <v>9931</v>
      </c>
      <c r="B889" t="str">
        <v>欣高</v>
      </c>
      <c r="C889" t="str">
        <v>43.1</v>
      </c>
      <c r="D889" t="str">
        <v>11.04</v>
      </c>
      <c r="E889" t="str">
        <v>-7.83</v>
      </c>
      <c r="F889" t="str">
        <v>-0.24</v>
      </c>
      <c r="G889" t="str">
        <v>2022/09</v>
      </c>
      <c r="H889" t="str">
        <v>11.70</v>
      </c>
      <c r="I889" t="str">
        <v>2.69</v>
      </c>
      <c r="J889" t="str">
        <v>2022/11</v>
      </c>
      <c r="K889" t="str">
        <f t="array" ref="K889:T889">[1]!'9931.TW-OperatingProfitRatio,Price,PriceChangeRatio,InOutRatioNumber,Value,YearReturn,MonthReturn,WeekReturn,FinanceBalanceDif,ChipsField2'</f>
        <v>13.89</v>
      </c>
      <c r="L889" t="str">
        <v>--</v>
      </c>
      <c r="M889" t="str">
        <v>--</v>
      </c>
      <c r="N889" t="str">
        <v>--</v>
      </c>
      <c r="O889" t="str">
        <v>--</v>
      </c>
      <c r="P889" t="str">
        <v>+0.56</v>
      </c>
      <c r="Q889" t="str">
        <v>-1.01</v>
      </c>
      <c r="R889" t="str">
        <v>-0.89</v>
      </c>
      <c r="S889">
        <v>0</v>
      </c>
      <c r="T889">
        <v>0</v>
      </c>
      <c r="U889">
        <f t="array" ref="U889:AD889">[1]!'9931.TW-ChipsField3,ChipsField1,ChipsField25,CashAndStockDividend,CashDividendYieldRate,ProfitFourSeason,ProfitSingle,CName,ExchangeIndustry,CompanyPos'</f>
        <v>0</v>
      </c>
      <c r="V889">
        <v>0</v>
      </c>
      <c r="W889" t="str">
        <v>2022/07/04</v>
      </c>
      <c r="X889" t="str">
        <v>1.40</v>
      </c>
      <c r="Y889">
        <v>3.59</v>
      </c>
      <c r="Z889" t="str">
        <v>2.04</v>
      </c>
      <c r="AA889" t="str">
        <v>0.51</v>
      </c>
      <c r="AB889" t="str">
        <v>欣高</v>
      </c>
      <c r="AC889" t="str">
        <v>上市油電燃氣</v>
      </c>
      <c r="AD889" t="str">
        <v>主要經營高雄市三民、左營等營業區之天然氣業者</v>
      </c>
      <c r="AE889" t="str">
        <f t="array" ref="AE889:AH889">[1]!'9931.TW-CName,InvestorConferenceDate,DateofMeetingofShareHolders,TradingDate'</f>
        <v>欣高</v>
      </c>
      <c r="AF889" t="str">
        <v>2022/06/14</v>
      </c>
      <c r="AG889" t="str">
        <v>2022/06/13</v>
      </c>
      <c r="AH889" t="str">
        <v>2022/12/22</v>
      </c>
    </row>
    <row r="890" spans="1:34" x14ac:dyDescent="0.3">
      <c r="A890" t="str">
        <f t="array" ref="A890:J890">[1]!'9937.TW-ID,Name,MarketValue,Capital,NetIncomeGrowthRate,OperIncomeGrowthRate,FinancialStatementsTime,TFXRatio,MonthlyNetSalesYoY,RevenueMonth'</f>
        <v>9937</v>
      </c>
      <c r="B890" t="str">
        <v>全國</v>
      </c>
      <c r="C890" t="str">
        <v>160.1</v>
      </c>
      <c r="D890" t="str">
        <v>30.90</v>
      </c>
      <c r="E890" t="str">
        <v>-11.21</v>
      </c>
      <c r="F890" t="str">
        <v>-8.52</v>
      </c>
      <c r="G890" t="str">
        <v>2022/09</v>
      </c>
      <c r="H890" t="str">
        <v>0.20</v>
      </c>
      <c r="I890" t="str">
        <v>0.05</v>
      </c>
      <c r="J890" t="str">
        <v>2022/11</v>
      </c>
      <c r="K890" t="str">
        <f t="array" ref="K890:T890">[1]!'9937.TW-OperatingProfitRatio,Price,PriceChangeRatio,InOutRatioNumber,Value,YearReturn,MonthReturn,WeekReturn,FinanceBalanceDif,ChipsField2'</f>
        <v>3.02</v>
      </c>
      <c r="L890">
        <v>51.8</v>
      </c>
      <c r="M890">
        <v>-0.19</v>
      </c>
      <c r="N890" t="str">
        <v>46.15%</v>
      </c>
      <c r="O890" t="str">
        <v>135萬</v>
      </c>
      <c r="P890" t="str">
        <v>+10.16</v>
      </c>
      <c r="Q890" t="str">
        <v>+1.97</v>
      </c>
      <c r="R890" t="str">
        <v>-0.38</v>
      </c>
      <c r="S890">
        <v>10</v>
      </c>
      <c r="T890">
        <v>0</v>
      </c>
      <c r="U890">
        <f t="array" ref="U890:AD890">[1]!'9937.TW-ChipsField3,ChipsField1,ChipsField25,CashAndStockDividend,CashDividendYieldRate,ProfitFourSeason,ProfitSingle,CName,ExchangeIndustry,CompanyPos'</f>
        <v>0</v>
      </c>
      <c r="V890">
        <v>-5</v>
      </c>
      <c r="W890" t="str">
        <v>2022/07/26</v>
      </c>
      <c r="X890" t="str">
        <v>2.10</v>
      </c>
      <c r="Y890">
        <v>4.05</v>
      </c>
      <c r="Z890" t="str">
        <v>2.40</v>
      </c>
      <c r="AA890" t="str">
        <v>0.67</v>
      </c>
      <c r="AB890" t="str">
        <v>全國</v>
      </c>
      <c r="AC890" t="str">
        <v>上市油電燃氣</v>
      </c>
      <c r="AD890" t="str">
        <v>台灣第二大加油站經營商，站數逾百座</v>
      </c>
      <c r="AE890" t="str">
        <f t="array" ref="AE890:AH890">[1]!'9937.TW-CName,InvestorConferenceDate,DateofMeetingofShareHolders,TradingDate'</f>
        <v>全國</v>
      </c>
      <c r="AF890" t="str">
        <v>2022/10/20</v>
      </c>
      <c r="AG890" t="str">
        <v>2022/06/23</v>
      </c>
      <c r="AH890" t="str">
        <v>2022/12/22</v>
      </c>
    </row>
    <row r="891" spans="1:34" x14ac:dyDescent="0.3">
      <c r="A891" t="str">
        <f t="array" ref="A891:J891">[1]!'1342.TW-ID,Name,MarketValue,Capital,NetIncomeGrowthRate,OperIncomeGrowthRate,FinancialStatementsTime,TFXRatio,MonthlyNetSalesYoY,RevenueMonth'</f>
        <v>1342</v>
      </c>
      <c r="B891" t="str">
        <v>八貫</v>
      </c>
      <c r="C891" t="str">
        <v>91.4</v>
      </c>
      <c r="D891" t="str">
        <v>6.90</v>
      </c>
      <c r="E891" t="str">
        <v>95.07</v>
      </c>
      <c r="F891" t="str">
        <v>71.74</v>
      </c>
      <c r="G891" t="str">
        <v>2022/09</v>
      </c>
      <c r="H891" t="str">
        <v>29.16</v>
      </c>
      <c r="I891" t="str">
        <v>35.76</v>
      </c>
      <c r="J891" t="str">
        <v>2022/11</v>
      </c>
      <c r="K891" t="str">
        <f t="array" ref="K891:T891">[1]!'1342.TW-OperatingProfitRatio,Price,PriceChangeRatio,InOutRatioNumber,Value,YearReturn,MonthReturn,WeekReturn,FinanceBalanceDif,ChipsField2'</f>
        <v>19.71</v>
      </c>
      <c r="L891">
        <v>132.5</v>
      </c>
      <c r="M891">
        <v>-1.49</v>
      </c>
      <c r="N891" t="str">
        <v>38.75%</v>
      </c>
      <c r="O891" t="str">
        <v>5018萬</v>
      </c>
      <c r="P891" t="str">
        <v>+124.22</v>
      </c>
      <c r="Q891" t="str">
        <v>+40.21</v>
      </c>
      <c r="R891" t="str">
        <v>-0.75</v>
      </c>
      <c r="S891">
        <v>6</v>
      </c>
      <c r="T891">
        <v>0</v>
      </c>
      <c r="U891">
        <f t="array" ref="U891:AD891">[1]!'1342.TW-ChipsField3,ChipsField1,ChipsField25,CashAndStockDividend,CashDividendYieldRate,ProfitFourSeason,ProfitSingle,CName,ExchangeIndustry,CompanyPos'</f>
        <v>-4</v>
      </c>
      <c r="V891">
        <v>69</v>
      </c>
      <c r="W891" t="str">
        <v>2022/06/06</v>
      </c>
      <c r="X891" t="str">
        <v>3.00</v>
      </c>
      <c r="Y891">
        <v>2.2599999999999998</v>
      </c>
      <c r="Z891" t="str">
        <v>6.50</v>
      </c>
      <c r="AA891" t="str">
        <v>1.91</v>
      </c>
      <c r="AB891" t="str">
        <v>八貫</v>
      </c>
      <c r="AC891" t="str">
        <v>上市其他</v>
      </c>
      <c r="AD891" t="str">
        <v>台灣機能性皮布料及薄膜製造商</v>
      </c>
      <c r="AE891" t="str">
        <f t="array" ref="AE891:AH891">[1]!'1342.TW-CName,InvestorConferenceDate,DateofMeetingofShareHolders,TradingDate'</f>
        <v>八貫</v>
      </c>
      <c r="AF891" t="str">
        <v>2022/03/15</v>
      </c>
      <c r="AG891" t="str">
        <v>2022/07/07</v>
      </c>
      <c r="AH891" t="str">
        <v>2022/12/22</v>
      </c>
    </row>
    <row r="892" spans="1:34" x14ac:dyDescent="0.3">
      <c r="A892" t="str">
        <f t="array" ref="A892:J892">[1]!'1416.TW-ID,Name,MarketValue,Capital,NetIncomeGrowthRate,OperIncomeGrowthRate,FinancialStatementsTime,TFXRatio,MonthlyNetSalesYoY,RevenueMonth'</f>
        <v>1416</v>
      </c>
      <c r="B892" t="str">
        <v>廣豐</v>
      </c>
      <c r="C892" t="str">
        <v>19.1</v>
      </c>
      <c r="D892" t="str">
        <v>18.53</v>
      </c>
      <c r="E892" t="str">
        <v>21.92</v>
      </c>
      <c r="F892" t="str">
        <v>44.03</v>
      </c>
      <c r="G892" t="str">
        <v>2022/09</v>
      </c>
      <c r="H892" t="str">
        <v>3.28</v>
      </c>
      <c r="I892" t="str">
        <v>-32.99</v>
      </c>
      <c r="J892" t="str">
        <v>2022/11</v>
      </c>
      <c r="K892" t="str">
        <f t="array" ref="K892:T892">[1]!'1416.TW-OperatingProfitRatio,Price,PriceChangeRatio,InOutRatioNumber,Value,YearReturn,MonthReturn,WeekReturn,FinanceBalanceDif,ChipsField2'</f>
        <v>-16.06</v>
      </c>
      <c r="L892">
        <v>10.3</v>
      </c>
      <c r="M892">
        <v>-0.48</v>
      </c>
      <c r="N892" t="str">
        <v>54.78%</v>
      </c>
      <c r="O892" t="str">
        <v>162萬</v>
      </c>
      <c r="P892" t="str">
        <v>-3.64</v>
      </c>
      <c r="Q892" t="str">
        <v>0.00</v>
      </c>
      <c r="R892" t="str">
        <v>-1.44</v>
      </c>
      <c r="S892">
        <v>0</v>
      </c>
      <c r="T892">
        <v>0</v>
      </c>
      <c r="U892">
        <f t="array" ref="U892:AD892">[1]!'1416.TW-ChipsField3,ChipsField1,ChipsField25,CashAndStockDividend,CashDividendYieldRate,ProfitFourSeason,ProfitSingle,CName,ExchangeIndustry,CompanyPos'</f>
        <v>0</v>
      </c>
      <c r="V892">
        <v>-5</v>
      </c>
      <c r="W892" t="str">
        <v>2022/06/17</v>
      </c>
      <c r="X892" t="str">
        <v>0.50</v>
      </c>
      <c r="Y892">
        <v>4.8499999999999996</v>
      </c>
      <c r="Z892" t="str">
        <v>0.51</v>
      </c>
      <c r="AA892" t="str">
        <v>0.39</v>
      </c>
      <c r="AB892" t="str">
        <v>廣豐</v>
      </c>
      <c r="AC892" t="str">
        <v>上市其他</v>
      </c>
      <c r="AD892" t="str">
        <v>橫跨建設及大宗物資業務，主要開發案位於桃園八德</v>
      </c>
      <c r="AE892" t="str">
        <f t="array" ref="AE892:AH892">[1]!'1416.TW-CName,InvestorConferenceDate,DateofMeetingofShareHolders,TradingDate'</f>
        <v>廣豐</v>
      </c>
      <c r="AF892" t="str">
        <v>2022/12/12</v>
      </c>
      <c r="AG892" t="str">
        <v>2022/05/31</v>
      </c>
      <c r="AH892" t="str">
        <v>2022/12/22</v>
      </c>
    </row>
    <row r="893" spans="1:34" x14ac:dyDescent="0.3">
      <c r="A893" t="str">
        <f t="array" ref="A893:J893">[1]!'1437.TW-ID,Name,MarketValue,Capital,NetIncomeGrowthRate,OperIncomeGrowthRate,FinancialStatementsTime,TFXRatio,MonthlyNetSalesYoY,RevenueMonth'</f>
        <v>1437</v>
      </c>
      <c r="B893" t="str">
        <v>勤益控</v>
      </c>
      <c r="C893" t="str">
        <v>51.7</v>
      </c>
      <c r="D893" t="str">
        <v>20.34</v>
      </c>
      <c r="E893" t="str">
        <v>-13.50</v>
      </c>
      <c r="F893" t="str">
        <v>8.15</v>
      </c>
      <c r="G893" t="str">
        <v>2022/09</v>
      </c>
      <c r="H893" t="str">
        <v>51.91</v>
      </c>
      <c r="I893" t="str">
        <v>24.20</v>
      </c>
      <c r="J893" t="str">
        <v>2022/11</v>
      </c>
      <c r="K893" t="str">
        <f t="array" ref="K893:T893">[1]!'1437.TW-OperatingProfitRatio,Price,PriceChangeRatio,InOutRatioNumber,Value,YearReturn,MonthReturn,WeekReturn,FinanceBalanceDif,ChipsField2'</f>
        <v>52.67</v>
      </c>
      <c r="L893">
        <v>25.4</v>
      </c>
      <c r="M893">
        <v>0.2</v>
      </c>
      <c r="N893" t="str">
        <v>14.71%</v>
      </c>
      <c r="O893" t="str">
        <v>264萬</v>
      </c>
      <c r="P893" t="str">
        <v>+3.34</v>
      </c>
      <c r="Q893" t="str">
        <v>+2.01</v>
      </c>
      <c r="R893" t="str">
        <v>-1.55</v>
      </c>
      <c r="S893">
        <v>12</v>
      </c>
      <c r="T893">
        <v>0</v>
      </c>
      <c r="U893">
        <f t="array" ref="U893:AD893">[1]!'1437.TW-ChipsField3,ChipsField1,ChipsField25,CashAndStockDividend,CashDividendYieldRate,ProfitFourSeason,ProfitSingle,CName,ExchangeIndustry,CompanyPos'</f>
        <v>-2</v>
      </c>
      <c r="V893">
        <v>-8</v>
      </c>
      <c r="W893" t="str">
        <v>2022/06/27</v>
      </c>
      <c r="X893" t="str">
        <v>0.90</v>
      </c>
      <c r="Y893">
        <v>3.54</v>
      </c>
      <c r="Z893" t="str">
        <v>2.03</v>
      </c>
      <c r="AA893" t="str">
        <v>0.57</v>
      </c>
      <c r="AB893" t="str">
        <v>勤益控</v>
      </c>
      <c r="AC893" t="str">
        <v>上市其他</v>
      </c>
      <c r="AD893" t="str">
        <v>轉型為投資控股公司</v>
      </c>
      <c r="AE893" t="str">
        <f t="array" ref="AE893:AH893">[1]!'1437.TW-CName,InvestorConferenceDate,DateofMeetingofShareHolders,TradingDate'</f>
        <v>勤益控</v>
      </c>
      <c r="AF893" t="str">
        <v>2022/12/16</v>
      </c>
      <c r="AG893" t="str">
        <v>2022/06/09</v>
      </c>
      <c r="AH893" t="str">
        <v>2022/12/22</v>
      </c>
    </row>
    <row r="894" spans="1:34" x14ac:dyDescent="0.3">
      <c r="A894" t="str">
        <f t="array" ref="A894:J894">[1]!'1443.TW-ID,Name,MarketValue,Capital,NetIncomeGrowthRate,OperIncomeGrowthRate,FinancialStatementsTime,TFXRatio,MonthlyNetSalesYoY,RevenueMonth'</f>
        <v>1443</v>
      </c>
      <c r="B894" t="str">
        <v>立益物流</v>
      </c>
      <c r="C894" t="str">
        <v>28.5</v>
      </c>
      <c r="D894" t="str">
        <v>13.53</v>
      </c>
      <c r="E894" t="str">
        <v>398.00</v>
      </c>
      <c r="F894" t="str">
        <v>45.45</v>
      </c>
      <c r="G894" t="str">
        <v>2022/09</v>
      </c>
      <c r="H894" t="str">
        <v>1.60</v>
      </c>
      <c r="I894" t="str">
        <v>-43.25</v>
      </c>
      <c r="J894" t="str">
        <v>2022/11</v>
      </c>
      <c r="K894" t="str">
        <f t="array" ref="K894:T894">[1]!'1443.TW-OperatingProfitRatio,Price,PriceChangeRatio,InOutRatioNumber,Value,YearReturn,MonthReturn,WeekReturn,FinanceBalanceDif,ChipsField2'</f>
        <v>29.21</v>
      </c>
      <c r="L894">
        <v>21.05</v>
      </c>
      <c r="M894">
        <v>0.48</v>
      </c>
      <c r="N894" t="str">
        <v>34.37%</v>
      </c>
      <c r="O894" t="str">
        <v>69.7萬</v>
      </c>
      <c r="P894" t="str">
        <v>+24.93</v>
      </c>
      <c r="Q894" t="str">
        <v>-2.32</v>
      </c>
      <c r="R894" t="str">
        <v>-0.94</v>
      </c>
      <c r="S894">
        <v>-1</v>
      </c>
      <c r="T894">
        <v>0</v>
      </c>
      <c r="U894">
        <f t="array" ref="U894:AD894">[1]!'1443.TW-ChipsField3,ChipsField1,ChipsField25,CashAndStockDividend,CashDividendYieldRate,ProfitFourSeason,ProfitSingle,CName,ExchangeIndustry,CompanyPos'</f>
        <v>0</v>
      </c>
      <c r="V894">
        <v>3</v>
      </c>
      <c r="W894" t="str">
        <v>--</v>
      </c>
      <c r="X894" t="str">
        <v>0.00</v>
      </c>
      <c r="Y894">
        <v>0</v>
      </c>
      <c r="Z894" t="str">
        <v>2.86</v>
      </c>
      <c r="AA894" t="str">
        <v>0.67</v>
      </c>
      <c r="AB894" t="str">
        <v>立益物流</v>
      </c>
      <c r="AC894" t="str">
        <v>上市其他</v>
      </c>
      <c r="AD894" t="str">
        <v>轉型為物流業及經營房地產</v>
      </c>
      <c r="AE894" t="str">
        <f t="array" ref="AE894:AH894">[1]!'1443.TW-CName,InvestorConferenceDate,DateofMeetingofShareHolders,TradingDate'</f>
        <v>立益物流</v>
      </c>
      <c r="AF894" t="str">
        <v>2022/12/05</v>
      </c>
      <c r="AG894" t="str">
        <v>2022/06/15</v>
      </c>
      <c r="AH894" t="str">
        <v>2022/12/22</v>
      </c>
    </row>
    <row r="895" spans="1:34" x14ac:dyDescent="0.3">
      <c r="A895" t="str">
        <f t="array" ref="A895:J895">[1]!'1516.TW-ID,Name,MarketValue,Capital,NetIncomeGrowthRate,OperIncomeGrowthRate,FinancialStatementsTime,TFXRatio,MonthlyNetSalesYoY,RevenueMonth'</f>
        <v>1516</v>
      </c>
      <c r="B895" t="str">
        <v>川飛</v>
      </c>
      <c r="C895" t="str">
        <v>7.2</v>
      </c>
      <c r="D895" t="str">
        <v>3.57</v>
      </c>
      <c r="E895" t="str">
        <v>17.50</v>
      </c>
      <c r="F895" t="str">
        <v>43.69</v>
      </c>
      <c r="G895" t="str">
        <v>2022/09</v>
      </c>
      <c r="H895" t="str">
        <v>-100.00</v>
      </c>
      <c r="I895" t="str">
        <v>-100.00</v>
      </c>
      <c r="J895" t="str">
        <v>2022/11</v>
      </c>
      <c r="K895" t="str">
        <f t="array" ref="K895:T895">[1]!'1516.TW-OperatingProfitRatio,Price,PriceChangeRatio,InOutRatioNumber,Value,YearReturn,MonthReturn,WeekReturn,FinanceBalanceDif,ChipsField2'</f>
        <v>3.76</v>
      </c>
      <c r="L895">
        <v>20.05</v>
      </c>
      <c r="M895">
        <v>0.75</v>
      </c>
      <c r="N895" t="str">
        <v>65.96%</v>
      </c>
      <c r="O895" t="str">
        <v>93.9萬</v>
      </c>
      <c r="P895" t="str">
        <v>-12.33</v>
      </c>
      <c r="Q895" t="str">
        <v>-5.87</v>
      </c>
      <c r="R895" t="str">
        <v>-0.50</v>
      </c>
      <c r="S895">
        <v>9</v>
      </c>
      <c r="T895">
        <v>0</v>
      </c>
      <c r="U895">
        <f t="array" ref="U895:AD895">[1]!'1516.TW-ChipsField3,ChipsField1,ChipsField25,CashAndStockDividend,CashDividendYieldRate,ProfitFourSeason,ProfitSingle,CName,ExchangeIndustry,CompanyPos'</f>
        <v>0</v>
      </c>
      <c r="V895">
        <v>-15</v>
      </c>
      <c r="W895" t="str">
        <v>2022/09/27</v>
      </c>
      <c r="X895" t="str">
        <v>1.55</v>
      </c>
      <c r="Y895">
        <v>7.73</v>
      </c>
      <c r="Z895" t="str">
        <v>1.88</v>
      </c>
      <c r="AA895" t="str">
        <v>0.40</v>
      </c>
      <c r="AB895" t="str">
        <v>川飛</v>
      </c>
      <c r="AC895" t="str">
        <v>上市其他</v>
      </c>
      <c r="AD895" t="str">
        <v>主營生煤貿易</v>
      </c>
      <c r="AE895" t="str">
        <f t="array" ref="AE895:AH895">[1]!'1516.TW-CName,InvestorConferenceDate,DateofMeetingofShareHolders,TradingDate'</f>
        <v>川飛</v>
      </c>
      <c r="AF895" t="str">
        <v>2022/11/07</v>
      </c>
      <c r="AG895" t="str">
        <v>2022/06/08</v>
      </c>
      <c r="AH895" t="str">
        <v>2022/12/22</v>
      </c>
    </row>
    <row r="896" spans="1:34" x14ac:dyDescent="0.3">
      <c r="A896" t="str">
        <f t="array" ref="A896:J896">[1]!'2062.TW-ID,Name,MarketValue,Capital,NetIncomeGrowthRate,OperIncomeGrowthRate,FinancialStatementsTime,TFXRatio,MonthlyNetSalesYoY,RevenueMonth'</f>
        <v>2062</v>
      </c>
      <c r="B896" t="str">
        <v>橋椿</v>
      </c>
      <c r="C896" t="str">
        <v>44.8</v>
      </c>
      <c r="D896" t="str">
        <v>20.00</v>
      </c>
      <c r="E896" t="str">
        <v>128.47</v>
      </c>
      <c r="F896" t="str">
        <v>61.91</v>
      </c>
      <c r="G896" t="str">
        <v>2022/09</v>
      </c>
      <c r="H896" t="str">
        <v>14.77</v>
      </c>
      <c r="I896" t="str">
        <v>-25.54</v>
      </c>
      <c r="J896" t="str">
        <v>2022/11</v>
      </c>
      <c r="K896" t="str">
        <f t="array" ref="K896:T896">[1]!'2062.TW-OperatingProfitRatio,Price,PriceChangeRatio,InOutRatioNumber,Value,YearReturn,MonthReturn,WeekReturn,FinanceBalanceDif,ChipsField2'</f>
        <v>9.03</v>
      </c>
      <c r="L896">
        <v>22.4</v>
      </c>
      <c r="M896">
        <v>0</v>
      </c>
      <c r="N896" t="str">
        <v>30.77%</v>
      </c>
      <c r="O896" t="str">
        <v>291萬</v>
      </c>
      <c r="P896" t="str">
        <v>-14.79</v>
      </c>
      <c r="Q896" t="str">
        <v>+4.43</v>
      </c>
      <c r="R896" t="str">
        <v>-1.10</v>
      </c>
      <c r="S896">
        <v>-23</v>
      </c>
      <c r="T896">
        <v>0</v>
      </c>
      <c r="U896">
        <f t="array" ref="U896:AD896">[1]!'2062.TW-ChipsField3,ChipsField1,ChipsField25,CashAndStockDividend,CashDividendYieldRate,ProfitFourSeason,ProfitSingle,CName,ExchangeIndustry,CompanyPos'</f>
        <v>-1</v>
      </c>
      <c r="V896">
        <v>78</v>
      </c>
      <c r="W896" t="str">
        <v>2022/11/17</v>
      </c>
      <c r="X896" t="str">
        <v>0.50</v>
      </c>
      <c r="Y896">
        <v>2.23</v>
      </c>
      <c r="Z896" t="str">
        <v>4.41</v>
      </c>
      <c r="AA896" t="str">
        <v>1.17</v>
      </c>
      <c r="AB896" t="str">
        <v>橋椿</v>
      </c>
      <c r="AC896" t="str">
        <v>上市其他</v>
      </c>
      <c r="AD896" t="str">
        <v>全球最大鋅合金水龍頭零組件廠</v>
      </c>
      <c r="AE896" t="str">
        <f t="array" ref="AE896:AH896">[1]!'2062.TW-CName,InvestorConferenceDate,DateofMeetingofShareHolders,TradingDate'</f>
        <v>橋椿</v>
      </c>
      <c r="AF896" t="str">
        <v>2022/09/20</v>
      </c>
      <c r="AG896" t="str">
        <v>2022/04/29</v>
      </c>
      <c r="AH896" t="str">
        <v>2022/12/22</v>
      </c>
    </row>
    <row r="897" spans="1:34" x14ac:dyDescent="0.3">
      <c r="A897" t="str">
        <f t="array" ref="A897:J897">[1]!'2348.TW-ID,Name,MarketValue,Capital,NetIncomeGrowthRate,OperIncomeGrowthRate,FinancialStatementsTime,TFXRatio,MonthlyNetSalesYoY,RevenueMonth'</f>
        <v>2348</v>
      </c>
      <c r="B897" t="str">
        <v>海悅</v>
      </c>
      <c r="C897" t="str">
        <v>76.7</v>
      </c>
      <c r="D897" t="str">
        <v>11.71</v>
      </c>
      <c r="E897" t="str">
        <v>-49.78</v>
      </c>
      <c r="F897" t="str">
        <v>-25.88</v>
      </c>
      <c r="G897" t="str">
        <v>2022/09</v>
      </c>
      <c r="H897" t="str">
        <v>8.37</v>
      </c>
      <c r="I897" t="str">
        <v>-54.37</v>
      </c>
      <c r="J897" t="str">
        <v>2022/11</v>
      </c>
      <c r="K897" t="str">
        <f t="array" ref="K897:T897">[1]!'2348.TW-OperatingProfitRatio,Price,PriceChangeRatio,InOutRatioNumber,Value,YearReturn,MonthReturn,WeekReturn,FinanceBalanceDif,ChipsField2'</f>
        <v>33.29</v>
      </c>
      <c r="L897">
        <v>65.5</v>
      </c>
      <c r="M897">
        <v>0.92</v>
      </c>
      <c r="N897" t="str">
        <v>79.84%</v>
      </c>
      <c r="O897" t="str">
        <v>830萬</v>
      </c>
      <c r="P897" t="str">
        <v>-27.96</v>
      </c>
      <c r="Q897" t="str">
        <v>+5.65</v>
      </c>
      <c r="R897" t="str">
        <v>-0.46</v>
      </c>
      <c r="S897">
        <v>0</v>
      </c>
      <c r="T897">
        <v>0</v>
      </c>
      <c r="U897">
        <f t="array" ref="U897:AD897">[1]!'2348.TW-ChipsField3,ChipsField1,ChipsField25,CashAndStockDividend,CashDividendYieldRate,ProfitFourSeason,ProfitSingle,CName,ExchangeIndustry,CompanyPos'</f>
        <v>-5</v>
      </c>
      <c r="V897">
        <v>-16</v>
      </c>
      <c r="W897" t="str">
        <v>2022/08/02</v>
      </c>
      <c r="X897" t="str">
        <v>8.00</v>
      </c>
      <c r="Y897">
        <v>12.21</v>
      </c>
      <c r="Z897" t="str">
        <v>10.34</v>
      </c>
      <c r="AA897" t="str">
        <v>1.44</v>
      </c>
      <c r="AB897" t="str">
        <v>海悅</v>
      </c>
      <c r="AC897" t="str">
        <v>上市其他</v>
      </c>
      <c r="AD897" t="str">
        <v>台灣房屋代銷龍頭業者</v>
      </c>
      <c r="AE897" t="str">
        <f t="array" ref="AE897:AH897">[1]!'2348.TW-CName,InvestorConferenceDate,DateofMeetingofShareHolders,TradingDate'</f>
        <v>海悅</v>
      </c>
      <c r="AF897" t="str">
        <v>2022/11/30</v>
      </c>
      <c r="AG897" t="str">
        <v>2022/06/17</v>
      </c>
      <c r="AH897" t="str">
        <v>2022/12/22</v>
      </c>
    </row>
    <row r="898" spans="1:34" x14ac:dyDescent="0.3">
      <c r="A898" t="str">
        <f t="array" ref="A898:J898">[1]!'2358.TW-ID,Name,MarketValue,Capital,NetIncomeGrowthRate,OperIncomeGrowthRate,FinancialStatementsTime,TFXRatio,MonthlyNetSalesYoY,RevenueMonth'</f>
        <v>2358</v>
      </c>
      <c r="B898" t="str">
        <v>廷鑫</v>
      </c>
      <c r="C898" t="str">
        <v>20.5</v>
      </c>
      <c r="D898" t="str">
        <v>13.66</v>
      </c>
      <c r="E898" t="str">
        <v>-66.76</v>
      </c>
      <c r="F898" t="str">
        <v>-48.44</v>
      </c>
      <c r="G898" t="str">
        <v>2022/09</v>
      </c>
      <c r="H898" t="str">
        <v>2.55</v>
      </c>
      <c r="I898" t="str">
        <v>-58.28</v>
      </c>
      <c r="J898" t="str">
        <v>2022/11</v>
      </c>
      <c r="K898" t="str">
        <f t="array" ref="K898:T898">[1]!'2358.TW-OperatingProfitRatio,Price,PriceChangeRatio,InOutRatioNumber,Value,YearReturn,MonthReturn,WeekReturn,FinanceBalanceDif,ChipsField2'</f>
        <v>4.93</v>
      </c>
      <c r="L898">
        <v>15</v>
      </c>
      <c r="M898">
        <v>0</v>
      </c>
      <c r="N898" t="str">
        <v>51.93%</v>
      </c>
      <c r="O898" t="str">
        <v>1.41億</v>
      </c>
      <c r="P898" t="str">
        <v>-27.83</v>
      </c>
      <c r="Q898" t="str">
        <v>-3.08</v>
      </c>
      <c r="R898" t="str">
        <v>+3.45</v>
      </c>
      <c r="S898">
        <v>1036</v>
      </c>
      <c r="T898">
        <v>0</v>
      </c>
      <c r="U898">
        <f t="array" ref="U898:AD898">[1]!'2358.TW-ChipsField3,ChipsField1,ChipsField25,CashAndStockDividend,CashDividendYieldRate,ProfitFourSeason,ProfitSingle,CName,ExchangeIndustry,CompanyPos'</f>
        <v>0</v>
      </c>
      <c r="V898">
        <v>-162</v>
      </c>
      <c r="W898" t="str">
        <v>2022/11/22</v>
      </c>
      <c r="X898" t="str">
        <v>0.27</v>
      </c>
      <c r="Y898">
        <v>1.8</v>
      </c>
      <c r="Z898" t="str">
        <v>0.73</v>
      </c>
      <c r="AA898" t="str">
        <v>-0.22</v>
      </c>
      <c r="AB898" t="str">
        <v>廷鑫</v>
      </c>
      <c r="AC898" t="str">
        <v>上市其他</v>
      </c>
      <c r="AD898" t="str">
        <v>台灣第二大鋁合金製品廠</v>
      </c>
      <c r="AE898" t="str">
        <f t="array" ref="AE898:AH898">[1]!'2358.TW-CName,InvestorConferenceDate,DateofMeetingofShareHolders,TradingDate'</f>
        <v>廷鑫</v>
      </c>
      <c r="AF898" t="str">
        <v>2022/12/16</v>
      </c>
      <c r="AG898" t="str">
        <v>2022/06/21</v>
      </c>
      <c r="AH898" t="str">
        <v>2022/12/22</v>
      </c>
    </row>
    <row r="899" spans="1:34" x14ac:dyDescent="0.3">
      <c r="A899" t="str">
        <f t="array" ref="A899:J899">[1]!'2443.TW-ID,Name,MarketValue,Capital,NetIncomeGrowthRate,OperIncomeGrowthRate,FinancialStatementsTime,TFXRatio,MonthlyNetSalesYoY,RevenueMonth'</f>
        <v>2443</v>
      </c>
      <c r="B899" t="str">
        <v>昶虹</v>
      </c>
      <c r="C899" t="str">
        <v>4.0</v>
      </c>
      <c r="D899" t="str">
        <v>14.57</v>
      </c>
      <c r="E899" t="str">
        <v>15.35</v>
      </c>
      <c r="F899" t="str">
        <v>40.07</v>
      </c>
      <c r="G899" t="str">
        <v>2022/09</v>
      </c>
      <c r="H899" t="str">
        <v>15.16</v>
      </c>
      <c r="I899" t="str">
        <v>-61.71</v>
      </c>
      <c r="J899" t="str">
        <v>2022/11</v>
      </c>
      <c r="K899" t="str">
        <f t="array" ref="K899:T899">[1]!'2443.TW-OperatingProfitRatio,Price,PriceChangeRatio,InOutRatioNumber,Value,YearReturn,MonthReturn,WeekReturn,FinanceBalanceDif,ChipsField2'</f>
        <v>-367.06</v>
      </c>
      <c r="L899">
        <v>2.76</v>
      </c>
      <c r="M899">
        <v>-1.43</v>
      </c>
      <c r="N899" t="str">
        <v>27.78%</v>
      </c>
      <c r="O899" t="str">
        <v>11.9萬</v>
      </c>
      <c r="P899" t="str">
        <v>-12.10</v>
      </c>
      <c r="Q899" t="str">
        <v>-3.16</v>
      </c>
      <c r="R899" t="str">
        <v>-0.36</v>
      </c>
      <c r="S899">
        <v>0</v>
      </c>
      <c r="T899">
        <v>0</v>
      </c>
      <c r="U899">
        <f t="array" ref="U899:AD899">[1]!'2443.TW-ChipsField3,ChipsField1,ChipsField25,CashAndStockDividend,CashDividendYieldRate,ProfitFourSeason,ProfitSingle,CName,ExchangeIndustry,CompanyPos'</f>
        <v>0</v>
      </c>
      <c r="V899">
        <v>0</v>
      </c>
      <c r="W899" t="str">
        <v>--</v>
      </c>
      <c r="X899" t="str">
        <v>0.00</v>
      </c>
      <c r="Y899">
        <v>0</v>
      </c>
      <c r="Z899" t="str">
        <v>-0.64</v>
      </c>
      <c r="AA899" t="str">
        <v>-0.07</v>
      </c>
      <c r="AB899" t="str">
        <v>昶虹</v>
      </c>
      <c r="AC899" t="str">
        <v>上市其他</v>
      </c>
      <c r="AD899" t="str">
        <v>轉型從事港區物流及大宗物資貿易業務</v>
      </c>
      <c r="AE899" t="str">
        <f t="array" ref="AE899:AH899">[1]!'2443.TW-CName,InvestorConferenceDate,DateofMeetingofShareHolders,TradingDate'</f>
        <v>昶虹</v>
      </c>
      <c r="AF899" t="str">
        <v>2022/12/20</v>
      </c>
      <c r="AG899" t="str">
        <v>2022/06/10</v>
      </c>
      <c r="AH899" t="str">
        <v>2022/12/22</v>
      </c>
    </row>
    <row r="900" spans="1:34" x14ac:dyDescent="0.3">
      <c r="A900" t="str">
        <f t="array" ref="A900:J900">[1]!'2496.TW-ID,Name,MarketValue,Capital,NetIncomeGrowthRate,OperIncomeGrowthRate,FinancialStatementsTime,TFXRatio,MonthlyNetSalesYoY,RevenueMonth'</f>
        <v>2496</v>
      </c>
      <c r="B900" t="str">
        <v>卓越</v>
      </c>
      <c r="C900" t="str">
        <v>9.1</v>
      </c>
      <c r="D900" t="str">
        <v>1.91</v>
      </c>
      <c r="E900" t="str">
        <v>26.75</v>
      </c>
      <c r="F900" t="str">
        <v>41.06</v>
      </c>
      <c r="G900" t="str">
        <v>2022/09</v>
      </c>
      <c r="H900" t="str">
        <v>-5.21</v>
      </c>
      <c r="I900" t="str">
        <v>4.58</v>
      </c>
      <c r="J900" t="str">
        <v>2022/11</v>
      </c>
      <c r="K900" t="str">
        <f t="array" ref="K900:T900">[1]!'2496.TW-OperatingProfitRatio,Price,PriceChangeRatio,InOutRatioNumber,Value,YearReturn,MonthReturn,WeekReturn,FinanceBalanceDif,ChipsField2'</f>
        <v>13.87</v>
      </c>
      <c r="L900">
        <v>47.5</v>
      </c>
      <c r="M900">
        <v>1.06</v>
      </c>
      <c r="N900" t="str">
        <v>88.00%</v>
      </c>
      <c r="O900" t="str">
        <v>118萬</v>
      </c>
      <c r="P900" t="str">
        <v>+2.37</v>
      </c>
      <c r="Q900" t="str">
        <v>+3.83</v>
      </c>
      <c r="R900" t="str">
        <v>0.00</v>
      </c>
      <c r="S900">
        <v>-10</v>
      </c>
      <c r="T900">
        <v>0</v>
      </c>
      <c r="U900">
        <f t="array" ref="U900:AD900">[1]!'2496.TW-ChipsField3,ChipsField1,ChipsField25,CashAndStockDividend,CashDividendYieldRate,ProfitFourSeason,ProfitSingle,CName,ExchangeIndustry,CompanyPos'</f>
        <v>0</v>
      </c>
      <c r="V900">
        <v>-10</v>
      </c>
      <c r="W900" t="str">
        <v>2022/06/24</v>
      </c>
      <c r="X900" t="str">
        <v>3.00</v>
      </c>
      <c r="Y900">
        <v>6.32</v>
      </c>
      <c r="Z900" t="str">
        <v>3.65</v>
      </c>
      <c r="AA900" t="str">
        <v>1.68</v>
      </c>
      <c r="AB900" t="str">
        <v>卓越</v>
      </c>
      <c r="AC900" t="str">
        <v>上市其他</v>
      </c>
      <c r="AD900" t="str">
        <v>為補教教育服務商，旗下擁有陳立補習班</v>
      </c>
      <c r="AE900" t="str">
        <f t="array" ref="AE900:AH900">[1]!'2496.TW-CName,InvestorConferenceDate,DateofMeetingofShareHolders,TradingDate'</f>
        <v>卓越</v>
      </c>
      <c r="AF900" t="str">
        <v>2021/12/22</v>
      </c>
      <c r="AG900" t="str">
        <v>2022/06/09</v>
      </c>
      <c r="AH900" t="str">
        <v>2022/12/22</v>
      </c>
    </row>
    <row r="901" spans="1:34" x14ac:dyDescent="0.3">
      <c r="A901" t="str">
        <f t="array" ref="A901:J901">[1]!'2514.TW-ID,Name,MarketValue,Capital,NetIncomeGrowthRate,OperIncomeGrowthRate,FinancialStatementsTime,TFXRatio,MonthlyNetSalesYoY,RevenueMonth'</f>
        <v>2514</v>
      </c>
      <c r="B901" t="str">
        <v>龍邦</v>
      </c>
      <c r="C901" t="str">
        <v>66.7</v>
      </c>
      <c r="D901" t="str">
        <v>39.47</v>
      </c>
      <c r="E901" t="str">
        <v>-67.89</v>
      </c>
      <c r="F901" t="str">
        <v>-26.73</v>
      </c>
      <c r="G901" t="str">
        <v>2022/09</v>
      </c>
      <c r="H901" t="str">
        <v>14.91</v>
      </c>
      <c r="I901" t="str">
        <v>-22.56</v>
      </c>
      <c r="J901" t="str">
        <v>2022/11</v>
      </c>
      <c r="K901" t="str">
        <f t="array" ref="K901:T901">[1]!'2514.TW-OperatingProfitRatio,Price,PriceChangeRatio,InOutRatioNumber,Value,YearReturn,MonthReturn,WeekReturn,FinanceBalanceDif,ChipsField2'</f>
        <v>3.36</v>
      </c>
      <c r="L901">
        <v>16.899999999999999</v>
      </c>
      <c r="M901">
        <v>0.3</v>
      </c>
      <c r="N901" t="str">
        <v>78.15%</v>
      </c>
      <c r="O901" t="str">
        <v>201萬</v>
      </c>
      <c r="P901" t="str">
        <v>-3.70</v>
      </c>
      <c r="Q901" t="str">
        <v>+0.60</v>
      </c>
      <c r="R901" t="str">
        <v>-5.85</v>
      </c>
      <c r="S901">
        <v>51</v>
      </c>
      <c r="T901">
        <v>0</v>
      </c>
      <c r="U901">
        <f t="array" ref="U901:AD901">[1]!'2514.TW-ChipsField3,ChipsField1,ChipsField25,CashAndStockDividend,CashDividendYieldRate,ProfitFourSeason,ProfitSingle,CName,ExchangeIndustry,CompanyPos'</f>
        <v>-21</v>
      </c>
      <c r="V901">
        <v>16</v>
      </c>
      <c r="W901" t="str">
        <v>--</v>
      </c>
      <c r="X901" t="str">
        <v>0.00</v>
      </c>
      <c r="Y901">
        <v>0</v>
      </c>
      <c r="Z901" t="str">
        <v>0.88</v>
      </c>
      <c r="AA901" t="str">
        <v>0.45</v>
      </c>
      <c r="AB901" t="str">
        <v>龍邦</v>
      </c>
      <c r="AC901" t="str">
        <v>上市其他</v>
      </c>
      <c r="AD901" t="str">
        <v>中部地區第一家上市之營建廠商</v>
      </c>
      <c r="AE901" t="str">
        <f t="array" ref="AE901:AH901">[1]!'2514.TW-CName,InvestorConferenceDate,DateofMeetingofShareHolders,TradingDate'</f>
        <v>龍邦</v>
      </c>
      <c r="AF901" t="str">
        <v>2022/12/13</v>
      </c>
      <c r="AG901" t="str">
        <v>2022/06/29</v>
      </c>
      <c r="AH901" t="str">
        <v>2022/12/22</v>
      </c>
    </row>
    <row r="902" spans="1:34" x14ac:dyDescent="0.3">
      <c r="A902" t="str">
        <f t="array" ref="A902:J902">[1]!'2614.TW-ID,Name,MarketValue,Capital,NetIncomeGrowthRate,OperIncomeGrowthRate,FinancialStatementsTime,TFXRatio,MonthlyNetSalesYoY,RevenueMonth'</f>
        <v>2614</v>
      </c>
      <c r="B902" t="str">
        <v>東森</v>
      </c>
      <c r="C902" t="str">
        <v>109.0</v>
      </c>
      <c r="D902" t="str">
        <v>47.61</v>
      </c>
      <c r="E902" t="str">
        <v>-85.39</v>
      </c>
      <c r="F902" t="str">
        <v>63.01</v>
      </c>
      <c r="G902" t="str">
        <v>2022/09</v>
      </c>
      <c r="H902" t="str">
        <v>-1.26</v>
      </c>
      <c r="I902" t="str">
        <v>-3.09</v>
      </c>
      <c r="J902" t="str">
        <v>2022/11</v>
      </c>
      <c r="K902" t="str">
        <f t="array" ref="K902:T902">[1]!'2614.TW-OperatingProfitRatio,Price,PriceChangeRatio,InOutRatioNumber,Value,YearReturn,MonthReturn,WeekReturn,FinanceBalanceDif,ChipsField2'</f>
        <v>4.06</v>
      </c>
      <c r="L902">
        <v>22.9</v>
      </c>
      <c r="M902">
        <v>0.66</v>
      </c>
      <c r="N902" t="str">
        <v>43.69%</v>
      </c>
      <c r="O902" t="str">
        <v>7509萬</v>
      </c>
      <c r="P902" t="str">
        <v>-31.71</v>
      </c>
      <c r="Q902" t="str">
        <v>+11.17</v>
      </c>
      <c r="R902" t="str">
        <v>-1.51</v>
      </c>
      <c r="S902">
        <v>-78</v>
      </c>
      <c r="T902">
        <v>0</v>
      </c>
      <c r="U902">
        <f t="array" ref="U902:AD902">[1]!'2614.TW-ChipsField3,ChipsField1,ChipsField25,CashAndStockDividend,CashDividendYieldRate,ProfitFourSeason,ProfitSingle,CName,ExchangeIndustry,CompanyPos'</f>
        <v>0</v>
      </c>
      <c r="V902">
        <v>886</v>
      </c>
      <c r="W902" t="str">
        <v>2022/04/13</v>
      </c>
      <c r="X902" t="str">
        <v>1.00</v>
      </c>
      <c r="Y902">
        <v>4.37</v>
      </c>
      <c r="Z902" t="str">
        <v>0.40</v>
      </c>
      <c r="AA902" t="str">
        <v>-0.06</v>
      </c>
      <c r="AB902" t="str">
        <v>東森</v>
      </c>
      <c r="AC902" t="str">
        <v>上市其他</v>
      </c>
      <c r="AD902" t="str">
        <v>從事港埠倉儲及新媒體等</v>
      </c>
      <c r="AE902" t="str">
        <f t="array" ref="AE902:AH902">[1]!'2614.TW-CName,InvestorConferenceDate,DateofMeetingofShareHolders,TradingDate'</f>
        <v>東森</v>
      </c>
      <c r="AF902" t="str">
        <v>2022/12/26</v>
      </c>
      <c r="AG902" t="str">
        <v>2022/06/13</v>
      </c>
      <c r="AH902" t="str">
        <v>2022/12/22</v>
      </c>
    </row>
    <row r="903" spans="1:34" x14ac:dyDescent="0.3">
      <c r="A903" t="str">
        <f t="array" ref="A903:J903">[1]!'2904.TW-ID,Name,MarketValue,Capital,NetIncomeGrowthRate,OperIncomeGrowthRate,FinancialStatementsTime,TFXRatio,MonthlyNetSalesYoY,RevenueMonth'</f>
        <v>2904</v>
      </c>
      <c r="B903" t="str">
        <v>匯僑</v>
      </c>
      <c r="C903" t="str">
        <v>15.3</v>
      </c>
      <c r="D903" t="str">
        <v>7.78</v>
      </c>
      <c r="E903" t="str">
        <v>32.91</v>
      </c>
      <c r="F903" t="str">
        <v>-13.39</v>
      </c>
      <c r="G903" t="str">
        <v>2022/09</v>
      </c>
      <c r="H903" t="str">
        <v>-2.51</v>
      </c>
      <c r="I903" t="str">
        <v>16.03</v>
      </c>
      <c r="J903" t="str">
        <v>2022/11</v>
      </c>
      <c r="K903" t="str">
        <f t="array" ref="K903:T903">[1]!'2904.TW-OperatingProfitRatio,Price,PriceChangeRatio,InOutRatioNumber,Value,YearReturn,MonthReturn,WeekReturn,FinanceBalanceDif,ChipsField2'</f>
        <v>19.96</v>
      </c>
      <c r="L903">
        <v>19.7</v>
      </c>
      <c r="M903">
        <v>0.51</v>
      </c>
      <c r="N903" t="str">
        <v>68.75%</v>
      </c>
      <c r="O903" t="str">
        <v>31.5萬</v>
      </c>
      <c r="P903" t="str">
        <v>-18.54</v>
      </c>
      <c r="Q903" t="str">
        <v>+2.60</v>
      </c>
      <c r="R903" t="str">
        <v>-1.01</v>
      </c>
      <c r="S903">
        <v>0</v>
      </c>
      <c r="T903">
        <v>0</v>
      </c>
      <c r="U903">
        <f t="array" ref="U903:AD903">[1]!'2904.TW-ChipsField3,ChipsField1,ChipsField25,CashAndStockDividend,CashDividendYieldRate,ProfitFourSeason,ProfitSingle,CName,ExchangeIndustry,CompanyPos'</f>
        <v>-3</v>
      </c>
      <c r="V903">
        <v>0</v>
      </c>
      <c r="W903" t="str">
        <v>2022/07/20</v>
      </c>
      <c r="X903" t="str">
        <v>0.80</v>
      </c>
      <c r="Y903">
        <v>4.0599999999999996</v>
      </c>
      <c r="Z903" t="str">
        <v>1.34</v>
      </c>
      <c r="AA903" t="str">
        <v>0.50</v>
      </c>
      <c r="AB903" t="str">
        <v>匯僑</v>
      </c>
      <c r="AC903" t="str">
        <v>上市其他</v>
      </c>
      <c r="AD903" t="str">
        <v>台灣專業的石化倉儲廠</v>
      </c>
      <c r="AE903" t="str">
        <f t="array" ref="AE903:AH903">[1]!'2904.TW-CName,InvestorConferenceDate,DateofMeetingofShareHolders,TradingDate'</f>
        <v>匯僑</v>
      </c>
      <c r="AF903" t="str">
        <v>2022/11/22</v>
      </c>
      <c r="AG903" t="str">
        <v>2022/06/23</v>
      </c>
      <c r="AH903" t="str">
        <v>2022/12/22</v>
      </c>
    </row>
    <row r="904" spans="1:34" x14ac:dyDescent="0.3">
      <c r="A904" t="str">
        <f t="array" ref="A904:J904">[1]!'3040.TW-ID,Name,MarketValue,Capital,NetIncomeGrowthRate,OperIncomeGrowthRate,FinancialStatementsTime,TFXRatio,MonthlyNetSalesYoY,RevenueMonth'</f>
        <v>3040</v>
      </c>
      <c r="B904" t="str">
        <v>遠見</v>
      </c>
      <c r="C904" t="str">
        <v>18.6</v>
      </c>
      <c r="D904" t="str">
        <v>6.30</v>
      </c>
      <c r="E904" t="str">
        <v>-18.81</v>
      </c>
      <c r="F904" t="str">
        <v>10.51</v>
      </c>
      <c r="G904" t="str">
        <v>2022/09</v>
      </c>
      <c r="H904" t="str">
        <v>-1.46</v>
      </c>
      <c r="I904" t="str">
        <v>-13.45</v>
      </c>
      <c r="J904" t="str">
        <v>2022/11</v>
      </c>
      <c r="K904" t="str">
        <f t="array" ref="K904:T904">[1]!'3040.TW-OperatingProfitRatio,Price,PriceChangeRatio,InOutRatioNumber,Value,YearReturn,MonthReturn,WeekReturn,FinanceBalanceDif,ChipsField2'</f>
        <v>46.16</v>
      </c>
      <c r="L904">
        <v>29.5</v>
      </c>
      <c r="M904">
        <v>0.17</v>
      </c>
      <c r="N904" t="str">
        <v>25.00%</v>
      </c>
      <c r="O904" t="str">
        <v>11.8萬</v>
      </c>
      <c r="P904" t="str">
        <v>-16.23</v>
      </c>
      <c r="Q904" t="str">
        <v>-1.67</v>
      </c>
      <c r="R904" t="str">
        <v>-1.67</v>
      </c>
      <c r="S904">
        <v>0</v>
      </c>
      <c r="T904">
        <v>0</v>
      </c>
      <c r="U904">
        <f t="array" ref="U904:AD904">[1]!'3040.TW-ChipsField3,ChipsField1,ChipsField25,CashAndStockDividend,CashDividendYieldRate,ProfitFourSeason,ProfitSingle,CName,ExchangeIndustry,CompanyPos'</f>
        <v>0</v>
      </c>
      <c r="V904">
        <v>0</v>
      </c>
      <c r="W904" t="str">
        <v>2022/07/06</v>
      </c>
      <c r="X904" t="str">
        <v>2.00</v>
      </c>
      <c r="Y904">
        <v>6.78</v>
      </c>
      <c r="Z904" t="str">
        <v>1.63</v>
      </c>
      <c r="AA904" t="str">
        <v>0.77</v>
      </c>
      <c r="AB904" t="str">
        <v>遠見</v>
      </c>
      <c r="AC904" t="str">
        <v>上市其他</v>
      </c>
      <c r="AD904" t="str">
        <v>轉型為品牌授權、租賃及加值型服務為主</v>
      </c>
      <c r="AE904" t="str">
        <f t="array" ref="AE904:AH904">[1]!'3040.TW-CName,InvestorConferenceDate,DateofMeetingofShareHolders,TradingDate'</f>
        <v>遠見</v>
      </c>
      <c r="AF904" t="str">
        <v>2022/08/18</v>
      </c>
      <c r="AG904" t="str">
        <v>2022/06/17</v>
      </c>
      <c r="AH904" t="str">
        <v>2022/12/22</v>
      </c>
    </row>
    <row r="905" spans="1:34" x14ac:dyDescent="0.3">
      <c r="A905" t="str">
        <f t="array" ref="A905:J905">[1]!'3557.TW-ID,Name,MarketValue,Capital,NetIncomeGrowthRate,OperIncomeGrowthRate,FinancialStatementsTime,TFXRatio,MonthlyNetSalesYoY,RevenueMonth'</f>
        <v>3557</v>
      </c>
      <c r="B905" t="str">
        <v>嘉威</v>
      </c>
      <c r="C905" t="str">
        <v>39.2</v>
      </c>
      <c r="D905" t="str">
        <v>8.03</v>
      </c>
      <c r="E905" t="str">
        <v>0.60</v>
      </c>
      <c r="F905" t="str">
        <v>0.30</v>
      </c>
      <c r="G905" t="str">
        <v>2022/09</v>
      </c>
      <c r="H905" t="str">
        <v>12.05</v>
      </c>
      <c r="I905" t="str">
        <v>-4.29</v>
      </c>
      <c r="J905" t="str">
        <v>2022/11</v>
      </c>
      <c r="K905" t="str">
        <f t="array" ref="K905:T905">[1]!'3557.TW-OperatingProfitRatio,Price,PriceChangeRatio,InOutRatioNumber,Value,YearReturn,MonthReturn,WeekReturn,FinanceBalanceDif,ChipsField2'</f>
        <v>10.96</v>
      </c>
      <c r="L905">
        <v>48.85</v>
      </c>
      <c r="M905">
        <v>0.1</v>
      </c>
      <c r="N905" t="str">
        <v>62.50%</v>
      </c>
      <c r="O905" t="str">
        <v>39.3萬</v>
      </c>
      <c r="P905" t="str">
        <v>-30.19</v>
      </c>
      <c r="Q905" t="str">
        <v>-3.91</v>
      </c>
      <c r="R905" t="str">
        <v>-0.91</v>
      </c>
      <c r="S905">
        <v>-3</v>
      </c>
      <c r="T905">
        <v>0</v>
      </c>
      <c r="U905">
        <f t="array" ref="U905:AD905">[1]!'3557.TW-ChipsField3,ChipsField1,ChipsField25,CashAndStockDividend,CashDividendYieldRate,ProfitFourSeason,ProfitSingle,CName,ExchangeIndustry,CompanyPos'</f>
        <v>0</v>
      </c>
      <c r="V905">
        <v>0</v>
      </c>
      <c r="W905" t="str">
        <v>2022/11/28</v>
      </c>
      <c r="X905" t="str">
        <v>3.00</v>
      </c>
      <c r="Y905">
        <v>12.28</v>
      </c>
      <c r="Z905" t="str">
        <v>7.40</v>
      </c>
      <c r="AA905" t="str">
        <v>1.19</v>
      </c>
      <c r="AB905" t="str">
        <v>嘉威</v>
      </c>
      <c r="AC905" t="str">
        <v>上市其他</v>
      </c>
      <c r="AD905" t="str">
        <v>家居餐飲用品生產及銷售商</v>
      </c>
      <c r="AE905" t="str">
        <f t="array" ref="AE905:AH905">[1]!'3557.TW-CName,InvestorConferenceDate,DateofMeetingofShareHolders,TradingDate'</f>
        <v>嘉威</v>
      </c>
      <c r="AF905" t="str">
        <v>2022/12/09</v>
      </c>
      <c r="AG905" t="str">
        <v>2022/05/31</v>
      </c>
      <c r="AH905" t="str">
        <v>2022/12/22</v>
      </c>
    </row>
    <row r="906" spans="1:34" x14ac:dyDescent="0.3">
      <c r="A906" t="str">
        <f t="array" ref="A906:J906">[1]!'4536.TW-ID,Name,MarketValue,Capital,NetIncomeGrowthRate,OperIncomeGrowthRate,FinancialStatementsTime,TFXRatio,MonthlyNetSalesYoY,RevenueMonth'</f>
        <v>4536</v>
      </c>
      <c r="B906" t="str">
        <v>拓凱</v>
      </c>
      <c r="C906" t="str">
        <v>173.0</v>
      </c>
      <c r="D906" t="str">
        <v>9.08</v>
      </c>
      <c r="E906" t="str">
        <v>210.79</v>
      </c>
      <c r="F906" t="str">
        <v>84.22</v>
      </c>
      <c r="G906" t="str">
        <v>2022/09</v>
      </c>
      <c r="H906" t="str">
        <v>5.49</v>
      </c>
      <c r="I906" t="str">
        <v>15.32</v>
      </c>
      <c r="J906" t="str">
        <v>2022/11</v>
      </c>
      <c r="K906" t="str">
        <f t="array" ref="K906:T906">[1]!'4536.TW-OperatingProfitRatio,Price,PriceChangeRatio,InOutRatioNumber,Value,YearReturn,MonthReturn,WeekReturn,FinanceBalanceDif,ChipsField2'</f>
        <v>21.84</v>
      </c>
      <c r="L906">
        <v>190.5</v>
      </c>
      <c r="M906">
        <v>-1.04</v>
      </c>
      <c r="N906" t="str">
        <v>24.48%</v>
      </c>
      <c r="O906" t="str">
        <v>8483萬</v>
      </c>
      <c r="P906" t="str">
        <v>+43.92</v>
      </c>
      <c r="Q906" t="str">
        <v>+13.39</v>
      </c>
      <c r="R906" t="str">
        <v>-3.05</v>
      </c>
      <c r="S906">
        <v>-43</v>
      </c>
      <c r="T906">
        <v>0</v>
      </c>
      <c r="U906">
        <f t="array" ref="U906:AD906">[1]!'4536.TW-ChipsField3,ChipsField1,ChipsField25,CashAndStockDividend,CashDividendYieldRate,ProfitFourSeason,ProfitSingle,CName,ExchangeIndustry,CompanyPos'</f>
        <v>-7</v>
      </c>
      <c r="V906">
        <v>22</v>
      </c>
      <c r="W906" t="str">
        <v>2022/08/01</v>
      </c>
      <c r="X906" t="str">
        <v>6.00</v>
      </c>
      <c r="Y906">
        <v>3.15</v>
      </c>
      <c r="Z906" t="str">
        <v>23.25</v>
      </c>
      <c r="AA906" t="str">
        <v>9.38</v>
      </c>
      <c r="AB906" t="str">
        <v>拓凱</v>
      </c>
      <c r="AC906" t="str">
        <v>上市其他</v>
      </c>
      <c r="AD906" t="str">
        <v>全球知名碳纖維網球拍生產商</v>
      </c>
      <c r="AE906" t="str">
        <f t="array" ref="AE906:AH906">[1]!'4536.TW-CName,InvestorConferenceDate,DateofMeetingofShareHolders,TradingDate'</f>
        <v>拓凱</v>
      </c>
      <c r="AF906" t="str">
        <v>2022/10/13</v>
      </c>
      <c r="AG906" t="str">
        <v>2022/05/27</v>
      </c>
      <c r="AH906" t="str">
        <v>2022/12/22</v>
      </c>
    </row>
    <row r="907" spans="1:34" x14ac:dyDescent="0.3">
      <c r="A907" t="str">
        <f t="array" ref="A907:J907">[1]!'5284.TW-ID,Name,MarketValue,Capital,NetIncomeGrowthRate,OperIncomeGrowthRate,FinancialStatementsTime,TFXRatio,MonthlyNetSalesYoY,RevenueMonth'</f>
        <v>5284</v>
      </c>
      <c r="B907" t="str">
        <v>jpp-KY</v>
      </c>
      <c r="C907" t="str">
        <v>32.4</v>
      </c>
      <c r="D907" t="str">
        <v>4.60</v>
      </c>
      <c r="E907" t="str">
        <v>46.74</v>
      </c>
      <c r="F907" t="str">
        <v>54.24</v>
      </c>
      <c r="G907" t="str">
        <v>2022/09</v>
      </c>
      <c r="H907" t="str">
        <v>8.97</v>
      </c>
      <c r="I907" t="str">
        <v>59.58</v>
      </c>
      <c r="J907" t="str">
        <v>2022/11</v>
      </c>
      <c r="K907" t="str">
        <f t="array" ref="K907:T907">[1]!'5284.TW-OperatingProfitRatio,Price,PriceChangeRatio,InOutRatioNumber,Value,YearReturn,MonthReturn,WeekReturn,FinanceBalanceDif,ChipsField2'</f>
        <v>17.05</v>
      </c>
      <c r="L907">
        <v>70.5</v>
      </c>
      <c r="M907">
        <v>2.0299999999999998</v>
      </c>
      <c r="N907" t="str">
        <v>45.74%</v>
      </c>
      <c r="O907" t="str">
        <v>4.77億</v>
      </c>
      <c r="P907" t="str">
        <v>+66.32</v>
      </c>
      <c r="Q907" t="str">
        <v>+19.69</v>
      </c>
      <c r="R907" t="str">
        <v>+5.07</v>
      </c>
      <c r="S907">
        <v>155</v>
      </c>
      <c r="T907">
        <v>0</v>
      </c>
      <c r="U907">
        <f t="array" ref="U907:AD907">[1]!'5284.TW-ChipsField3,ChipsField1,ChipsField25,CashAndStockDividend,CashDividendYieldRate,ProfitFourSeason,ProfitSingle,CName,ExchangeIndustry,CompanyPos'</f>
        <v>0</v>
      </c>
      <c r="V907">
        <v>181</v>
      </c>
      <c r="W907" t="str">
        <v>2022/07/22</v>
      </c>
      <c r="X907" t="str">
        <v>2.30</v>
      </c>
      <c r="Y907">
        <v>3.26</v>
      </c>
      <c r="Z907" t="str">
        <v>4.17</v>
      </c>
      <c r="AA907" t="str">
        <v>1.69</v>
      </c>
      <c r="AB907" t="str">
        <v>jpp-KY</v>
      </c>
      <c r="AC907" t="str">
        <v>上市其他</v>
      </c>
      <c r="AD907" t="str">
        <v>客製化精密金屬機構件供應商</v>
      </c>
      <c r="AE907" t="str">
        <f t="array" ref="AE907:AH907">[1]!'5284.TW-CName,InvestorConferenceDate,DateofMeetingofShareHolders,TradingDate'</f>
        <v>jpp-KY</v>
      </c>
      <c r="AF907" t="str">
        <v>2022/09/06</v>
      </c>
      <c r="AG907" t="str">
        <v>2022/06/23</v>
      </c>
      <c r="AH907" t="str">
        <v>2022/12/22</v>
      </c>
    </row>
    <row r="908" spans="1:34" x14ac:dyDescent="0.3">
      <c r="A908" t="str">
        <f t="array" ref="A908:J908">[1]!'5306.TW-ID,Name,MarketValue,Capital,NetIncomeGrowthRate,OperIncomeGrowthRate,FinancialStatementsTime,TFXRatio,MonthlyNetSalesYoY,RevenueMonth'</f>
        <v>5306</v>
      </c>
      <c r="B908" t="str">
        <v>桂盟</v>
      </c>
      <c r="C908" t="str">
        <v>175.1</v>
      </c>
      <c r="D908" t="str">
        <v>12.60</v>
      </c>
      <c r="E908" t="str">
        <v>9.15</v>
      </c>
      <c r="F908" t="str">
        <v>3.14</v>
      </c>
      <c r="G908" t="str">
        <v>2022/09</v>
      </c>
      <c r="H908" t="str">
        <v>-13.39</v>
      </c>
      <c r="I908" t="str">
        <v>-30.38</v>
      </c>
      <c r="J908" t="str">
        <v>2022/11</v>
      </c>
      <c r="K908" t="str">
        <f t="array" ref="K908:T908">[1]!'5306.TW-OperatingProfitRatio,Price,PriceChangeRatio,InOutRatioNumber,Value,YearReturn,MonthReturn,WeekReturn,FinanceBalanceDif,ChipsField2'</f>
        <v>34.23</v>
      </c>
      <c r="L908">
        <v>139</v>
      </c>
      <c r="M908">
        <v>0</v>
      </c>
      <c r="N908" t="str">
        <v>40.06%</v>
      </c>
      <c r="O908" t="str">
        <v>4554萬</v>
      </c>
      <c r="P908" t="str">
        <v>-24.89</v>
      </c>
      <c r="Q908" t="str">
        <v>-3.94</v>
      </c>
      <c r="R908" t="str">
        <v>-6.17</v>
      </c>
      <c r="S908">
        <v>0</v>
      </c>
      <c r="T908">
        <v>13</v>
      </c>
      <c r="U908">
        <f t="array" ref="U908:AD908">[1]!'5306.TW-ChipsField3,ChipsField1,ChipsField25,CashAndStockDividend,CashDividendYieldRate,ProfitFourSeason,ProfitSingle,CName,ExchangeIndustry,CompanyPos'</f>
        <v>0</v>
      </c>
      <c r="V908">
        <v>-67</v>
      </c>
      <c r="W908" t="str">
        <v>2023/03/15</v>
      </c>
      <c r="X908" t="str">
        <v>2.25</v>
      </c>
      <c r="Y908">
        <v>6.47</v>
      </c>
      <c r="Z908" t="str">
        <v>17.02</v>
      </c>
      <c r="AA908" t="str">
        <v>4.81</v>
      </c>
      <c r="AB908" t="str">
        <v>桂盟</v>
      </c>
      <c r="AC908" t="str">
        <v>上市其他</v>
      </c>
      <c r="AD908" t="str">
        <v>全球最大規模鏈條製造廠商</v>
      </c>
      <c r="AE908" t="str">
        <f t="array" ref="AE908:AH908">[1]!'5306.TW-CName,InvestorConferenceDate,DateofMeetingofShareHolders,TradingDate'</f>
        <v>桂盟</v>
      </c>
      <c r="AF908" t="str">
        <v>2022/09/23</v>
      </c>
      <c r="AG908" t="str">
        <v>2022/06/30</v>
      </c>
      <c r="AH908" t="str">
        <v>2022/12/22</v>
      </c>
    </row>
    <row r="909" spans="1:34" x14ac:dyDescent="0.3">
      <c r="A909" t="str">
        <f t="array" ref="A909:J909">[1]!'5871.TW-ID,Name,MarketValue,Capital,NetIncomeGrowthRate,OperIncomeGrowthRate,FinancialStatementsTime,TFXRatio,MonthlyNetSalesYoY,RevenueMonth'</f>
        <v>5871</v>
      </c>
      <c r="B909" t="str">
        <v>中租-KY</v>
      </c>
      <c r="C909" t="str">
        <v>3411.2</v>
      </c>
      <c r="D909" t="str">
        <v>158.29</v>
      </c>
      <c r="E909" t="str">
        <v>31.14</v>
      </c>
      <c r="F909" t="str">
        <v>16.77</v>
      </c>
      <c r="G909" t="str">
        <v>2022/09</v>
      </c>
      <c r="H909" t="str">
        <v>0.51</v>
      </c>
      <c r="I909" t="str">
        <v>20.62</v>
      </c>
      <c r="J909" t="str">
        <v>2022/11</v>
      </c>
      <c r="K909" t="str">
        <f t="array" ref="K909:T909">[1]!'5871.TW-OperatingProfitRatio,Price,PriceChangeRatio,InOutRatioNumber,Value,YearReturn,MonthReturn,WeekReturn,FinanceBalanceDif,ChipsField2'</f>
        <v>45.23</v>
      </c>
      <c r="L909">
        <v>215.5</v>
      </c>
      <c r="M909">
        <v>-1.82</v>
      </c>
      <c r="N909" t="str">
        <v>37.23%</v>
      </c>
      <c r="O909" t="str">
        <v>7.56億</v>
      </c>
      <c r="P909" t="str">
        <v>-7.19</v>
      </c>
      <c r="Q909" t="str">
        <v>+15.86</v>
      </c>
      <c r="R909" t="str">
        <v>+0.94</v>
      </c>
      <c r="S909">
        <v>-113</v>
      </c>
      <c r="T909">
        <v>293</v>
      </c>
      <c r="U909">
        <f t="array" ref="U909:AD909">[1]!'5871.TW-ChipsField3,ChipsField1,ChipsField25,CashAndStockDividend,CashDividendYieldRate,ProfitFourSeason,ProfitSingle,CName,ExchangeIndustry,CompanyPos'</f>
        <v>-50</v>
      </c>
      <c r="V909">
        <v>2497</v>
      </c>
      <c r="W909" t="str">
        <v>2022/06/22</v>
      </c>
      <c r="X909" t="str">
        <v>6.50</v>
      </c>
      <c r="Y909">
        <v>3.02</v>
      </c>
      <c r="Z909" t="str">
        <v>17.80</v>
      </c>
      <c r="AA909" t="str">
        <v>4.44</v>
      </c>
      <c r="AB909" t="str">
        <v>中租-KY</v>
      </c>
      <c r="AC909" t="str">
        <v>上市其他</v>
      </c>
      <c r="AD909" t="str">
        <v>台灣租賃業龍頭公司</v>
      </c>
      <c r="AE909" t="str">
        <f t="array" ref="AE909:AH909">[1]!'5871.TW-CName,InvestorConferenceDate,DateofMeetingofShareHolders,TradingDate'</f>
        <v>中租-KY</v>
      </c>
      <c r="AF909" t="str">
        <v>2022/11/10</v>
      </c>
      <c r="AG909" t="str">
        <v>2022/09/14</v>
      </c>
      <c r="AH909" t="str">
        <v>2022/12/22</v>
      </c>
    </row>
    <row r="910" spans="1:34" x14ac:dyDescent="0.3">
      <c r="A910" t="str">
        <f t="array" ref="A910:J910">[1]!'6165.TW-ID,Name,MarketValue,Capital,NetIncomeGrowthRate,OperIncomeGrowthRate,FinancialStatementsTime,TFXRatio,MonthlyNetSalesYoY,RevenueMonth'</f>
        <v>6165</v>
      </c>
      <c r="B910" t="str">
        <v>浪凡</v>
      </c>
      <c r="C910" t="str">
        <v>13.6</v>
      </c>
      <c r="D910" t="str">
        <v>5.32</v>
      </c>
      <c r="E910" t="str">
        <v>-73.79</v>
      </c>
      <c r="F910" t="str">
        <v>-43.61</v>
      </c>
      <c r="G910" t="str">
        <v>2022/09</v>
      </c>
      <c r="H910" t="str">
        <v>-15.09</v>
      </c>
      <c r="I910" t="str">
        <v>-3.59</v>
      </c>
      <c r="J910" t="str">
        <v>2022/11</v>
      </c>
      <c r="K910" t="str">
        <f t="array" ref="K910:T910">[1]!'6165.TW-OperatingProfitRatio,Price,PriceChangeRatio,InOutRatioNumber,Value,YearReturn,MonthReturn,WeekReturn,FinanceBalanceDif,ChipsField2'</f>
        <v>2.98</v>
      </c>
      <c r="L910">
        <v>27.3</v>
      </c>
      <c r="M910">
        <v>0.37</v>
      </c>
      <c r="N910" t="str">
        <v>39.39%</v>
      </c>
      <c r="O910" t="str">
        <v>90.1萬</v>
      </c>
      <c r="P910" t="str">
        <v>-28.16</v>
      </c>
      <c r="Q910" t="str">
        <v>+2.06</v>
      </c>
      <c r="R910" t="str">
        <v>-1.09</v>
      </c>
      <c r="S910">
        <v>5</v>
      </c>
      <c r="T910">
        <v>0</v>
      </c>
      <c r="U910">
        <f t="array" ref="U910:AD910">[1]!'6165.TW-ChipsField3,ChipsField1,ChipsField25,CashAndStockDividend,CashDividendYieldRate,ProfitFourSeason,ProfitSingle,CName,ExchangeIndustry,CompanyPos'</f>
        <v>-1</v>
      </c>
      <c r="V910">
        <v>5</v>
      </c>
      <c r="W910" t="str">
        <v>--</v>
      </c>
      <c r="X910" t="str">
        <v>0.00</v>
      </c>
      <c r="Y910">
        <v>0</v>
      </c>
      <c r="Z910" t="str">
        <v>0.01</v>
      </c>
      <c r="AA910" t="str">
        <v>0.49</v>
      </c>
      <c r="AB910" t="str">
        <v>浪凡</v>
      </c>
      <c r="AC910" t="str">
        <v>上市其他</v>
      </c>
      <c r="AD910" t="str">
        <v>轉型為直播平台服務商，旗下擁有「浪LIVE」平台</v>
      </c>
      <c r="AE910" t="str">
        <f t="array" ref="AE910:AH910">[1]!'6165.TW-CName,InvestorConferenceDate,DateofMeetingofShareHolders,TradingDate'</f>
        <v>浪凡</v>
      </c>
      <c r="AF910" t="str">
        <v>2021/12/16</v>
      </c>
      <c r="AG910" t="str">
        <v>2022/06/22</v>
      </c>
      <c r="AH910" t="str">
        <v>2022/12/22</v>
      </c>
    </row>
    <row r="911" spans="1:34" x14ac:dyDescent="0.3">
      <c r="A911" t="str">
        <f t="array" ref="A911:J911">[1]!'6184.TW-ID,Name,MarketValue,Capital,NetIncomeGrowthRate,OperIncomeGrowthRate,FinancialStatementsTime,TFXRatio,MonthlyNetSalesYoY,RevenueMonth'</f>
        <v>6184</v>
      </c>
      <c r="B911" t="str">
        <v>大豐電</v>
      </c>
      <c r="C911" t="str">
        <v>76.0</v>
      </c>
      <c r="D911" t="str">
        <v>15.82</v>
      </c>
      <c r="E911" t="str">
        <v>8.98</v>
      </c>
      <c r="F911" t="str">
        <v>20.21</v>
      </c>
      <c r="G911" t="str">
        <v>2022/09</v>
      </c>
      <c r="H911" t="str">
        <v>3.42</v>
      </c>
      <c r="I911" t="str">
        <v>-1.03</v>
      </c>
      <c r="J911" t="str">
        <v>2022/11</v>
      </c>
      <c r="K911" t="str">
        <f t="array" ref="K911:T911">[1]!'6184.TW-OperatingProfitRatio,Price,PriceChangeRatio,InOutRatioNumber,Value,YearReturn,MonthReturn,WeekReturn,FinanceBalanceDif,ChipsField2'</f>
        <v>32.27</v>
      </c>
      <c r="L911">
        <v>48</v>
      </c>
      <c r="M911">
        <v>0</v>
      </c>
      <c r="N911" t="str">
        <v>50.00%</v>
      </c>
      <c r="O911" t="str">
        <v>67.2萬</v>
      </c>
      <c r="P911" t="str">
        <v>+16.00</v>
      </c>
      <c r="Q911" t="str">
        <v>+1.16</v>
      </c>
      <c r="R911" t="str">
        <v>-0.31</v>
      </c>
      <c r="S911">
        <v>0</v>
      </c>
      <c r="T911">
        <v>0</v>
      </c>
      <c r="U911">
        <f t="array" ref="U911:AD911">[1]!'6184.TW-ChipsField3,ChipsField1,ChipsField25,CashAndStockDividend,CashDividendYieldRate,ProfitFourSeason,ProfitSingle,CName,ExchangeIndustry,CompanyPos'</f>
        <v>0</v>
      </c>
      <c r="V911">
        <v>0</v>
      </c>
      <c r="W911" t="str">
        <v>2022/07/07</v>
      </c>
      <c r="X911" t="str">
        <v>3.00</v>
      </c>
      <c r="Y911">
        <v>6.25</v>
      </c>
      <c r="Z911" t="str">
        <v>3.73</v>
      </c>
      <c r="AA911" t="str">
        <v>0.62</v>
      </c>
      <c r="AB911" t="str">
        <v>大豐電</v>
      </c>
      <c r="AC911" t="str">
        <v>上市其他</v>
      </c>
      <c r="AD911" t="str">
        <v>新北市板橋土城地區有線電視業者</v>
      </c>
      <c r="AE911" t="str">
        <f t="array" ref="AE911:AH911">[1]!'6184.TW-CName,InvestorConferenceDate,DateofMeetingofShareHolders,TradingDate'</f>
        <v>大豐電</v>
      </c>
      <c r="AF911" t="str">
        <v>2022/08/25</v>
      </c>
      <c r="AG911" t="str">
        <v>2022/06/10</v>
      </c>
      <c r="AH911" t="str">
        <v>2022/12/22</v>
      </c>
    </row>
    <row r="912" spans="1:34" x14ac:dyDescent="0.3">
      <c r="A912" t="str">
        <f t="array" ref="A912:J912">[1]!'6464.TW-ID,Name,MarketValue,Capital,NetIncomeGrowthRate,OperIncomeGrowthRate,FinancialStatementsTime,TFXRatio,MonthlyNetSalesYoY,RevenueMonth'</f>
        <v>6464</v>
      </c>
      <c r="B912" t="str">
        <v>台數科</v>
      </c>
      <c r="C912" t="str">
        <v>128.8</v>
      </c>
      <c r="D912" t="str">
        <v>13.16</v>
      </c>
      <c r="E912" t="str">
        <v>-6.74</v>
      </c>
      <c r="F912" t="str">
        <v>-2.66</v>
      </c>
      <c r="G912" t="str">
        <v>2022/09</v>
      </c>
      <c r="H912" t="str">
        <v>-3.70</v>
      </c>
      <c r="I912" t="str">
        <v>1.79</v>
      </c>
      <c r="J912" t="str">
        <v>2022/11</v>
      </c>
      <c r="K912" t="str">
        <f t="array" ref="K912:T912">[1]!'6464.TW-OperatingProfitRatio,Price,PriceChangeRatio,InOutRatioNumber,Value,YearReturn,MonthReturn,WeekReturn,FinanceBalanceDif,ChipsField2'</f>
        <v>33.48</v>
      </c>
      <c r="L912">
        <v>97.9</v>
      </c>
      <c r="M912">
        <v>0.41</v>
      </c>
      <c r="N912" t="str">
        <v>85.19%</v>
      </c>
      <c r="O912" t="str">
        <v>526萬</v>
      </c>
      <c r="P912" t="str">
        <v>+11.16</v>
      </c>
      <c r="Q912" t="str">
        <v>-0.41</v>
      </c>
      <c r="R912" t="str">
        <v>-1.81</v>
      </c>
      <c r="S912">
        <v>-3</v>
      </c>
      <c r="T912">
        <v>0</v>
      </c>
      <c r="U912">
        <f t="array" ref="U912:AD912">[1]!'6464.TW-ChipsField3,ChipsField1,ChipsField25,CashAndStockDividend,CashDividendYieldRate,ProfitFourSeason,ProfitSingle,CName,ExchangeIndustry,CompanyPos'</f>
        <v>0</v>
      </c>
      <c r="V912">
        <v>-8</v>
      </c>
      <c r="W912" t="str">
        <v>2022/07/27</v>
      </c>
      <c r="X912" t="str">
        <v>4.60</v>
      </c>
      <c r="Y912">
        <v>4.7</v>
      </c>
      <c r="Z912" t="str">
        <v>7.72</v>
      </c>
      <c r="AA912" t="str">
        <v>1.61</v>
      </c>
      <c r="AB912" t="str">
        <v>台數科</v>
      </c>
      <c r="AC912" t="str">
        <v>上市其他</v>
      </c>
      <c r="AD912" t="str">
        <v>台灣唯一由本土有線電視業者成立的多系統經營者</v>
      </c>
      <c r="AE912" t="str">
        <f t="array" ref="AE912:AH912">[1]!'6464.TW-CName,InvestorConferenceDate,DateofMeetingofShareHolders,TradingDate'</f>
        <v>台數科</v>
      </c>
      <c r="AF912" t="str">
        <v>2022/11/22</v>
      </c>
      <c r="AG912" t="str">
        <v>2022/05/31</v>
      </c>
      <c r="AH912" t="str">
        <v>2022/12/22</v>
      </c>
    </row>
    <row r="913" spans="1:34" x14ac:dyDescent="0.3">
      <c r="A913" t="str">
        <f t="array" ref="A913:J913">[1]!'6504.TW-ID,Name,MarketValue,Capital,NetIncomeGrowthRate,OperIncomeGrowthRate,FinancialStatementsTime,TFXRatio,MonthlyNetSalesYoY,RevenueMonth'</f>
        <v>6504</v>
      </c>
      <c r="B913" t="str">
        <v>南六</v>
      </c>
      <c r="C913" t="str">
        <v>53.2</v>
      </c>
      <c r="D913" t="str">
        <v>7.26</v>
      </c>
      <c r="E913" t="str">
        <v>-46.88</v>
      </c>
      <c r="F913" t="str">
        <v>-107.37</v>
      </c>
      <c r="G913" t="str">
        <v>2022/09</v>
      </c>
      <c r="H913" t="str">
        <v>-16.79</v>
      </c>
      <c r="I913" t="str">
        <v>-17.36</v>
      </c>
      <c r="J913" t="str">
        <v>2022/11</v>
      </c>
      <c r="K913" t="str">
        <f t="array" ref="K913:T913">[1]!'6504.TW-OperatingProfitRatio,Price,PriceChangeRatio,InOutRatioNumber,Value,YearReturn,MonthReturn,WeekReturn,FinanceBalanceDif,ChipsField2'</f>
        <v>-0.39</v>
      </c>
      <c r="L913">
        <v>73.3</v>
      </c>
      <c r="M913">
        <v>-0.41</v>
      </c>
      <c r="N913" t="str">
        <v>31.91%</v>
      </c>
      <c r="O913" t="str">
        <v>746萬</v>
      </c>
      <c r="P913" t="str">
        <v>-34.47</v>
      </c>
      <c r="Q913" t="str">
        <v>+2.95</v>
      </c>
      <c r="R913" t="str">
        <v>+1.24</v>
      </c>
      <c r="S913">
        <v>-13</v>
      </c>
      <c r="T913">
        <v>0</v>
      </c>
      <c r="U913">
        <f t="array" ref="U913:AD913">[1]!'6504.TW-ChipsField3,ChipsField1,ChipsField25,CashAndStockDividend,CashDividendYieldRate,ProfitFourSeason,ProfitSingle,CName,ExchangeIndustry,CompanyPos'</f>
        <v>-3</v>
      </c>
      <c r="V913">
        <v>11</v>
      </c>
      <c r="W913" t="str">
        <v>2022/09/13</v>
      </c>
      <c r="X913" t="str">
        <v>1.20</v>
      </c>
      <c r="Y913">
        <v>1.64</v>
      </c>
      <c r="Z913" t="str">
        <v>0.59</v>
      </c>
      <c r="AA913" t="str">
        <v>0.49</v>
      </c>
      <c r="AB913" t="str">
        <v>南六</v>
      </c>
      <c r="AC913" t="str">
        <v>上市其他</v>
      </c>
      <c r="AD913" t="str">
        <v>亞洲最大的水針不織布廠商</v>
      </c>
      <c r="AE913" t="str">
        <f t="array" ref="AE913:AH913">[1]!'6504.TW-CName,InvestorConferenceDate,DateofMeetingofShareHolders,TradingDate'</f>
        <v>南六</v>
      </c>
      <c r="AF913" t="str">
        <v>2022/12/02</v>
      </c>
      <c r="AG913" t="str">
        <v>2022/05/31</v>
      </c>
      <c r="AH913" t="str">
        <v>2022/12/22</v>
      </c>
    </row>
    <row r="914" spans="1:34" x14ac:dyDescent="0.3">
      <c r="A914" t="str">
        <f t="array" ref="A914:J914">[1]!'6581.TW-ID,Name,MarketValue,Capital,NetIncomeGrowthRate,OperIncomeGrowthRate,FinancialStatementsTime,TFXRatio,MonthlyNetSalesYoY,RevenueMonth'</f>
        <v>6581</v>
      </c>
      <c r="B914" t="str">
        <v>鋼聯</v>
      </c>
      <c r="C914" t="str">
        <v>102.3</v>
      </c>
      <c r="D914" t="str">
        <v>11.13</v>
      </c>
      <c r="E914" t="str">
        <v>145.42</v>
      </c>
      <c r="F914" t="str">
        <v>131.98</v>
      </c>
      <c r="G914" t="str">
        <v>2022/09</v>
      </c>
      <c r="H914" t="str">
        <v>26.03</v>
      </c>
      <c r="I914" t="str">
        <v>6.66</v>
      </c>
      <c r="J914" t="str">
        <v>2022/11</v>
      </c>
      <c r="K914" t="str">
        <f t="array" ref="K914:T914">[1]!'6581.TW-OperatingProfitRatio,Price,PriceChangeRatio,InOutRatioNumber,Value,YearReturn,MonthReturn,WeekReturn,FinanceBalanceDif,ChipsField2'</f>
        <v>47.43</v>
      </c>
      <c r="L914">
        <v>91.9</v>
      </c>
      <c r="M914">
        <v>0.44</v>
      </c>
      <c r="N914" t="str">
        <v>12.12%</v>
      </c>
      <c r="O914" t="str">
        <v>304萬</v>
      </c>
      <c r="P914" t="str">
        <v>+19.83</v>
      </c>
      <c r="Q914" t="str">
        <v>+2.91</v>
      </c>
      <c r="R914" t="str">
        <v>-3.36</v>
      </c>
      <c r="S914">
        <v>4</v>
      </c>
      <c r="T914">
        <v>0</v>
      </c>
      <c r="U914">
        <f t="array" ref="U914:AD914">[1]!'6581.TW-ChipsField3,ChipsField1,ChipsField25,CashAndStockDividend,CashDividendYieldRate,ProfitFourSeason,ProfitSingle,CName,ExchangeIndustry,CompanyPos'</f>
        <v>0</v>
      </c>
      <c r="V914">
        <v>-11</v>
      </c>
      <c r="W914" t="str">
        <v>2022/03/24</v>
      </c>
      <c r="X914" t="str">
        <v>4.00</v>
      </c>
      <c r="Y914">
        <v>4.3499999999999996</v>
      </c>
      <c r="Z914" t="str">
        <v>9.10</v>
      </c>
      <c r="AA914" t="str">
        <v>1.94</v>
      </c>
      <c r="AB914" t="str">
        <v>鋼聯</v>
      </c>
      <c r="AC914" t="str">
        <v>上市其他</v>
      </c>
      <c r="AD914" t="str">
        <v>亞洲最大電弧爐集塵灰之鋅資源回收廠</v>
      </c>
      <c r="AE914" t="str">
        <f t="array" ref="AE914:AH914">[1]!'6581.TW-CName,InvestorConferenceDate,DateofMeetingofShareHolders,TradingDate'</f>
        <v>鋼聯</v>
      </c>
      <c r="AF914" t="str">
        <v>2022/07/28</v>
      </c>
      <c r="AG914" t="str">
        <v>2022/05/26</v>
      </c>
      <c r="AH914" t="str">
        <v>2022/12/22</v>
      </c>
    </row>
    <row r="915" spans="1:34" x14ac:dyDescent="0.3">
      <c r="A915" t="str">
        <f t="array" ref="A915:J915">[1]!'6585.TW-ID,Name,MarketValue,Capital,NetIncomeGrowthRate,OperIncomeGrowthRate,FinancialStatementsTime,TFXRatio,MonthlyNetSalesYoY,RevenueMonth'</f>
        <v>6585</v>
      </c>
      <c r="B915" t="str">
        <v>鼎基</v>
      </c>
      <c r="C915" t="str">
        <v>36.2</v>
      </c>
      <c r="D915" t="str">
        <v>6.92</v>
      </c>
      <c r="E915" t="str">
        <v>-11.80</v>
      </c>
      <c r="F915" t="str">
        <v>-22.48</v>
      </c>
      <c r="G915" t="str">
        <v>2022/09</v>
      </c>
      <c r="H915" t="str">
        <v>-9.74</v>
      </c>
      <c r="I915" t="str">
        <v>-6.46</v>
      </c>
      <c r="J915" t="str">
        <v>2022/11</v>
      </c>
      <c r="K915" t="str">
        <f t="array" ref="K915:T915">[1]!'6585.TW-OperatingProfitRatio,Price,PriceChangeRatio,InOutRatioNumber,Value,YearReturn,MonthReturn,WeekReturn,FinanceBalanceDif,ChipsField2'</f>
        <v>10.29</v>
      </c>
      <c r="L915">
        <v>52.3</v>
      </c>
      <c r="M915">
        <v>3.98</v>
      </c>
      <c r="N915" t="str">
        <v>61.44%</v>
      </c>
      <c r="O915" t="str">
        <v>805萬</v>
      </c>
      <c r="P915" t="str">
        <v>--</v>
      </c>
      <c r="Q915" t="str">
        <v>+0.77</v>
      </c>
      <c r="R915" t="str">
        <v>+0.38</v>
      </c>
      <c r="S915">
        <v>-4</v>
      </c>
      <c r="T915">
        <v>0</v>
      </c>
      <c r="U915">
        <f t="array" ref="U915:AD915">[1]!'6585.TW-ChipsField3,ChipsField1,ChipsField25,CashAndStockDividend,CashDividendYieldRate,ProfitFourSeason,ProfitSingle,CName,ExchangeIndustry,CompanyPos'</f>
        <v>0</v>
      </c>
      <c r="V915">
        <v>6</v>
      </c>
      <c r="W915" t="str">
        <v>2022/06/15</v>
      </c>
      <c r="X915" t="str">
        <v>3.00</v>
      </c>
      <c r="Y915">
        <v>5.74</v>
      </c>
      <c r="Z915" t="str">
        <v>3.93</v>
      </c>
      <c r="AA915" t="str">
        <v>0.93</v>
      </c>
      <c r="AB915" t="str">
        <v>鼎基</v>
      </c>
      <c r="AC915" t="str">
        <v>上市其他</v>
      </c>
      <c r="AD915" t="str">
        <v>全球前三大TPU產品生產商</v>
      </c>
      <c r="AE915" t="str">
        <f t="array" ref="AE915:AH915">[1]!'6585.TW-CName,InvestorConferenceDate,DateofMeetingofShareHolders,TradingDate'</f>
        <v>鼎基</v>
      </c>
      <c r="AF915" t="str">
        <v>2022/06/20</v>
      </c>
      <c r="AG915" t="str">
        <v>2022/05/27</v>
      </c>
      <c r="AH915" t="str">
        <v>2022/12/22</v>
      </c>
    </row>
    <row r="916" spans="1:34" x14ac:dyDescent="0.3">
      <c r="A916" t="str">
        <f t="array" ref="A916:J916">[1]!'6592.TW-ID,Name,MarketValue,Capital,NetIncomeGrowthRate,OperIncomeGrowthRate,FinancialStatementsTime,TFXRatio,MonthlyNetSalesYoY,RevenueMonth'</f>
        <v>6592</v>
      </c>
      <c r="B916" t="str">
        <v>和潤企業</v>
      </c>
      <c r="C916" t="str">
        <v>520.1</v>
      </c>
      <c r="D916" t="str">
        <v>51.50</v>
      </c>
      <c r="E916" t="str">
        <v>22.95</v>
      </c>
      <c r="F916" t="str">
        <v>16.64</v>
      </c>
      <c r="G916" t="str">
        <v>2022/09</v>
      </c>
      <c r="H916" t="str">
        <v>3.55</v>
      </c>
      <c r="I916" t="str">
        <v>20.01</v>
      </c>
      <c r="J916" t="str">
        <v>2022/11</v>
      </c>
      <c r="K916" t="str">
        <f t="array" ref="K916:T916">[1]!'6592.TW-OperatingProfitRatio,Price,PriceChangeRatio,InOutRatioNumber,Value,YearReturn,MonthReturn,WeekReturn,FinanceBalanceDif,ChipsField2'</f>
        <v>21.79</v>
      </c>
      <c r="L916">
        <v>101</v>
      </c>
      <c r="M916">
        <v>0.5</v>
      </c>
      <c r="N916" t="str">
        <v>40.88%</v>
      </c>
      <c r="O916" t="str">
        <v>1401萬</v>
      </c>
      <c r="P916" t="str">
        <v>+16.27</v>
      </c>
      <c r="Q916" t="str">
        <v>+4.34</v>
      </c>
      <c r="R916" t="str">
        <v>-1.46</v>
      </c>
      <c r="S916">
        <v>-15</v>
      </c>
      <c r="T916">
        <v>0</v>
      </c>
      <c r="U916">
        <f t="array" ref="U916:AD916">[1]!'6592.TW-ChipsField3,ChipsField1,ChipsField25,CashAndStockDividend,CashDividendYieldRate,ProfitFourSeason,ProfitSingle,CName,ExchangeIndustry,CompanyPos'</f>
        <v>-21</v>
      </c>
      <c r="V916">
        <v>-2</v>
      </c>
      <c r="W916" t="str">
        <v>2022/07/12</v>
      </c>
      <c r="X916" t="str">
        <v>4.20</v>
      </c>
      <c r="Y916">
        <v>4.16</v>
      </c>
      <c r="Z916" t="str">
        <v>7.00</v>
      </c>
      <c r="AA916" t="str">
        <v>1.77</v>
      </c>
      <c r="AB916" t="str">
        <v>和潤企業</v>
      </c>
      <c r="AC916" t="str">
        <v>上市其他</v>
      </c>
      <c r="AD916" t="str">
        <v>和泰旗下車輛融資及租賃公司</v>
      </c>
      <c r="AE916" t="str">
        <f t="array" ref="AE916:AH916">[1]!'6592.TW-CName,InvestorConferenceDate,DateofMeetingofShareHolders,TradingDate'</f>
        <v>和潤企業</v>
      </c>
      <c r="AF916" t="str">
        <v>2022/08/23</v>
      </c>
      <c r="AG916" t="str">
        <v>2022/06/23</v>
      </c>
      <c r="AH916" t="str">
        <v>2022/12/22</v>
      </c>
    </row>
    <row r="917" spans="1:34" x14ac:dyDescent="0.3">
      <c r="A917" t="str">
        <f t="array" ref="A917:J917">[1]!'6625.TW-ID,Name,MarketValue,Capital,NetIncomeGrowthRate,OperIncomeGrowthRate,FinancialStatementsTime,TFXRatio,MonthlyNetSalesYoY,RevenueMonth'</f>
        <v>6625</v>
      </c>
      <c r="B917" t="str">
        <v>必應</v>
      </c>
      <c r="C917" t="str">
        <v>17.9</v>
      </c>
      <c r="D917" t="str">
        <v>4.43</v>
      </c>
      <c r="E917" t="str">
        <v>32.43</v>
      </c>
      <c r="F917" t="str">
        <v>43.33</v>
      </c>
      <c r="G917" t="str">
        <v>2022/09</v>
      </c>
      <c r="H917" t="str">
        <v>28.01</v>
      </c>
      <c r="I917" t="str">
        <v>166.70</v>
      </c>
      <c r="J917" t="str">
        <v>2022/11</v>
      </c>
      <c r="K917" t="str">
        <f t="array" ref="K917:T917">[1]!'6625.TW-OperatingProfitRatio,Price,PriceChangeRatio,InOutRatioNumber,Value,YearReturn,MonthReturn,WeekReturn,FinanceBalanceDif,ChipsField2'</f>
        <v>-12.23</v>
      </c>
      <c r="L917">
        <v>40.299999999999997</v>
      </c>
      <c r="M917">
        <v>0.88</v>
      </c>
      <c r="N917" t="str">
        <v>38.06%</v>
      </c>
      <c r="O917" t="str">
        <v>1528萬</v>
      </c>
      <c r="P917" t="str">
        <v>+20.12</v>
      </c>
      <c r="Q917" t="str">
        <v>+23.05</v>
      </c>
      <c r="R917" t="str">
        <v>+14.49</v>
      </c>
      <c r="S917">
        <v>108</v>
      </c>
      <c r="T917">
        <v>0</v>
      </c>
      <c r="U917">
        <f t="array" ref="U917:AD917">[1]!'6625.TW-ChipsField3,ChipsField1,ChipsField25,CashAndStockDividend,CashDividendYieldRate,ProfitFourSeason,ProfitSingle,CName,ExchangeIndustry,CompanyPos'</f>
        <v>-1</v>
      </c>
      <c r="V917">
        <v>-34</v>
      </c>
      <c r="W917" t="str">
        <v>--</v>
      </c>
      <c r="X917" t="str">
        <v>0.00</v>
      </c>
      <c r="Y917">
        <v>0</v>
      </c>
      <c r="Z917" t="str">
        <v>-1.11</v>
      </c>
      <c r="AA917" t="str">
        <v>-0.05</v>
      </c>
      <c r="AB917" t="str">
        <v>必應</v>
      </c>
      <c r="AC917" t="str">
        <v>上市其他</v>
      </c>
      <c r="AD917" t="str">
        <v>台灣最大的娛樂影音活動製作公司</v>
      </c>
      <c r="AE917" t="str">
        <f t="array" ref="AE917:AH917">[1]!'6625.TW-CName,InvestorConferenceDate,DateofMeetingofShareHolders,TradingDate'</f>
        <v>必應</v>
      </c>
      <c r="AF917" t="str">
        <v>2022/12/21</v>
      </c>
      <c r="AG917" t="str">
        <v>2022/06/16</v>
      </c>
      <c r="AH917" t="str">
        <v>2022/12/22</v>
      </c>
    </row>
    <row r="918" spans="1:34" x14ac:dyDescent="0.3">
      <c r="A918" t="str">
        <f t="array" ref="A918:J918">[1]!'6641.TW-ID,Name,MarketValue,Capital,NetIncomeGrowthRate,OperIncomeGrowthRate,FinancialStatementsTime,TFXRatio,MonthlyNetSalesYoY,RevenueMonth'</f>
        <v>6641</v>
      </c>
      <c r="B918" t="str">
        <v>基士德-KY</v>
      </c>
      <c r="C918" t="str">
        <v>19.6</v>
      </c>
      <c r="D918" t="str">
        <v>3.70</v>
      </c>
      <c r="E918" t="str">
        <v>-8.19</v>
      </c>
      <c r="F918" t="str">
        <v>-44.97</v>
      </c>
      <c r="G918" t="str">
        <v>2022/09</v>
      </c>
      <c r="H918" t="str">
        <v>8.82</v>
      </c>
      <c r="I918" t="str">
        <v>-29.16</v>
      </c>
      <c r="J918" t="str">
        <v>2022/11</v>
      </c>
      <c r="K918" t="str">
        <f t="array" ref="K918:T918">[1]!'6641.TW-OperatingProfitRatio,Price,PriceChangeRatio,InOutRatioNumber,Value,YearReturn,MonthReturn,WeekReturn,FinanceBalanceDif,ChipsField2'</f>
        <v>5.52</v>
      </c>
      <c r="L918">
        <v>52.9</v>
      </c>
      <c r="M918">
        <v>0.95</v>
      </c>
      <c r="N918" t="str">
        <v>60.00%</v>
      </c>
      <c r="O918" t="str">
        <v>26.3萬</v>
      </c>
      <c r="P918" t="str">
        <v>-5.45</v>
      </c>
      <c r="Q918" t="str">
        <v>+2.12</v>
      </c>
      <c r="R918" t="str">
        <v>-0.75</v>
      </c>
      <c r="S918">
        <v>0</v>
      </c>
      <c r="T918">
        <v>0</v>
      </c>
      <c r="U918">
        <f t="array" ref="U918:AD918">[1]!'6641.TW-ChipsField3,ChipsField1,ChipsField25,CashAndStockDividend,CashDividendYieldRate,ProfitFourSeason,ProfitSingle,CName,ExchangeIndustry,CompanyPos'</f>
        <v>0</v>
      </c>
      <c r="V918">
        <v>-4</v>
      </c>
      <c r="W918" t="str">
        <v>2022/07/05</v>
      </c>
      <c r="X918" t="str">
        <v>4.50</v>
      </c>
      <c r="Y918">
        <v>8.51</v>
      </c>
      <c r="Z918" t="str">
        <v>5.74</v>
      </c>
      <c r="AA918" t="str">
        <v>1.20</v>
      </c>
      <c r="AB918" t="str">
        <v>基士德-KY</v>
      </c>
      <c r="AC918" t="str">
        <v>上市其他</v>
      </c>
      <c r="AD918" t="str">
        <v>大陸水處理環保設備與技術服務綜合服務商</v>
      </c>
      <c r="AE918" t="str">
        <f t="array" ref="AE918:AH918">[1]!'6641.TW-CName,InvestorConferenceDate,DateofMeetingofShareHolders,TradingDate'</f>
        <v>基士德-KY</v>
      </c>
      <c r="AF918" t="str">
        <v>2022/09/05</v>
      </c>
      <c r="AG918" t="str">
        <v>2022/06/08</v>
      </c>
      <c r="AH918" t="str">
        <v>2022/12/22</v>
      </c>
    </row>
    <row r="919" spans="1:34" x14ac:dyDescent="0.3">
      <c r="A919" t="str">
        <f t="array" ref="A919:J919">[1]!'6655.TW-ID,Name,MarketValue,Capital,NetIncomeGrowthRate,OperIncomeGrowthRate,FinancialStatementsTime,TFXRatio,MonthlyNetSalesYoY,RevenueMonth'</f>
        <v>6655</v>
      </c>
      <c r="B919" t="str">
        <v>科定</v>
      </c>
      <c r="C919" t="str">
        <v>96.6</v>
      </c>
      <c r="D919" t="str">
        <v>7.40</v>
      </c>
      <c r="E919" t="str">
        <v>-1.05</v>
      </c>
      <c r="F919" t="str">
        <v>0.99</v>
      </c>
      <c r="G919" t="str">
        <v>2022/09</v>
      </c>
      <c r="H919" t="str">
        <v>10.26</v>
      </c>
      <c r="I919" t="str">
        <v>5.86</v>
      </c>
      <c r="J919" t="str">
        <v>2022/11</v>
      </c>
      <c r="K919" t="str">
        <f t="array" ref="K919:T919">[1]!'6655.TW-OperatingProfitRatio,Price,PriceChangeRatio,InOutRatioNumber,Value,YearReturn,MonthReturn,WeekReturn,FinanceBalanceDif,ChipsField2'</f>
        <v>21.44</v>
      </c>
      <c r="L919">
        <v>130.5</v>
      </c>
      <c r="M919">
        <v>0</v>
      </c>
      <c r="N919" t="str">
        <v>25.00%</v>
      </c>
      <c r="O919" t="str">
        <v>52.2萬</v>
      </c>
      <c r="P919" t="str">
        <v>+71.77</v>
      </c>
      <c r="Q919" t="str">
        <v>+0.38</v>
      </c>
      <c r="R919" t="str">
        <v>0.00</v>
      </c>
      <c r="S919">
        <v>0</v>
      </c>
      <c r="T919">
        <v>0</v>
      </c>
      <c r="U919">
        <f t="array" ref="U919:AD919">[1]!'6655.TW-ChipsField3,ChipsField1,ChipsField25,CashAndStockDividend,CashDividendYieldRate,ProfitFourSeason,ProfitSingle,CName,ExchangeIndustry,CompanyPos'</f>
        <v>0</v>
      </c>
      <c r="V919">
        <v>-3</v>
      </c>
      <c r="W919" t="str">
        <v>2022/04/28</v>
      </c>
      <c r="X919" t="str">
        <v>4.00</v>
      </c>
      <c r="Y919">
        <v>9.1999999999999993</v>
      </c>
      <c r="Z919" t="str">
        <v>7.62</v>
      </c>
      <c r="AA919" t="str">
        <v>1.57</v>
      </c>
      <c r="AB919" t="str">
        <v>科定</v>
      </c>
      <c r="AC919" t="str">
        <v>上市其他</v>
      </c>
      <c r="AD919" t="str">
        <v>主要從事木製板材之製造商</v>
      </c>
      <c r="AE919" t="str">
        <f t="array" ref="AE919:AH919">[1]!'6655.TW-CName,InvestorConferenceDate,DateofMeetingofShareHolders,TradingDate'</f>
        <v>科定</v>
      </c>
      <c r="AF919" t="str">
        <v>2022/10/27</v>
      </c>
      <c r="AG919" t="str">
        <v>2022/06/30</v>
      </c>
      <c r="AH919" t="str">
        <v>2022/12/22</v>
      </c>
    </row>
    <row r="920" spans="1:34" x14ac:dyDescent="0.3">
      <c r="A920" t="str">
        <f t="array" ref="A920:J920">[1]!'6670.TW-ID,Name,MarketValue,Capital,NetIncomeGrowthRate,OperIncomeGrowthRate,FinancialStatementsTime,TFXRatio,MonthlyNetSalesYoY,RevenueMonth'</f>
        <v>6670</v>
      </c>
      <c r="B920" t="str">
        <v>復盛應用</v>
      </c>
      <c r="C920" t="str">
        <v>281.1</v>
      </c>
      <c r="D920" t="str">
        <v>13.11</v>
      </c>
      <c r="E920" t="str">
        <v>109.99</v>
      </c>
      <c r="F920" t="str">
        <v>75.18</v>
      </c>
      <c r="G920" t="str">
        <v>2022/09</v>
      </c>
      <c r="H920" t="str">
        <v>-4.75</v>
      </c>
      <c r="I920" t="str">
        <v>34.72</v>
      </c>
      <c r="J920" t="str">
        <v>2022/11</v>
      </c>
      <c r="K920" t="str">
        <f t="array" ref="K920:T920">[1]!'6670.TW-OperatingProfitRatio,Price,PriceChangeRatio,InOutRatioNumber,Value,YearReturn,MonthReturn,WeekReturn,FinanceBalanceDif,ChipsField2'</f>
        <v>16.31</v>
      </c>
      <c r="L920">
        <v>214.5</v>
      </c>
      <c r="M920">
        <v>2.39</v>
      </c>
      <c r="N920" t="str">
        <v>43.78%</v>
      </c>
      <c r="O920" t="str">
        <v>1.24億</v>
      </c>
      <c r="P920" t="str">
        <v>+18.82</v>
      </c>
      <c r="Q920" t="str">
        <v>+2.63</v>
      </c>
      <c r="R920" t="str">
        <v>-3.38</v>
      </c>
      <c r="S920">
        <v>-36</v>
      </c>
      <c r="T920">
        <v>0</v>
      </c>
      <c r="U920">
        <f t="array" ref="U920:AD920">[1]!'6670.TW-ChipsField3,ChipsField1,ChipsField25,CashAndStockDividend,CashDividendYieldRate,ProfitFourSeason,ProfitSingle,CName,ExchangeIndustry,CompanyPos'</f>
        <v>-6</v>
      </c>
      <c r="V920">
        <v>19</v>
      </c>
      <c r="W920" t="str">
        <v>2022/07/20</v>
      </c>
      <c r="X920" t="str">
        <v>12.00</v>
      </c>
      <c r="Y920">
        <v>5.59</v>
      </c>
      <c r="Z920" t="str">
        <v>32.72</v>
      </c>
      <c r="AA920" t="str">
        <v>10.34</v>
      </c>
      <c r="AB920" t="str">
        <v>復盛應用</v>
      </c>
      <c r="AC920" t="str">
        <v>上市其他</v>
      </c>
      <c r="AD920" t="str">
        <v>全球最大之高爾夫球桿頭製造商</v>
      </c>
      <c r="AE920" t="str">
        <f t="array" ref="AE920:AH920">[1]!'6670.TW-CName,InvestorConferenceDate,DateofMeetingofShareHolders,TradingDate'</f>
        <v>復盛應用</v>
      </c>
      <c r="AF920" t="str">
        <v>2022/11/29</v>
      </c>
      <c r="AG920" t="str">
        <v>2022/06/21</v>
      </c>
      <c r="AH920" t="str">
        <v>2022/12/22</v>
      </c>
    </row>
    <row r="921" spans="1:34" x14ac:dyDescent="0.3">
      <c r="A921" t="str">
        <f t="array" ref="A921:J921">[1]!'6671.TW-ID,Name,MarketValue,Capital,NetIncomeGrowthRate,OperIncomeGrowthRate,FinancialStatementsTime,TFXRatio,MonthlyNetSalesYoY,RevenueMonth'</f>
        <v>6671</v>
      </c>
      <c r="B921" t="str">
        <v>三能-KY</v>
      </c>
      <c r="C921" t="str">
        <v>22.7</v>
      </c>
      <c r="D921" t="str">
        <v>6.08</v>
      </c>
      <c r="E921" t="str">
        <v>-39.13</v>
      </c>
      <c r="F921" t="str">
        <v>-30.65</v>
      </c>
      <c r="G921" t="str">
        <v>2022/09</v>
      </c>
      <c r="H921" t="str">
        <v>23.37</v>
      </c>
      <c r="I921" t="str">
        <v>-22.47</v>
      </c>
      <c r="J921" t="str">
        <v>2022/11</v>
      </c>
      <c r="K921" t="str">
        <f t="array" ref="K921:T921">[1]!'6671.TW-OperatingProfitRatio,Price,PriceChangeRatio,InOutRatioNumber,Value,YearReturn,MonthReturn,WeekReturn,FinanceBalanceDif,ChipsField2'</f>
        <v>9.67</v>
      </c>
      <c r="L921" t="str">
        <v>--</v>
      </c>
      <c r="M921" t="str">
        <v>--</v>
      </c>
      <c r="N921" t="str">
        <v>--</v>
      </c>
      <c r="O921" t="str">
        <v>--</v>
      </c>
      <c r="P921" t="str">
        <v>-16.99</v>
      </c>
      <c r="Q921" t="str">
        <v>-0.93</v>
      </c>
      <c r="R921" t="str">
        <v>-0.80</v>
      </c>
      <c r="S921">
        <v>-1</v>
      </c>
      <c r="T921">
        <v>0</v>
      </c>
      <c r="U921">
        <f t="array" ref="U921:AD921">[1]!'6671.TW-ChipsField3,ChipsField1,ChipsField25,CashAndStockDividend,CashDividendYieldRate,ProfitFourSeason,ProfitSingle,CName,ExchangeIndustry,CompanyPos'</f>
        <v>0</v>
      </c>
      <c r="V921">
        <v>0</v>
      </c>
      <c r="W921" t="str">
        <v>2022/08/02</v>
      </c>
      <c r="X921" t="str">
        <v>3.00</v>
      </c>
      <c r="Y921">
        <v>8.02</v>
      </c>
      <c r="Z921" t="str">
        <v>2.49</v>
      </c>
      <c r="AA921" t="str">
        <v>0.57</v>
      </c>
      <c r="AB921" t="str">
        <v>三能-KY</v>
      </c>
      <c r="AC921" t="str">
        <v>上市其他</v>
      </c>
      <c r="AD921" t="str">
        <v>專業烘培器具製造商</v>
      </c>
      <c r="AE921" t="str">
        <f t="array" ref="AE921:AH921">[1]!'6671.TW-CName,InvestorConferenceDate,DateofMeetingofShareHolders,TradingDate'</f>
        <v>三能-KY</v>
      </c>
      <c r="AF921" t="str">
        <v>2022/09/07</v>
      </c>
      <c r="AG921" t="str">
        <v>2022/06/22</v>
      </c>
      <c r="AH921" t="str">
        <v>2022/12/22</v>
      </c>
    </row>
    <row r="922" spans="1:34" x14ac:dyDescent="0.3">
      <c r="A922" t="str">
        <f t="array" ref="A922:J922">[1]!'6754.TW-ID,Name,MarketValue,Capital,NetIncomeGrowthRate,OperIncomeGrowthRate,FinancialStatementsTime,TFXRatio,MonthlyNetSalesYoY,RevenueMonth'</f>
        <v>6754</v>
      </c>
      <c r="B922" t="str">
        <v>匯僑設計</v>
      </c>
      <c r="C922" t="str">
        <v>31.1</v>
      </c>
      <c r="D922" t="str">
        <v>6.60</v>
      </c>
      <c r="E922" t="str">
        <v>94.03</v>
      </c>
      <c r="F922" t="str">
        <v>55.82</v>
      </c>
      <c r="G922" t="str">
        <v>2022/09</v>
      </c>
      <c r="H922" t="str">
        <v>-17.70</v>
      </c>
      <c r="I922" t="str">
        <v>3.87</v>
      </c>
      <c r="J922" t="str">
        <v>2022/11</v>
      </c>
      <c r="K922" t="str">
        <f t="array" ref="K922:T922">[1]!'6754.TW-OperatingProfitRatio,Price,PriceChangeRatio,InOutRatioNumber,Value,YearReturn,MonthReturn,WeekReturn,FinanceBalanceDif,ChipsField2'</f>
        <v>7.46</v>
      </c>
      <c r="L922">
        <v>47.05</v>
      </c>
      <c r="M922">
        <v>1.18</v>
      </c>
      <c r="N922" t="str">
        <v>80.30%</v>
      </c>
      <c r="O922" t="str">
        <v>309萬</v>
      </c>
      <c r="P922" t="str">
        <v>+25.22</v>
      </c>
      <c r="Q922" t="str">
        <v>-7.20</v>
      </c>
      <c r="R922" t="str">
        <v>-2.79</v>
      </c>
      <c r="S922">
        <v>-6</v>
      </c>
      <c r="T922">
        <v>0</v>
      </c>
      <c r="U922">
        <f t="array" ref="U922:AD922">[1]!'6754.TW-ChipsField3,ChipsField1,ChipsField25,CashAndStockDividend,CashDividendYieldRate,ProfitFourSeason,ProfitSingle,CName,ExchangeIndustry,CompanyPos'</f>
        <v>0</v>
      </c>
      <c r="V922">
        <v>-13</v>
      </c>
      <c r="W922" t="str">
        <v>2022/07/07</v>
      </c>
      <c r="X922" t="str">
        <v>3.50</v>
      </c>
      <c r="Y922">
        <v>7.44</v>
      </c>
      <c r="Z922" t="str">
        <v>5.06</v>
      </c>
      <c r="AA922" t="str">
        <v>1.70</v>
      </c>
      <c r="AB922" t="str">
        <v>匯僑設計</v>
      </c>
      <c r="AC922" t="str">
        <v>上市其他</v>
      </c>
      <c r="AD922" t="str">
        <v>主要從事建築室內設計及裝潢裝修工程</v>
      </c>
      <c r="AE922" t="str">
        <f t="array" ref="AE922:AH922">[1]!'6754.TW-CName,InvestorConferenceDate,DateofMeetingofShareHolders,TradingDate'</f>
        <v>匯僑設計</v>
      </c>
      <c r="AF922" t="str">
        <v>2022/11/24</v>
      </c>
      <c r="AG922" t="str">
        <v>2022/06/09</v>
      </c>
      <c r="AH922" t="str">
        <v>2022/12/22</v>
      </c>
    </row>
    <row r="923" spans="1:34" x14ac:dyDescent="0.3">
      <c r="A923" t="str">
        <f t="array" ref="A923:J923">[1]!'6768.TW-ID,Name,MarketValue,Capital,NetIncomeGrowthRate,OperIncomeGrowthRate,FinancialStatementsTime,TFXRatio,MonthlyNetSalesYoY,RevenueMonth'</f>
        <v>6768</v>
      </c>
      <c r="B923" t="str">
        <v>志強-KY</v>
      </c>
      <c r="C923" t="str">
        <v>143.7</v>
      </c>
      <c r="D923" t="str">
        <v>19.60</v>
      </c>
      <c r="E923" t="str">
        <v>190.23</v>
      </c>
      <c r="F923" t="str">
        <v>172.25</v>
      </c>
      <c r="G923" t="str">
        <v>2022/09</v>
      </c>
      <c r="H923" t="str">
        <v>-18.59</v>
      </c>
      <c r="I923" t="str">
        <v>45.41</v>
      </c>
      <c r="J923" t="str">
        <v>2022/11</v>
      </c>
      <c r="K923" t="str">
        <f t="array" ref="K923:T923">[1]!'6768.TW-OperatingProfitRatio,Price,PriceChangeRatio,InOutRatioNumber,Value,YearReturn,MonthReturn,WeekReturn,FinanceBalanceDif,ChipsField2'</f>
        <v>12.10</v>
      </c>
      <c r="L923">
        <v>73.3</v>
      </c>
      <c r="M923">
        <v>0.83</v>
      </c>
      <c r="N923" t="str">
        <v>57.14%</v>
      </c>
      <c r="O923" t="str">
        <v>6091萬</v>
      </c>
      <c r="P923" t="str">
        <v>+14.30</v>
      </c>
      <c r="Q923" t="str">
        <v>-10.17</v>
      </c>
      <c r="R923" t="str">
        <v>-3.04</v>
      </c>
      <c r="S923">
        <v>98</v>
      </c>
      <c r="T923">
        <v>0</v>
      </c>
      <c r="U923">
        <f t="array" ref="U923:AD923">[1]!'6768.TW-ChipsField3,ChipsField1,ChipsField25,CashAndStockDividend,CashDividendYieldRate,ProfitFourSeason,ProfitSingle,CName,ExchangeIndustry,CompanyPos'</f>
        <v>-4</v>
      </c>
      <c r="V923">
        <v>-2</v>
      </c>
      <c r="W923" t="str">
        <v>2022/06/23</v>
      </c>
      <c r="X923" t="str">
        <v>3.50</v>
      </c>
      <c r="Y923">
        <v>4.7699999999999996</v>
      </c>
      <c r="Z923" t="str">
        <v>8.26</v>
      </c>
      <c r="AA923" t="str">
        <v>3.36</v>
      </c>
      <c r="AB923" t="str">
        <v>志強-KY</v>
      </c>
      <c r="AC923" t="str">
        <v>上市其他</v>
      </c>
      <c r="AD923" t="str">
        <v>足球鞋製造龍頭大廠</v>
      </c>
      <c r="AE923" t="str">
        <f t="array" ref="AE923:AH923">[1]!'6768.TW-CName,InvestorConferenceDate,DateofMeetingofShareHolders,TradingDate'</f>
        <v>志強-KY</v>
      </c>
      <c r="AF923" t="str">
        <v>2022/11/23</v>
      </c>
      <c r="AG923" t="str">
        <v>2022/05/27</v>
      </c>
      <c r="AH923" t="str">
        <v>2022/12/22</v>
      </c>
    </row>
    <row r="924" spans="1:34" x14ac:dyDescent="0.3">
      <c r="A924" t="str">
        <f t="array" ref="A924:J924">[1]!'6806.TW-ID,Name,MarketValue,Capital,NetIncomeGrowthRate,OperIncomeGrowthRate,FinancialStatementsTime,TFXRatio,MonthlyNetSalesYoY,RevenueMonth'</f>
        <v>6806</v>
      </c>
      <c r="B924" t="str">
        <v>森崴能源</v>
      </c>
      <c r="C924" t="str">
        <v>178.1</v>
      </c>
      <c r="D924" t="str">
        <v>21.62</v>
      </c>
      <c r="E924" t="str">
        <v>-58.13</v>
      </c>
      <c r="F924" t="str">
        <v>-71.75</v>
      </c>
      <c r="G924" t="str">
        <v>2022/09</v>
      </c>
      <c r="H924" t="str">
        <v>5.18</v>
      </c>
      <c r="I924" t="str">
        <v>-53.98</v>
      </c>
      <c r="J924" t="str">
        <v>2022/11</v>
      </c>
      <c r="K924" t="str">
        <f t="array" ref="K924:T924">[1]!'6806.TW-OperatingProfitRatio,Price,PriceChangeRatio,InOutRatioNumber,Value,YearReturn,MonthReturn,WeekReturn,FinanceBalanceDif,ChipsField2'</f>
        <v>4.40</v>
      </c>
      <c r="L924">
        <v>82.4</v>
      </c>
      <c r="M924">
        <v>0.12</v>
      </c>
      <c r="N924" t="str">
        <v>51.04%</v>
      </c>
      <c r="O924" t="str">
        <v>11.2億</v>
      </c>
      <c r="P924" t="str">
        <v>-19.20</v>
      </c>
      <c r="Q924" t="str">
        <v>+33.33</v>
      </c>
      <c r="R924" t="str">
        <v>+1.23</v>
      </c>
      <c r="S924">
        <v>544</v>
      </c>
      <c r="T924">
        <v>0</v>
      </c>
      <c r="U924">
        <f t="array" ref="U924:AD924">[1]!'6806.TW-ChipsField3,ChipsField1,ChipsField25,CashAndStockDividend,CashDividendYieldRate,ProfitFourSeason,ProfitSingle,CName,ExchangeIndustry,CompanyPos'</f>
        <v>-16</v>
      </c>
      <c r="V924">
        <v>-841</v>
      </c>
      <c r="W924" t="str">
        <v>2022/08/26</v>
      </c>
      <c r="X924" t="str">
        <v>2.00</v>
      </c>
      <c r="Y924">
        <v>2.4300000000000002</v>
      </c>
      <c r="Z924" t="str">
        <v>1.60</v>
      </c>
      <c r="AA924" t="str">
        <v>0.16</v>
      </c>
      <c r="AB924" t="str">
        <v>森崴能源</v>
      </c>
      <c r="AC924" t="str">
        <v>上市其他</v>
      </c>
      <c r="AD924" t="str">
        <v>正崴集團旗下提供能源工程及整合服務</v>
      </c>
      <c r="AE924" t="str">
        <f t="array" ref="AE924:AH924">[1]!'6806.TW-CName,InvestorConferenceDate,DateofMeetingofShareHolders,TradingDate'</f>
        <v>森崴能源</v>
      </c>
      <c r="AF924" t="str">
        <v>2022/11/30</v>
      </c>
      <c r="AG924" t="str">
        <v>2022/06/15</v>
      </c>
      <c r="AH924" t="str">
        <v>2022/12/22</v>
      </c>
    </row>
    <row r="925" spans="1:34" x14ac:dyDescent="0.3">
      <c r="A925" t="str">
        <f t="array" ref="A925:J925">[1]!'6807.TW-ID,Name,MarketValue,Capital,NetIncomeGrowthRate,OperIncomeGrowthRate,FinancialStatementsTime,TFXRatio,MonthlyNetSalesYoY,RevenueMonth'</f>
        <v>6807</v>
      </c>
      <c r="B925" t="str">
        <v>峰源-KY</v>
      </c>
      <c r="C925" t="str">
        <v>13.5</v>
      </c>
      <c r="D925" t="str">
        <v>5.40</v>
      </c>
      <c r="E925" t="str">
        <v>-40.73</v>
      </c>
      <c r="F925" t="str">
        <v>-84.42</v>
      </c>
      <c r="G925" t="str">
        <v>2022/09</v>
      </c>
      <c r="H925" t="str">
        <v>1.98</v>
      </c>
      <c r="I925" t="str">
        <v>-31.12</v>
      </c>
      <c r="J925" t="str">
        <v>2022/11</v>
      </c>
      <c r="K925" t="str">
        <f t="array" ref="K925:T925">[1]!'6807.TW-OperatingProfitRatio,Price,PriceChangeRatio,InOutRatioNumber,Value,YearReturn,MonthReturn,WeekReturn,FinanceBalanceDif,ChipsField2'</f>
        <v>0.98</v>
      </c>
      <c r="L925">
        <v>25</v>
      </c>
      <c r="M925">
        <v>1.63</v>
      </c>
      <c r="N925" t="str">
        <v>62.50%</v>
      </c>
      <c r="O925" t="str">
        <v>40.0萬</v>
      </c>
      <c r="P925" t="str">
        <v>--</v>
      </c>
      <c r="Q925" t="str">
        <v>-3.66</v>
      </c>
      <c r="R925" t="str">
        <v>-0.79</v>
      </c>
      <c r="S925">
        <v>0</v>
      </c>
      <c r="T925">
        <v>0</v>
      </c>
      <c r="U925">
        <f t="array" ref="U925:AD925">[1]!'6807.TW-ChipsField3,ChipsField1,ChipsField25,CashAndStockDividend,CashDividendYieldRate,ProfitFourSeason,ProfitSingle,CName,ExchangeIndustry,CompanyPos'</f>
        <v>0</v>
      </c>
      <c r="V925">
        <v>0</v>
      </c>
      <c r="W925" t="str">
        <v>2022/07/18</v>
      </c>
      <c r="X925" t="str">
        <v>2.37</v>
      </c>
      <c r="Y925">
        <v>9.48</v>
      </c>
      <c r="Z925" t="str">
        <v>2.73</v>
      </c>
      <c r="AA925" t="str">
        <v>1.12</v>
      </c>
      <c r="AB925" t="str">
        <v>峰源-KY</v>
      </c>
      <c r="AC925" t="str">
        <v>上市其他</v>
      </c>
      <c r="AD925" t="str">
        <v>室內傢俱研發生產銷售商</v>
      </c>
      <c r="AE925" t="str">
        <f t="array" ref="AE925:AH925">[1]!'6807.TW-CName,InvestorConferenceDate,DateofMeetingofShareHolders,TradingDate'</f>
        <v>峰源-KY</v>
      </c>
      <c r="AF925" t="str">
        <v>2022/03/23</v>
      </c>
      <c r="AG925" t="str">
        <v>2022/06/28</v>
      </c>
      <c r="AH925" t="str">
        <v>2022/12/22</v>
      </c>
    </row>
    <row r="926" spans="1:34" x14ac:dyDescent="0.3">
      <c r="A926" t="str">
        <f t="array" ref="A926:J926">[1]!'8033.TW-ID,Name,MarketValue,Capital,NetIncomeGrowthRate,OperIncomeGrowthRate,FinancialStatementsTime,TFXRatio,MonthlyNetSalesYoY,RevenueMonth'</f>
        <v>8033</v>
      </c>
      <c r="B926" t="str">
        <v>雷虎</v>
      </c>
      <c r="C926" t="str">
        <v>56.7</v>
      </c>
      <c r="D926" t="str">
        <v>13.26</v>
      </c>
      <c r="E926" t="str">
        <v>-24.80</v>
      </c>
      <c r="F926" t="str">
        <v>-93.31</v>
      </c>
      <c r="G926" t="str">
        <v>2022/09</v>
      </c>
      <c r="H926" t="str">
        <v>2.73</v>
      </c>
      <c r="I926" t="str">
        <v>13.82</v>
      </c>
      <c r="J926" t="str">
        <v>2022/11</v>
      </c>
      <c r="K926" t="str">
        <f t="array" ref="K926:T926">[1]!'8033.TW-OperatingProfitRatio,Price,PriceChangeRatio,InOutRatioNumber,Value,YearReturn,MonthReturn,WeekReturn,FinanceBalanceDif,ChipsField2'</f>
        <v>0.68</v>
      </c>
      <c r="L926">
        <v>42.75</v>
      </c>
      <c r="M926">
        <v>2.27</v>
      </c>
      <c r="N926" t="str">
        <v>46.42%</v>
      </c>
      <c r="O926" t="str">
        <v>3.30億</v>
      </c>
      <c r="P926" t="str">
        <v>+150.00</v>
      </c>
      <c r="Q926" t="str">
        <v>-7.07</v>
      </c>
      <c r="R926" t="str">
        <v>+3.64</v>
      </c>
      <c r="S926">
        <v>0</v>
      </c>
      <c r="T926">
        <v>0</v>
      </c>
      <c r="U926">
        <f t="array" ref="U926:AD926">[1]!'8033.TW-ChipsField3,ChipsField1,ChipsField25,CashAndStockDividend,CashDividendYieldRate,ProfitFourSeason,ProfitSingle,CName,ExchangeIndustry,CompanyPos'</f>
        <v>0</v>
      </c>
      <c r="V926">
        <v>103</v>
      </c>
      <c r="W926" t="str">
        <v>--</v>
      </c>
      <c r="X926" t="str">
        <v>0.00</v>
      </c>
      <c r="Y926">
        <v>0</v>
      </c>
      <c r="Z926" t="str">
        <v>0.01</v>
      </c>
      <c r="AA926" t="str">
        <v>0.08</v>
      </c>
      <c r="AB926" t="str">
        <v>雷虎</v>
      </c>
      <c r="AC926" t="str">
        <v>上市其他</v>
      </c>
      <c r="AD926" t="str">
        <v>全球前五大遙控模型玩具廠</v>
      </c>
      <c r="AE926" t="str">
        <f t="array" ref="AE926:AH926">[1]!'8033.TW-CName,InvestorConferenceDate,DateofMeetingofShareHolders,TradingDate'</f>
        <v>雷虎</v>
      </c>
      <c r="AF926" t="str">
        <v>2022/12/15</v>
      </c>
      <c r="AG926" t="str">
        <v>2022/06/09</v>
      </c>
      <c r="AH926" t="str">
        <v>2022/12/22</v>
      </c>
    </row>
    <row r="927" spans="1:34" x14ac:dyDescent="0.3">
      <c r="A927" t="str">
        <f t="array" ref="A927:J927">[1]!'8341.TW-ID,Name,MarketValue,Capital,NetIncomeGrowthRate,OperIncomeGrowthRate,FinancialStatementsTime,TFXRatio,MonthlyNetSalesYoY,RevenueMonth'</f>
        <v>8341</v>
      </c>
      <c r="B927" t="str">
        <v>日友</v>
      </c>
      <c r="C927" t="str">
        <v>195.7</v>
      </c>
      <c r="D927" t="str">
        <v>11.15</v>
      </c>
      <c r="E927" t="str">
        <v>2.43</v>
      </c>
      <c r="F927" t="str">
        <v>1.14</v>
      </c>
      <c r="G927" t="str">
        <v>2022/09</v>
      </c>
      <c r="H927" t="str">
        <v>22.06</v>
      </c>
      <c r="I927" t="str">
        <v>17.41</v>
      </c>
      <c r="J927" t="str">
        <v>2022/11</v>
      </c>
      <c r="K927" t="str">
        <f t="array" ref="K927:T927">[1]!'8341.TW-OperatingProfitRatio,Price,PriceChangeRatio,InOutRatioNumber,Value,YearReturn,MonthReturn,WeekReturn,FinanceBalanceDif,ChipsField2'</f>
        <v>30.88</v>
      </c>
      <c r="L927">
        <v>175.5</v>
      </c>
      <c r="M927">
        <v>1.1499999999999999</v>
      </c>
      <c r="N927" t="str">
        <v>43.16%</v>
      </c>
      <c r="O927" t="str">
        <v>3.12億</v>
      </c>
      <c r="P927" t="str">
        <v>-8.79</v>
      </c>
      <c r="Q927" t="str">
        <v>+28.10</v>
      </c>
      <c r="R927" t="str">
        <v>+3.24</v>
      </c>
      <c r="S927">
        <v>209</v>
      </c>
      <c r="T927">
        <v>30</v>
      </c>
      <c r="U927">
        <f t="array" ref="U927:AD927">[1]!'8341.TW-ChipsField3,ChipsField1,ChipsField25,CashAndStockDividend,CashDividendYieldRate,ProfitFourSeason,ProfitSingle,CName,ExchangeIndustry,CompanyPos'</f>
        <v>-29</v>
      </c>
      <c r="V927">
        <v>-157</v>
      </c>
      <c r="W927" t="str">
        <v>2022/06/16</v>
      </c>
      <c r="X927" t="str">
        <v>8.00</v>
      </c>
      <c r="Y927">
        <v>4.5599999999999996</v>
      </c>
      <c r="Z927" t="str">
        <v>8.62</v>
      </c>
      <c r="AA927" t="str">
        <v>1.69</v>
      </c>
      <c r="AB927" t="str">
        <v>日友</v>
      </c>
      <c r="AC927" t="str">
        <v>上市其他</v>
      </c>
      <c r="AD927" t="str">
        <v>潤泰新轉投資之台灣最大醫療廢棄物處理廠商之一</v>
      </c>
      <c r="AE927" t="str">
        <f t="array" ref="AE927:AH927">[1]!'8341.TW-CName,InvestorConferenceDate,DateofMeetingofShareHolders,TradingDate'</f>
        <v>日友</v>
      </c>
      <c r="AF927" t="str">
        <v>2022/08/11</v>
      </c>
      <c r="AG927" t="str">
        <v>2022/05/27</v>
      </c>
      <c r="AH927" t="str">
        <v>2022/12/22</v>
      </c>
    </row>
    <row r="928" spans="1:34" x14ac:dyDescent="0.3">
      <c r="A928" t="str">
        <f t="array" ref="A928:J928">[1]!'8404.TW-ID,Name,MarketValue,Capital,NetIncomeGrowthRate,OperIncomeGrowthRate,FinancialStatementsTime,TFXRatio,MonthlyNetSalesYoY,RevenueMonth'</f>
        <v>8404</v>
      </c>
      <c r="B928" t="str">
        <v>百和興業-KY</v>
      </c>
      <c r="C928" t="str">
        <v>82.6</v>
      </c>
      <c r="D928" t="str">
        <v>31.52</v>
      </c>
      <c r="E928" t="str">
        <v>-43.49</v>
      </c>
      <c r="F928" t="str">
        <v>-46.96</v>
      </c>
      <c r="G928" t="str">
        <v>2022/09</v>
      </c>
      <c r="H928" t="str">
        <v>-13.85</v>
      </c>
      <c r="I928" t="str">
        <v>-43.25</v>
      </c>
      <c r="J928" t="str">
        <v>2022/11</v>
      </c>
      <c r="K928" t="str">
        <f t="array" ref="K928:T928">[1]!'8404.TW-OperatingProfitRatio,Price,PriceChangeRatio,InOutRatioNumber,Value,YearReturn,MonthReturn,WeekReturn,FinanceBalanceDif,ChipsField2'</f>
        <v>14.72</v>
      </c>
      <c r="L928">
        <v>26.2</v>
      </c>
      <c r="M928">
        <v>0</v>
      </c>
      <c r="N928" t="str">
        <v>38.96%</v>
      </c>
      <c r="O928" t="str">
        <v>205萬</v>
      </c>
      <c r="P928" t="str">
        <v>-16.64</v>
      </c>
      <c r="Q928" t="str">
        <v>-1.69</v>
      </c>
      <c r="R928" t="str">
        <v>-4.38</v>
      </c>
      <c r="S928">
        <v>1</v>
      </c>
      <c r="T928">
        <v>0</v>
      </c>
      <c r="U928">
        <f t="array" ref="U928:AD928">[1]!'8404.TW-ChipsField3,ChipsField1,ChipsField25,CashAndStockDividend,CashDividendYieldRate,ProfitFourSeason,ProfitSingle,CName,ExchangeIndustry,CompanyPos'</f>
        <v>-7</v>
      </c>
      <c r="V928">
        <v>4</v>
      </c>
      <c r="W928" t="str">
        <v>2022/08/02</v>
      </c>
      <c r="X928" t="str">
        <v>2.50</v>
      </c>
      <c r="Y928">
        <v>9.5399999999999991</v>
      </c>
      <c r="Z928" t="str">
        <v>2.63</v>
      </c>
      <c r="AA928" t="str">
        <v>0.36</v>
      </c>
      <c r="AB928" t="str">
        <v>百和興業-KY</v>
      </c>
      <c r="AC928" t="str">
        <v>上市其他</v>
      </c>
      <c r="AD928" t="str">
        <v>全球最大黏扣帶製造商</v>
      </c>
      <c r="AE928" t="str">
        <f t="array" ref="AE928:AH928">[1]!'8404.TW-CName,InvestorConferenceDate,DateofMeetingofShareHolders,TradingDate'</f>
        <v>百和興業-KY</v>
      </c>
      <c r="AF928" t="str">
        <v>2022/04/14</v>
      </c>
      <c r="AG928" t="str">
        <v>2022/06/22</v>
      </c>
      <c r="AH928" t="str">
        <v>2022/12/22</v>
      </c>
    </row>
    <row r="929" spans="1:34" x14ac:dyDescent="0.3">
      <c r="A929" t="str">
        <f t="array" ref="A929:J929">[1]!'8411.TW-ID,Name,MarketValue,Capital,NetIncomeGrowthRate,OperIncomeGrowthRate,FinancialStatementsTime,TFXRatio,MonthlyNetSalesYoY,RevenueMonth'</f>
        <v>8411</v>
      </c>
      <c r="B929" t="str">
        <v>福貞-KY</v>
      </c>
      <c r="C929" t="str">
        <v>28.8</v>
      </c>
      <c r="D929" t="str">
        <v>21.84</v>
      </c>
      <c r="E929" t="str">
        <v>-441.99</v>
      </c>
      <c r="F929" t="str">
        <v>-92.87</v>
      </c>
      <c r="G929" t="str">
        <v>2022/09</v>
      </c>
      <c r="H929" t="str">
        <v>14.81</v>
      </c>
      <c r="I929" t="str">
        <v>-4.30</v>
      </c>
      <c r="J929" t="str">
        <v>2022/11</v>
      </c>
      <c r="K929" t="str">
        <f t="array" ref="K929:T929">[1]!'8411.TW-OperatingProfitRatio,Price,PriceChangeRatio,InOutRatioNumber,Value,YearReturn,MonthReturn,WeekReturn,FinanceBalanceDif,ChipsField2'</f>
        <v>0.17</v>
      </c>
      <c r="L929">
        <v>13.2</v>
      </c>
      <c r="M929">
        <v>0.38</v>
      </c>
      <c r="N929" t="str">
        <v>65.93%</v>
      </c>
      <c r="O929" t="str">
        <v>119萬</v>
      </c>
      <c r="P929" t="str">
        <v>-15.68</v>
      </c>
      <c r="Q929" t="str">
        <v>+3.12</v>
      </c>
      <c r="R929" t="str">
        <v>+0.38</v>
      </c>
      <c r="S929">
        <v>-5</v>
      </c>
      <c r="T929">
        <v>0</v>
      </c>
      <c r="U929">
        <f t="array" ref="U929:AD929">[1]!'8411.TW-ChipsField3,ChipsField1,ChipsField25,CashAndStockDividend,CashDividendYieldRate,ProfitFourSeason,ProfitSingle,CName,ExchangeIndustry,CompanyPos'</f>
        <v>-149</v>
      </c>
      <c r="V929">
        <v>-9</v>
      </c>
      <c r="W929" t="str">
        <v>2022/07/26</v>
      </c>
      <c r="X929" t="str">
        <v>0.40</v>
      </c>
      <c r="Y929">
        <v>3.03</v>
      </c>
      <c r="Z929" t="str">
        <v>-0.45</v>
      </c>
      <c r="AA929" t="str">
        <v>-1.18</v>
      </c>
      <c r="AB929" t="str">
        <v>福貞-KY</v>
      </c>
      <c r="AC929" t="str">
        <v>上市其他</v>
      </c>
      <c r="AD929" t="str">
        <v>大陸專業金屬包裝產品供應大廠</v>
      </c>
      <c r="AE929" t="str">
        <f t="array" ref="AE929:AH929">[1]!'8411.TW-CName,InvestorConferenceDate,DateofMeetingofShareHolders,TradingDate'</f>
        <v>福貞-KY</v>
      </c>
      <c r="AF929" t="str">
        <v>2022/11/17</v>
      </c>
      <c r="AG929" t="str">
        <v>2022/06/22</v>
      </c>
      <c r="AH929" t="str">
        <v>2022/12/22</v>
      </c>
    </row>
    <row r="930" spans="1:34" x14ac:dyDescent="0.3">
      <c r="A930" t="str">
        <f t="array" ref="A930:J930">[1]!'8422.TW-ID,Name,MarketValue,Capital,NetIncomeGrowthRate,OperIncomeGrowthRate,FinancialStatementsTime,TFXRatio,MonthlyNetSalesYoY,RevenueMonth'</f>
        <v>8422</v>
      </c>
      <c r="B930" t="str">
        <v>可寧衛</v>
      </c>
      <c r="C930" t="str">
        <v>193.3</v>
      </c>
      <c r="D930" t="str">
        <v>10.89</v>
      </c>
      <c r="E930" t="str">
        <v>3.92</v>
      </c>
      <c r="F930" t="str">
        <v>3.55</v>
      </c>
      <c r="G930" t="str">
        <v>2022/09</v>
      </c>
      <c r="H930" t="str">
        <v>19.77</v>
      </c>
      <c r="I930" t="str">
        <v>82.26</v>
      </c>
      <c r="J930" t="str">
        <v>2022/11</v>
      </c>
      <c r="K930" t="str">
        <f t="array" ref="K930:T930">[1]!'8422.TW-OperatingProfitRatio,Price,PriceChangeRatio,InOutRatioNumber,Value,YearReturn,MonthReturn,WeekReturn,FinanceBalanceDif,ChipsField2'</f>
        <v>31.86</v>
      </c>
      <c r="L930">
        <v>177.5</v>
      </c>
      <c r="M930">
        <v>0.28000000000000003</v>
      </c>
      <c r="N930" t="str">
        <v>35.90%</v>
      </c>
      <c r="O930" t="str">
        <v>1386萬</v>
      </c>
      <c r="P930" t="str">
        <v>-19.98</v>
      </c>
      <c r="Q930" t="str">
        <v>+4.72</v>
      </c>
      <c r="R930" t="str">
        <v>-2.20</v>
      </c>
      <c r="S930">
        <v>-7</v>
      </c>
      <c r="T930">
        <v>0</v>
      </c>
      <c r="U930">
        <f t="array" ref="U930:AD930">[1]!'8422.TW-ChipsField3,ChipsField1,ChipsField25,CashAndStockDividend,CashDividendYieldRate,ProfitFourSeason,ProfitSingle,CName,ExchangeIndustry,CompanyPos'</f>
        <v>-11</v>
      </c>
      <c r="V930">
        <v>1</v>
      </c>
      <c r="W930" t="str">
        <v>2022/06/06</v>
      </c>
      <c r="X930" t="str">
        <v>10.00</v>
      </c>
      <c r="Y930">
        <v>5.63</v>
      </c>
      <c r="Z930" t="str">
        <v>10.95</v>
      </c>
      <c r="AA930" t="str">
        <v>3.09</v>
      </c>
      <c r="AB930" t="str">
        <v>可寧衛</v>
      </c>
      <c r="AC930" t="str">
        <v>上市其他</v>
      </c>
      <c r="AD930" t="str">
        <v>台灣最大重金屬廢棄物固化處理廠</v>
      </c>
      <c r="AE930" t="str">
        <f t="array" ref="AE930:AH930">[1]!'8422.TW-CName,InvestorConferenceDate,DateofMeetingofShareHolders,TradingDate'</f>
        <v>可寧衛</v>
      </c>
      <c r="AF930" t="str">
        <v>2022/12/07</v>
      </c>
      <c r="AG930" t="str">
        <v>2022/05/27</v>
      </c>
      <c r="AH930" t="str">
        <v>2022/12/22</v>
      </c>
    </row>
    <row r="931" spans="1:34" x14ac:dyDescent="0.3">
      <c r="A931" t="str">
        <f t="array" ref="A931:J931">[1]!'8438.TW-ID,Name,MarketValue,Capital,NetIncomeGrowthRate,OperIncomeGrowthRate,FinancialStatementsTime,TFXRatio,MonthlyNetSalesYoY,RevenueMonth'</f>
        <v>8438</v>
      </c>
      <c r="B931" t="str">
        <v>昶昕</v>
      </c>
      <c r="C931" t="str">
        <v>17.5</v>
      </c>
      <c r="D931" t="str">
        <v>7.05</v>
      </c>
      <c r="E931" t="str">
        <v>-43.80</v>
      </c>
      <c r="F931" t="str">
        <v>-57.31</v>
      </c>
      <c r="G931" t="str">
        <v>2022/09</v>
      </c>
      <c r="H931" t="str">
        <v>11.16</v>
      </c>
      <c r="I931" t="str">
        <v>-26.27</v>
      </c>
      <c r="J931" t="str">
        <v>2022/11</v>
      </c>
      <c r="K931" t="str">
        <f t="array" ref="K931:T931">[1]!'8438.TW-OperatingProfitRatio,Price,PriceChangeRatio,InOutRatioNumber,Value,YearReturn,MonthReturn,WeekReturn,FinanceBalanceDif,ChipsField2'</f>
        <v>2.92</v>
      </c>
      <c r="L931">
        <v>24.85</v>
      </c>
      <c r="M931">
        <v>1.22</v>
      </c>
      <c r="N931" t="str">
        <v>45.45%</v>
      </c>
      <c r="O931" t="str">
        <v>27.6萬</v>
      </c>
      <c r="P931" t="str">
        <v>--</v>
      </c>
      <c r="Q931" t="str">
        <v>-6.05</v>
      </c>
      <c r="R931" t="str">
        <v>-4.42</v>
      </c>
      <c r="S931">
        <v>1</v>
      </c>
      <c r="T931">
        <v>0</v>
      </c>
      <c r="U931">
        <f t="array" ref="U931:AD931">[1]!'8438.TW-ChipsField3,ChipsField1,ChipsField25,CashAndStockDividend,CashDividendYieldRate,ProfitFourSeason,ProfitSingle,CName,ExchangeIndustry,CompanyPos'</f>
        <v>0</v>
      </c>
      <c r="V931">
        <v>0</v>
      </c>
      <c r="W931" t="str">
        <v>2022/06/09</v>
      </c>
      <c r="X931" t="str">
        <v>2.00</v>
      </c>
      <c r="Y931">
        <v>8.0500000000000007</v>
      </c>
      <c r="Z931" t="str">
        <v>2.20</v>
      </c>
      <c r="AA931" t="str">
        <v>0.15</v>
      </c>
      <c r="AB931" t="str">
        <v>昶昕</v>
      </c>
      <c r="AC931" t="str">
        <v>上市其他</v>
      </c>
      <c r="AD931" t="str">
        <v>台灣主要PCB廢液處理商，市佔超過8成</v>
      </c>
      <c r="AE931" t="str">
        <f t="array" ref="AE931:AH931">[1]!'8438.TW-CName,InvestorConferenceDate,DateofMeetingofShareHolders,TradingDate'</f>
        <v>昶昕</v>
      </c>
      <c r="AF931" t="str">
        <v>2022/12/14</v>
      </c>
      <c r="AG931" t="str">
        <v>2022/05/24</v>
      </c>
      <c r="AH931" t="str">
        <v>2022/12/22</v>
      </c>
    </row>
    <row r="932" spans="1:34" x14ac:dyDescent="0.3">
      <c r="A932" t="str">
        <f t="array" ref="A932:J932">[1]!'8442.TW-ID,Name,MarketValue,Capital,NetIncomeGrowthRate,OperIncomeGrowthRate,FinancialStatementsTime,TFXRatio,MonthlyNetSalesYoY,RevenueMonth'</f>
        <v>8442</v>
      </c>
      <c r="B932" t="str">
        <v>威宏-KY</v>
      </c>
      <c r="C932" t="str">
        <v>45.1</v>
      </c>
      <c r="D932" t="str">
        <v>6.00</v>
      </c>
      <c r="E932" t="str">
        <v>2686.61</v>
      </c>
      <c r="F932" t="str">
        <v>100341.00</v>
      </c>
      <c r="G932" t="str">
        <v>2022/09</v>
      </c>
      <c r="H932" t="str">
        <v>-8.08</v>
      </c>
      <c r="I932" t="str">
        <v>27.14</v>
      </c>
      <c r="J932" t="str">
        <v>2022/11</v>
      </c>
      <c r="K932" t="str">
        <f t="array" ref="K932:T932">[1]!'8442.TW-OperatingProfitRatio,Price,PriceChangeRatio,InOutRatioNumber,Value,YearReturn,MonthReturn,WeekReturn,FinanceBalanceDif,ChipsField2'</f>
        <v>7.83</v>
      </c>
      <c r="L932">
        <v>75.2</v>
      </c>
      <c r="M932">
        <v>0.8</v>
      </c>
      <c r="N932" t="str">
        <v>56.25%</v>
      </c>
      <c r="O932" t="str">
        <v>120萬</v>
      </c>
      <c r="P932" t="str">
        <v>+73.88</v>
      </c>
      <c r="Q932" t="str">
        <v>+3.34</v>
      </c>
      <c r="R932" t="str">
        <v>0.00</v>
      </c>
      <c r="S932">
        <v>4</v>
      </c>
      <c r="T932">
        <v>0</v>
      </c>
      <c r="U932">
        <f t="array" ref="U932:AD932">[1]!'8442.TW-ChipsField3,ChipsField1,ChipsField25,CashAndStockDividend,CashDividendYieldRate,ProfitFourSeason,ProfitSingle,CName,ExchangeIndustry,CompanyPos'</f>
        <v>1</v>
      </c>
      <c r="V932">
        <v>-3</v>
      </c>
      <c r="W932" t="str">
        <v>2022/12/06</v>
      </c>
      <c r="X932" t="str">
        <v>1.00</v>
      </c>
      <c r="Y932">
        <v>1.33</v>
      </c>
      <c r="Z932" t="str">
        <v>9.05</v>
      </c>
      <c r="AA932" t="str">
        <v>3.42</v>
      </c>
      <c r="AB932" t="str">
        <v>威宏-KY</v>
      </c>
      <c r="AC932" t="str">
        <v>上市其他</v>
      </c>
      <c r="AD932" t="str">
        <v>為全球知名運動用品及精品包袋代工製造商</v>
      </c>
      <c r="AE932" t="str">
        <f t="array" ref="AE932:AH932">[1]!'8442.TW-CName,InvestorConferenceDate,DateofMeetingofShareHolders,TradingDate'</f>
        <v>威宏-KY</v>
      </c>
      <c r="AF932" t="str">
        <v>2022/12/06</v>
      </c>
      <c r="AG932" t="str">
        <v>2022/06/23</v>
      </c>
      <c r="AH932" t="str">
        <v>2022/12/22</v>
      </c>
    </row>
    <row r="933" spans="1:34" x14ac:dyDescent="0.3">
      <c r="A933" t="str">
        <f t="array" ref="A933:J933">[1]!'8463.TW-ID,Name,MarketValue,Capital,NetIncomeGrowthRate,OperIncomeGrowthRate,FinancialStatementsTime,TFXRatio,MonthlyNetSalesYoY,RevenueMonth'</f>
        <v>8463</v>
      </c>
      <c r="B933" t="str">
        <v>潤泰材</v>
      </c>
      <c r="C933" t="str">
        <v>35.4</v>
      </c>
      <c r="D933" t="str">
        <v>15.00</v>
      </c>
      <c r="E933" t="str">
        <v>165.85</v>
      </c>
      <c r="F933" t="str">
        <v>24.80</v>
      </c>
      <c r="G933" t="str">
        <v>2022/09</v>
      </c>
      <c r="H933" t="str">
        <v>10.46</v>
      </c>
      <c r="I933" t="str">
        <v>83.82</v>
      </c>
      <c r="J933" t="str">
        <v>2022/11</v>
      </c>
      <c r="K933" t="str">
        <f t="array" ref="K933:T933">[1]!'8463.TW-OperatingProfitRatio,Price,PriceChangeRatio,InOutRatioNumber,Value,YearReturn,MonthReturn,WeekReturn,FinanceBalanceDif,ChipsField2'</f>
        <v>2.41</v>
      </c>
      <c r="L933">
        <v>23.6</v>
      </c>
      <c r="M933">
        <v>0.85</v>
      </c>
      <c r="N933" t="str">
        <v>36.62%</v>
      </c>
      <c r="O933" t="str">
        <v>168萬</v>
      </c>
      <c r="P933" t="str">
        <v>-24.36</v>
      </c>
      <c r="Q933" t="str">
        <v>+15.40</v>
      </c>
      <c r="R933" t="str">
        <v>-4.65</v>
      </c>
      <c r="S933">
        <v>8</v>
      </c>
      <c r="T933">
        <v>0</v>
      </c>
      <c r="U933">
        <f t="array" ref="U933:AD933">[1]!'8463.TW-ChipsField3,ChipsField1,ChipsField25,CashAndStockDividend,CashDividendYieldRate,ProfitFourSeason,ProfitSingle,CName,ExchangeIndustry,CompanyPos'</f>
        <v>0</v>
      </c>
      <c r="V933">
        <v>-3</v>
      </c>
      <c r="W933" t="str">
        <v>--</v>
      </c>
      <c r="X933" t="str">
        <v>0.00</v>
      </c>
      <c r="Y933">
        <v>0</v>
      </c>
      <c r="Z933" t="str">
        <v>-0.15</v>
      </c>
      <c r="AA933" t="str">
        <v>0.42</v>
      </c>
      <c r="AB933" t="str">
        <v>潤泰材</v>
      </c>
      <c r="AC933" t="str">
        <v>上市其他</v>
      </c>
      <c r="AD933" t="str">
        <v>潤泰集團旗下水泥及預拌式泥作材料大廠</v>
      </c>
      <c r="AE933" t="str">
        <f t="array" ref="AE933:AH933">[1]!'8463.TW-CName,InvestorConferenceDate,DateofMeetingofShareHolders,TradingDate'</f>
        <v>潤泰材</v>
      </c>
      <c r="AF933" t="str">
        <v>2022/12/27</v>
      </c>
      <c r="AG933" t="str">
        <v>2022/05/31</v>
      </c>
      <c r="AH933" t="str">
        <v>2022/12/22</v>
      </c>
    </row>
    <row r="934" spans="1:34" x14ac:dyDescent="0.3">
      <c r="A934" t="str">
        <f t="array" ref="A934:J934">[1]!'8464.TW-ID,Name,MarketValue,Capital,NetIncomeGrowthRate,OperIncomeGrowthRate,FinancialStatementsTime,TFXRatio,MonthlyNetSalesYoY,RevenueMonth'</f>
        <v>8464</v>
      </c>
      <c r="B934" t="str">
        <v>億豐</v>
      </c>
      <c r="C934" t="str">
        <v>827.8</v>
      </c>
      <c r="D934" t="str">
        <v>29.30</v>
      </c>
      <c r="E934" t="str">
        <v>14.51</v>
      </c>
      <c r="F934" t="str">
        <v>-1.22</v>
      </c>
      <c r="G934" t="str">
        <v>2022/09</v>
      </c>
      <c r="H934" t="str">
        <v>-16.37</v>
      </c>
      <c r="I934" t="str">
        <v>-14.66</v>
      </c>
      <c r="J934" t="str">
        <v>2022/11</v>
      </c>
      <c r="K934" t="str">
        <f t="array" ref="K934:T934">[1]!'8464.TW-OperatingProfitRatio,Price,PriceChangeRatio,InOutRatioNumber,Value,YearReturn,MonthReturn,WeekReturn,FinanceBalanceDif,ChipsField2'</f>
        <v>25.48</v>
      </c>
      <c r="L934">
        <v>282.5</v>
      </c>
      <c r="M934">
        <v>1.62</v>
      </c>
      <c r="N934" t="str">
        <v>60.71%</v>
      </c>
      <c r="O934" t="str">
        <v>7971萬</v>
      </c>
      <c r="P934" t="str">
        <v>-27.06</v>
      </c>
      <c r="Q934" t="str">
        <v>+5.41</v>
      </c>
      <c r="R934" t="str">
        <v>-2.08</v>
      </c>
      <c r="S934">
        <v>-2</v>
      </c>
      <c r="T934">
        <v>0</v>
      </c>
      <c r="U934">
        <f t="array" ref="U934:AD934">[1]!'8464.TW-ChipsField3,ChipsField1,ChipsField25,CashAndStockDividend,CashDividendYieldRate,ProfitFourSeason,ProfitSingle,CName,ExchangeIndustry,CompanyPos'</f>
        <v>-15</v>
      </c>
      <c r="V934">
        <v>-85</v>
      </c>
      <c r="W934" t="str">
        <v>2022/07/08</v>
      </c>
      <c r="X934" t="str">
        <v>11.00</v>
      </c>
      <c r="Y934">
        <v>3.89</v>
      </c>
      <c r="Z934" t="str">
        <v>20.94</v>
      </c>
      <c r="AA934" t="str">
        <v>5.24</v>
      </c>
      <c r="AB934" t="str">
        <v>億豐</v>
      </c>
      <c r="AC934" t="str">
        <v>上市其他</v>
      </c>
      <c r="AD934" t="str">
        <v>全球窗簾製造大廠</v>
      </c>
      <c r="AE934" t="str">
        <f t="array" ref="AE934:AH934">[1]!'8464.TW-CName,InvestorConferenceDate,DateofMeetingofShareHolders,TradingDate'</f>
        <v>億豐</v>
      </c>
      <c r="AF934" t="str">
        <v>2021/04/13</v>
      </c>
      <c r="AG934" t="str">
        <v>2022/06/21</v>
      </c>
      <c r="AH934" t="str">
        <v>2022/12/22</v>
      </c>
    </row>
    <row r="935" spans="1:34" x14ac:dyDescent="0.3">
      <c r="A935" t="str">
        <f t="array" ref="A935:J935">[1]!'8466.TW-ID,Name,MarketValue,Capital,NetIncomeGrowthRate,OperIncomeGrowthRate,FinancialStatementsTime,TFXRatio,MonthlyNetSalesYoY,RevenueMonth'</f>
        <v>8466</v>
      </c>
      <c r="B935" t="str">
        <v>美吉吉-KY</v>
      </c>
      <c r="C935" t="str">
        <v>26.8</v>
      </c>
      <c r="D935" t="str">
        <v>6.61</v>
      </c>
      <c r="E935" t="str">
        <v>199.90</v>
      </c>
      <c r="F935" t="str">
        <v>120.89</v>
      </c>
      <c r="G935" t="str">
        <v>2022/09</v>
      </c>
      <c r="H935" t="str">
        <v>9.19</v>
      </c>
      <c r="I935" t="str">
        <v>-56.21</v>
      </c>
      <c r="J935" t="str">
        <v>2022/11</v>
      </c>
      <c r="K935" t="str">
        <f t="array" ref="K935:T935">[1]!'8466.TW-OperatingProfitRatio,Price,PriceChangeRatio,InOutRatioNumber,Value,YearReturn,MonthReturn,WeekReturn,FinanceBalanceDif,ChipsField2'</f>
        <v>5.58</v>
      </c>
      <c r="L935">
        <v>40.549999999999997</v>
      </c>
      <c r="M935">
        <v>0.62</v>
      </c>
      <c r="N935" t="str">
        <v>12.50%</v>
      </c>
      <c r="O935" t="str">
        <v>32.3萬</v>
      </c>
      <c r="P935" t="str">
        <v>-22.21</v>
      </c>
      <c r="Q935" t="str">
        <v>-3.11</v>
      </c>
      <c r="R935" t="str">
        <v>-0.73</v>
      </c>
      <c r="S935">
        <v>-6</v>
      </c>
      <c r="T935">
        <v>0</v>
      </c>
      <c r="U935">
        <f t="array" ref="U935:AD935">[1]!'8466.TW-ChipsField3,ChipsField1,ChipsField25,CashAndStockDividend,CashDividendYieldRate,ProfitFourSeason,ProfitSingle,CName,ExchangeIndustry,CompanyPos'</f>
        <v>0</v>
      </c>
      <c r="V935">
        <v>-1</v>
      </c>
      <c r="W935" t="str">
        <v>2022/08/22</v>
      </c>
      <c r="X935" t="str">
        <v>0.70</v>
      </c>
      <c r="Y935">
        <v>1.73</v>
      </c>
      <c r="Z935" t="str">
        <v>2.88</v>
      </c>
      <c r="AA935" t="str">
        <v>0.85</v>
      </c>
      <c r="AB935" t="str">
        <v>美吉吉-KY</v>
      </c>
      <c r="AC935" t="str">
        <v>上市其他</v>
      </c>
      <c r="AD935" t="str">
        <v>全球知名塑膠地磚製造廠商</v>
      </c>
      <c r="AE935" t="str">
        <f t="array" ref="AE935:AH935">[1]!'8466.TW-CName,InvestorConferenceDate,DateofMeetingofShareHolders,TradingDate'</f>
        <v>美吉吉-KY</v>
      </c>
      <c r="AF935" t="str">
        <v>2021/07/07</v>
      </c>
      <c r="AG935" t="str">
        <v>2022/06/15</v>
      </c>
      <c r="AH935" t="str">
        <v>2022/12/22</v>
      </c>
    </row>
    <row r="936" spans="1:34" x14ac:dyDescent="0.3">
      <c r="A936" t="str">
        <f t="array" ref="A936:J936">[1]!'8467.TW-ID,Name,MarketValue,Capital,NetIncomeGrowthRate,OperIncomeGrowthRate,FinancialStatementsTime,TFXRatio,MonthlyNetSalesYoY,RevenueMonth'</f>
        <v>8467</v>
      </c>
      <c r="B936" t="str">
        <v>波力-KY</v>
      </c>
      <c r="C936" t="str">
        <v>29.0</v>
      </c>
      <c r="D936" t="str">
        <v>4.95</v>
      </c>
      <c r="E936" t="str">
        <v>282.35</v>
      </c>
      <c r="F936" t="str">
        <v>207.87</v>
      </c>
      <c r="G936" t="str">
        <v>2022/09</v>
      </c>
      <c r="H936" t="str">
        <v>31.77</v>
      </c>
      <c r="I936" t="str">
        <v>6.02</v>
      </c>
      <c r="J936" t="str">
        <v>2022/11</v>
      </c>
      <c r="K936" t="str">
        <f t="array" ref="K936:T936">[1]!'8467.TW-OperatingProfitRatio,Price,PriceChangeRatio,InOutRatioNumber,Value,YearReturn,MonthReturn,WeekReturn,FinanceBalanceDif,ChipsField2'</f>
        <v>23.07</v>
      </c>
      <c r="L936">
        <v>58.6</v>
      </c>
      <c r="M936">
        <v>-3.3</v>
      </c>
      <c r="N936" t="str">
        <v>15.07%</v>
      </c>
      <c r="O936" t="str">
        <v>905萬</v>
      </c>
      <c r="P936" t="str">
        <v>+55.02</v>
      </c>
      <c r="Q936" t="str">
        <v>+2.63</v>
      </c>
      <c r="R936" t="str">
        <v>-5.02</v>
      </c>
      <c r="S936">
        <v>-53</v>
      </c>
      <c r="T936">
        <v>0</v>
      </c>
      <c r="U936">
        <f t="array" ref="U936:AD936">[1]!'8467.TW-ChipsField3,ChipsField1,ChipsField25,CashAndStockDividend,CashDividendYieldRate,ProfitFourSeason,ProfitSingle,CName,ExchangeIndustry,CompanyPos'</f>
        <v>0</v>
      </c>
      <c r="V936">
        <v>33</v>
      </c>
      <c r="W936" t="str">
        <v>2022/12/22</v>
      </c>
      <c r="X936" t="str">
        <v>3.00</v>
      </c>
      <c r="Y936">
        <v>0</v>
      </c>
      <c r="Z936" t="str">
        <v>8.00</v>
      </c>
      <c r="AA936" t="str">
        <v>3.58</v>
      </c>
      <c r="AB936" t="str">
        <v>波力-KY</v>
      </c>
      <c r="AC936" t="str">
        <v>上市其他</v>
      </c>
      <c r="AD936" t="str">
        <v>全球最大碳纖維冰上曲棍球桿製造廠</v>
      </c>
      <c r="AE936" t="str">
        <f t="array" ref="AE936:AH936">[1]!'8467.TW-CName,InvestorConferenceDate,DateofMeetingofShareHolders,TradingDate'</f>
        <v>波力-KY</v>
      </c>
      <c r="AF936" t="str">
        <v>2022/09/07</v>
      </c>
      <c r="AG936" t="str">
        <v>2022/05/26</v>
      </c>
      <c r="AH936" t="str">
        <v>2022/12/22</v>
      </c>
    </row>
    <row r="937" spans="1:34" x14ac:dyDescent="0.3">
      <c r="A937" t="str">
        <f t="array" ref="A937:J937">[1]!'8473.TW-ID,Name,MarketValue,Capital,NetIncomeGrowthRate,OperIncomeGrowthRate,FinancialStatementsTime,TFXRatio,MonthlyNetSalesYoY,RevenueMonth'</f>
        <v>8473</v>
      </c>
      <c r="B937" t="str">
        <v>山林水</v>
      </c>
      <c r="C937" t="str">
        <v>39.4</v>
      </c>
      <c r="D937" t="str">
        <v>14.42</v>
      </c>
      <c r="E937" t="str">
        <v>-135.77</v>
      </c>
      <c r="F937" t="str">
        <v>-79.68</v>
      </c>
      <c r="G937" t="str">
        <v>2022/09</v>
      </c>
      <c r="H937" t="str">
        <v>17.78</v>
      </c>
      <c r="I937" t="str">
        <v>41.94</v>
      </c>
      <c r="J937" t="str">
        <v>2022/11</v>
      </c>
      <c r="K937" t="str">
        <f t="array" ref="K937:T937">[1]!'8473.TW-OperatingProfitRatio,Price,PriceChangeRatio,InOutRatioNumber,Value,YearReturn,MonthReturn,WeekReturn,FinanceBalanceDif,ChipsField2'</f>
        <v>3.32</v>
      </c>
      <c r="L937">
        <v>27.3</v>
      </c>
      <c r="M937">
        <v>0.37</v>
      </c>
      <c r="N937" t="str">
        <v>68.75%</v>
      </c>
      <c r="O937" t="str">
        <v>87.3萬</v>
      </c>
      <c r="P937" t="str">
        <v>-15.38</v>
      </c>
      <c r="Q937" t="str">
        <v>+1.49</v>
      </c>
      <c r="R937" t="str">
        <v>-1.62</v>
      </c>
      <c r="S937">
        <v>1</v>
      </c>
      <c r="T937">
        <v>0</v>
      </c>
      <c r="U937">
        <f t="array" ref="U937:AD937">[1]!'8473.TW-ChipsField3,ChipsField1,ChipsField25,CashAndStockDividend,CashDividendYieldRate,ProfitFourSeason,ProfitSingle,CName,ExchangeIndustry,CompanyPos'</f>
        <v>0</v>
      </c>
      <c r="V937">
        <v>-4</v>
      </c>
      <c r="W937" t="str">
        <v>2022/08/11</v>
      </c>
      <c r="X937" t="str">
        <v>0.85</v>
      </c>
      <c r="Y937">
        <v>3.11</v>
      </c>
      <c r="Z937" t="str">
        <v>-1.06</v>
      </c>
      <c r="AA937" t="str">
        <v>-1.92</v>
      </c>
      <c r="AB937" t="str">
        <v>山林水</v>
      </c>
      <c r="AC937" t="str">
        <v>上市其他</v>
      </c>
      <c r="AD937" t="str">
        <v>力麒旗下水處理工程公司</v>
      </c>
      <c r="AE937" t="str">
        <f t="array" ref="AE937:AH937">[1]!'8473.TW-CName,InvestorConferenceDate,DateofMeetingofShareHolders,TradingDate'</f>
        <v>山林水</v>
      </c>
      <c r="AF937" t="str">
        <v>2022/11/29</v>
      </c>
      <c r="AG937" t="str">
        <v>2022/06/14</v>
      </c>
      <c r="AH937" t="str">
        <v>2022/12/22</v>
      </c>
    </row>
    <row r="938" spans="1:34" x14ac:dyDescent="0.3">
      <c r="A938" t="str">
        <f t="array" ref="A938:J938">[1]!'8478.TW-ID,Name,MarketValue,Capital,NetIncomeGrowthRate,OperIncomeGrowthRate,FinancialStatementsTime,TFXRatio,MonthlyNetSalesYoY,RevenueMonth'</f>
        <v>8478</v>
      </c>
      <c r="B938" t="str">
        <v>東哥遊艇</v>
      </c>
      <c r="C938" t="str">
        <v>261.3</v>
      </c>
      <c r="D938" t="str">
        <v>8.89</v>
      </c>
      <c r="E938" t="str">
        <v>127.17</v>
      </c>
      <c r="F938" t="str">
        <v>105.36</v>
      </c>
      <c r="G938" t="str">
        <v>2022/09</v>
      </c>
      <c r="H938" t="str">
        <v>4.73</v>
      </c>
      <c r="I938" t="str">
        <v>26.77</v>
      </c>
      <c r="J938" t="str">
        <v>2022/11</v>
      </c>
      <c r="K938" t="str">
        <f t="array" ref="K938:T938">[1]!'8478.TW-OperatingProfitRatio,Price,PriceChangeRatio,InOutRatioNumber,Value,YearReturn,MonthReturn,WeekReturn,FinanceBalanceDif,ChipsField2'</f>
        <v>33.03</v>
      </c>
      <c r="L938">
        <v>294</v>
      </c>
      <c r="M938">
        <v>1.38</v>
      </c>
      <c r="N938" t="str">
        <v>39.58%</v>
      </c>
      <c r="O938" t="str">
        <v>8.77億</v>
      </c>
      <c r="P938" t="str">
        <v>+88.46</v>
      </c>
      <c r="Q938" t="str">
        <v>+2.62</v>
      </c>
      <c r="R938" t="str">
        <v>-8.55</v>
      </c>
      <c r="S938">
        <v>133</v>
      </c>
      <c r="T938">
        <v>-29</v>
      </c>
      <c r="U938">
        <f t="array" ref="U938:AD938">[1]!'8478.TW-ChipsField3,ChipsField1,ChipsField25,CashAndStockDividend,CashDividendYieldRate,ProfitFourSeason,ProfitSingle,CName,ExchangeIndustry,CompanyPos'</f>
        <v>-9</v>
      </c>
      <c r="V938">
        <v>-464</v>
      </c>
      <c r="W938" t="str">
        <v>2022/08/01</v>
      </c>
      <c r="X938" t="str">
        <v>5.00</v>
      </c>
      <c r="Y938">
        <v>1.7</v>
      </c>
      <c r="Z938" t="str">
        <v>18.19</v>
      </c>
      <c r="AA938" t="str">
        <v>4.72</v>
      </c>
      <c r="AB938" t="str">
        <v>東哥遊艇</v>
      </c>
      <c r="AC938" t="str">
        <v>上市其他</v>
      </c>
      <c r="AD938" t="str">
        <v>亞洲地區唯一擁有自有品牌之遊艇製造商</v>
      </c>
      <c r="AE938" t="str">
        <f t="array" ref="AE938:AH938">[1]!'8478.TW-CName,InvestorConferenceDate,DateofMeetingofShareHolders,TradingDate'</f>
        <v>東哥遊艇</v>
      </c>
      <c r="AF938" t="str">
        <v>2022/08/11</v>
      </c>
      <c r="AG938" t="str">
        <v>2022/06/23</v>
      </c>
      <c r="AH938" t="str">
        <v>2022/12/22</v>
      </c>
    </row>
    <row r="939" spans="1:34" x14ac:dyDescent="0.3">
      <c r="A939" t="str">
        <f t="array" ref="A939:J939">[1]!'8481.TW-ID,Name,MarketValue,Capital,NetIncomeGrowthRate,OperIncomeGrowthRate,FinancialStatementsTime,TFXRatio,MonthlyNetSalesYoY,RevenueMonth'</f>
        <v>8481</v>
      </c>
      <c r="B939" t="str">
        <v>政伸</v>
      </c>
      <c r="C939" t="str">
        <v>37.3</v>
      </c>
      <c r="D939" t="str">
        <v>6.66</v>
      </c>
      <c r="E939" t="str">
        <v>-18.38</v>
      </c>
      <c r="F939" t="str">
        <v>-5.82</v>
      </c>
      <c r="G939" t="str">
        <v>2022/09</v>
      </c>
      <c r="H939" t="str">
        <v>0.68</v>
      </c>
      <c r="I939" t="str">
        <v>-17.18</v>
      </c>
      <c r="J939" t="str">
        <v>2022/11</v>
      </c>
      <c r="K939" t="str">
        <f t="array" ref="K939:T939">[1]!'8481.TW-OperatingProfitRatio,Price,PriceChangeRatio,InOutRatioNumber,Value,YearReturn,MonthReturn,WeekReturn,FinanceBalanceDif,ChipsField2'</f>
        <v>28.10</v>
      </c>
      <c r="L939">
        <v>56</v>
      </c>
      <c r="M939">
        <v>0.9</v>
      </c>
      <c r="N939" t="str">
        <v>100.00%</v>
      </c>
      <c r="O939" t="str">
        <v>39.6萬</v>
      </c>
      <c r="P939" t="str">
        <v>-14.56</v>
      </c>
      <c r="Q939" t="str">
        <v>+0.36</v>
      </c>
      <c r="R939" t="str">
        <v>-1.75</v>
      </c>
      <c r="S939">
        <v>3</v>
      </c>
      <c r="T939">
        <v>0</v>
      </c>
      <c r="U939">
        <f t="array" ref="U939:AD939">[1]!'8481.TW-ChipsField3,ChipsField1,ChipsField25,CashAndStockDividend,CashDividendYieldRate,ProfitFourSeason,ProfitSingle,CName,ExchangeIndustry,CompanyPos'</f>
        <v>0</v>
      </c>
      <c r="V939">
        <v>0</v>
      </c>
      <c r="W939" t="str">
        <v>2022/07/04</v>
      </c>
      <c r="X939" t="str">
        <v>6.50</v>
      </c>
      <c r="Y939">
        <v>11.61</v>
      </c>
      <c r="Z939" t="str">
        <v>5.18</v>
      </c>
      <c r="AA939" t="str">
        <v>1.21</v>
      </c>
      <c r="AB939" t="str">
        <v>政伸</v>
      </c>
      <c r="AC939" t="str">
        <v>上市其他</v>
      </c>
      <c r="AD939" t="str">
        <v>全世界最大的自行車貼標印刷公司</v>
      </c>
      <c r="AE939" t="str">
        <f t="array" ref="AE939:AH939">[1]!'8481.TW-CName,InvestorConferenceDate,DateofMeetingofShareHolders,TradingDate'</f>
        <v>政伸</v>
      </c>
      <c r="AF939" t="str">
        <v>2022/12/09</v>
      </c>
      <c r="AG939" t="str">
        <v>2022/06/17</v>
      </c>
      <c r="AH939" t="str">
        <v>2022/12/22</v>
      </c>
    </row>
    <row r="940" spans="1:34" x14ac:dyDescent="0.3">
      <c r="A940" t="str">
        <f t="array" ref="A940:J940">[1]!'8482.TW-ID,Name,MarketValue,Capital,NetIncomeGrowthRate,OperIncomeGrowthRate,FinancialStatementsTime,TFXRatio,MonthlyNetSalesYoY,RevenueMonth'</f>
        <v>8482</v>
      </c>
      <c r="B940" t="str">
        <v>商億-KY</v>
      </c>
      <c r="C940" t="str">
        <v>77.2</v>
      </c>
      <c r="D940" t="str">
        <v>11.04</v>
      </c>
      <c r="E940" t="str">
        <v>19.31</v>
      </c>
      <c r="F940" t="str">
        <v>20.93</v>
      </c>
      <c r="G940" t="str">
        <v>2022/09</v>
      </c>
      <c r="H940" t="str">
        <v>-16.32</v>
      </c>
      <c r="I940" t="str">
        <v>-11.40</v>
      </c>
      <c r="J940" t="str">
        <v>2022/11</v>
      </c>
      <c r="K940" t="str">
        <f t="array" ref="K940:T940">[1]!'8482.TW-OperatingProfitRatio,Price,PriceChangeRatio,InOutRatioNumber,Value,YearReturn,MonthReturn,WeekReturn,FinanceBalanceDif,ChipsField2'</f>
        <v>18.18</v>
      </c>
      <c r="L940">
        <v>69.900000000000006</v>
      </c>
      <c r="M940">
        <v>0.14000000000000001</v>
      </c>
      <c r="N940" t="str">
        <v>25.00%</v>
      </c>
      <c r="O940" t="str">
        <v>28.0萬</v>
      </c>
      <c r="P940" t="str">
        <v>-1.01</v>
      </c>
      <c r="Q940" t="str">
        <v>+1.01</v>
      </c>
      <c r="R940" t="str">
        <v>-2.37</v>
      </c>
      <c r="S940">
        <v>-1</v>
      </c>
      <c r="T940">
        <v>0</v>
      </c>
      <c r="U940">
        <f t="array" ref="U940:AD940">[1]!'8482.TW-ChipsField3,ChipsField1,ChipsField25,CashAndStockDividend,CashDividendYieldRate,ProfitFourSeason,ProfitSingle,CName,ExchangeIndustry,CompanyPos'</f>
        <v>-1</v>
      </c>
      <c r="V940">
        <v>-2</v>
      </c>
      <c r="W940" t="str">
        <v>2022/06/30</v>
      </c>
      <c r="X940" t="str">
        <v>5.87</v>
      </c>
      <c r="Y940">
        <v>8.4</v>
      </c>
      <c r="Z940" t="str">
        <v>8.97</v>
      </c>
      <c r="AA940" t="str">
        <v>2.43</v>
      </c>
      <c r="AB940" t="str">
        <v>商億-KY</v>
      </c>
      <c r="AC940" t="str">
        <v>上市其他</v>
      </c>
      <c r="AD940" t="str">
        <v>主要出口至北美的高端室內傢俱製造商</v>
      </c>
      <c r="AE940" t="str">
        <f t="array" ref="AE940:AH940">[1]!'8482.TW-CName,InvestorConferenceDate,DateofMeetingofShareHolders,TradingDate'</f>
        <v>商億-KY</v>
      </c>
      <c r="AF940" t="str">
        <v>2022/05/12</v>
      </c>
      <c r="AG940" t="str">
        <v>2022/06/14</v>
      </c>
      <c r="AH940" t="str">
        <v>2022/12/22</v>
      </c>
    </row>
    <row r="941" spans="1:34" x14ac:dyDescent="0.3">
      <c r="A941" t="str">
        <f t="array" ref="A941:J941">[1]!'8488.TW-ID,Name,MarketValue,Capital,NetIncomeGrowthRate,OperIncomeGrowthRate,FinancialStatementsTime,TFXRatio,MonthlyNetSalesYoY,RevenueMonth'</f>
        <v>8488</v>
      </c>
      <c r="B941" t="str">
        <v>吉源-KY</v>
      </c>
      <c r="C941" t="str">
        <v>10.2</v>
      </c>
      <c r="D941" t="str">
        <v>6.75</v>
      </c>
      <c r="E941" t="str">
        <v>-1236.14</v>
      </c>
      <c r="F941" t="str">
        <v>-1925.61</v>
      </c>
      <c r="G941" t="str">
        <v>2022/09</v>
      </c>
      <c r="H941" t="str">
        <v>11.17</v>
      </c>
      <c r="I941" t="str">
        <v>-24.70</v>
      </c>
      <c r="J941" t="str">
        <v>2022/11</v>
      </c>
      <c r="K941" t="str">
        <f t="array" ref="K941:T941">[1]!'8488.TW-OperatingProfitRatio,Price,PriceChangeRatio,InOutRatioNumber,Value,YearReturn,MonthReturn,WeekReturn,FinanceBalanceDif,ChipsField2'</f>
        <v>-3.23</v>
      </c>
      <c r="L941">
        <v>15.1</v>
      </c>
      <c r="M941">
        <v>-0.33</v>
      </c>
      <c r="N941" t="str">
        <v>100.00%</v>
      </c>
      <c r="O941" t="str">
        <v>3.02萬</v>
      </c>
      <c r="P941" t="str">
        <v>-3.89</v>
      </c>
      <c r="Q941" t="str">
        <v>+0.33</v>
      </c>
      <c r="R941" t="str">
        <v>-1.95</v>
      </c>
      <c r="S941">
        <v>0</v>
      </c>
      <c r="T941">
        <v>0</v>
      </c>
      <c r="U941">
        <f t="array" ref="U941:AD941">[1]!'8488.TW-ChipsField3,ChipsField1,ChipsField25,CashAndStockDividend,CashDividendYieldRate,ProfitFourSeason,ProfitSingle,CName,ExchangeIndustry,CompanyPos'</f>
        <v>0</v>
      </c>
      <c r="V941">
        <v>0</v>
      </c>
      <c r="W941" t="str">
        <v>2022/08/30</v>
      </c>
      <c r="X941" t="str">
        <v>0.30</v>
      </c>
      <c r="Y941">
        <v>1.99</v>
      </c>
      <c r="Z941" t="str">
        <v>-0.34</v>
      </c>
      <c r="AA941" t="str">
        <v>-0.85</v>
      </c>
      <c r="AB941" t="str">
        <v>吉源-KY</v>
      </c>
      <c r="AC941" t="str">
        <v>上市其他</v>
      </c>
      <c r="AD941" t="str">
        <v>台商金屬飲料包材大廠</v>
      </c>
      <c r="AE941" t="str">
        <f t="array" ref="AE941:AH941">[1]!'8488.TW-CName,InvestorConferenceDate,DateofMeetingofShareHolders,TradingDate'</f>
        <v>吉源-KY</v>
      </c>
      <c r="AF941" t="str">
        <v>2021/12/06</v>
      </c>
      <c r="AG941" t="str">
        <v>2022/06/17</v>
      </c>
      <c r="AH941" t="str">
        <v>2022/12/22</v>
      </c>
    </row>
    <row r="942" spans="1:34" x14ac:dyDescent="0.3">
      <c r="A942" t="str">
        <f t="array" ref="A942:J942">[1]!'9802.TW-ID,Name,MarketValue,Capital,NetIncomeGrowthRate,OperIncomeGrowthRate,FinancialStatementsTime,TFXRatio,MonthlyNetSalesYoY,RevenueMonth'</f>
        <v>9802</v>
      </c>
      <c r="B942" t="str">
        <v>鈺齊-KY</v>
      </c>
      <c r="C942" t="str">
        <v>306.9</v>
      </c>
      <c r="D942" t="str">
        <v>19.00</v>
      </c>
      <c r="E942" t="str">
        <v>250.75</v>
      </c>
      <c r="F942" t="str">
        <v>199.42</v>
      </c>
      <c r="G942" t="str">
        <v>2022/09</v>
      </c>
      <c r="H942" t="str">
        <v>5.06</v>
      </c>
      <c r="I942" t="str">
        <v>48.58</v>
      </c>
      <c r="J942" t="str">
        <v>2022/11</v>
      </c>
      <c r="K942" t="str">
        <f t="array" ref="K942:T942">[1]!'9802.TW-OperatingProfitRatio,Price,PriceChangeRatio,InOutRatioNumber,Value,YearReturn,MonthReturn,WeekReturn,FinanceBalanceDif,ChipsField2'</f>
        <v>15.87</v>
      </c>
      <c r="L942">
        <v>161.5</v>
      </c>
      <c r="M942">
        <v>3.19</v>
      </c>
      <c r="N942" t="str">
        <v>57.74%</v>
      </c>
      <c r="O942" t="str">
        <v>8.00億</v>
      </c>
      <c r="P942" t="str">
        <v>+76.34</v>
      </c>
      <c r="Q942" t="str">
        <v>+8.75</v>
      </c>
      <c r="R942" t="str">
        <v>+8.75</v>
      </c>
      <c r="S942">
        <v>-210</v>
      </c>
      <c r="T942">
        <v>0</v>
      </c>
      <c r="U942">
        <f t="array" ref="U942:AD942">[1]!'9802.TW-ChipsField3,ChipsField1,ChipsField25,CashAndStockDividend,CashDividendYieldRate,ProfitFourSeason,ProfitSingle,CName,ExchangeIndustry,CompanyPos'</f>
        <v>0</v>
      </c>
      <c r="V942">
        <v>301</v>
      </c>
      <c r="W942" t="str">
        <v>2022/09/15</v>
      </c>
      <c r="X942" t="str">
        <v>2.94</v>
      </c>
      <c r="Y942">
        <v>2.58</v>
      </c>
      <c r="Z942" t="str">
        <v>17.05</v>
      </c>
      <c r="AA942" t="str">
        <v>6.85</v>
      </c>
      <c r="AB942" t="str">
        <v>鈺齊-KY</v>
      </c>
      <c r="AC942" t="str">
        <v>上市其他</v>
      </c>
      <c r="AD942" t="str">
        <v>主要從事各種功能鞋款代工研發的廠商</v>
      </c>
      <c r="AE942" t="str">
        <f t="array" ref="AE942:AH942">[1]!'9802.TW-CName,InvestorConferenceDate,DateofMeetingofShareHolders,TradingDate'</f>
        <v>鈺齊-KY</v>
      </c>
      <c r="AF942" t="str">
        <v>2022/10/19</v>
      </c>
      <c r="AG942" t="str">
        <v>2022/05/27</v>
      </c>
      <c r="AH942" t="str">
        <v>2022/12/22</v>
      </c>
    </row>
    <row r="943" spans="1:34" x14ac:dyDescent="0.3">
      <c r="A943" t="str">
        <f t="array" ref="A943:J943">[1]!'9902.TW-ID,Name,MarketValue,Capital,NetIncomeGrowthRate,OperIncomeGrowthRate,FinancialStatementsTime,TFXRatio,MonthlyNetSalesYoY,RevenueMonth'</f>
        <v>9902</v>
      </c>
      <c r="B943" t="str">
        <v>台火</v>
      </c>
      <c r="C943" t="str">
        <v>12.3</v>
      </c>
      <c r="D943" t="str">
        <v>9.80</v>
      </c>
      <c r="E943" t="str">
        <v>-147.29</v>
      </c>
      <c r="F943" t="str">
        <v>15.12</v>
      </c>
      <c r="G943" t="str">
        <v>2022/09</v>
      </c>
      <c r="H943" t="str">
        <v>108.74</v>
      </c>
      <c r="I943" t="str">
        <v>-50.86</v>
      </c>
      <c r="J943" t="str">
        <v>2022/11</v>
      </c>
      <c r="K943" t="str">
        <f t="array" ref="K943:T943">[1]!'9902.TW-OperatingProfitRatio,Price,PriceChangeRatio,InOutRatioNumber,Value,YearReturn,MonthReturn,WeekReturn,FinanceBalanceDif,ChipsField2'</f>
        <v>-22.38</v>
      </c>
      <c r="L943">
        <v>12.5</v>
      </c>
      <c r="M943">
        <v>-0.4</v>
      </c>
      <c r="N943" t="str">
        <v>59.74%</v>
      </c>
      <c r="O943" t="str">
        <v>96.8萬</v>
      </c>
      <c r="P943" t="str">
        <v>-1.58</v>
      </c>
      <c r="Q943" t="str">
        <v>+19.62</v>
      </c>
      <c r="R943" t="str">
        <v>-1.57</v>
      </c>
      <c r="S943">
        <v>99</v>
      </c>
      <c r="T943">
        <v>0</v>
      </c>
      <c r="U943">
        <f t="array" ref="U943:AD943">[1]!'9902.TW-ChipsField3,ChipsField1,ChipsField25,CashAndStockDividend,CashDividendYieldRate,ProfitFourSeason,ProfitSingle,CName,ExchangeIndustry,CompanyPos'</f>
        <v>-3</v>
      </c>
      <c r="V943">
        <v>-3</v>
      </c>
      <c r="W943" t="str">
        <v>2022/07/12</v>
      </c>
      <c r="X943" t="str">
        <v>0.50</v>
      </c>
      <c r="Y943">
        <v>4</v>
      </c>
      <c r="Z943" t="str">
        <v>-0.43</v>
      </c>
      <c r="AA943" t="str">
        <v>-0.06</v>
      </c>
      <c r="AB943" t="str">
        <v>台火</v>
      </c>
      <c r="AC943" t="str">
        <v>上市其他</v>
      </c>
      <c r="AD943" t="str">
        <v>進口轎車、垃圾車、建材貿易商，亦從事小客車租賃及建營開發</v>
      </c>
      <c r="AE943" t="str">
        <f t="array" ref="AE943:AH943">[1]!'9902.TW-CName,InvestorConferenceDate,DateofMeetingofShareHolders,TradingDate'</f>
        <v>台火</v>
      </c>
      <c r="AF943" t="str">
        <v>2022/11/24</v>
      </c>
      <c r="AG943" t="str">
        <v>2022/06/24</v>
      </c>
      <c r="AH943" t="str">
        <v>2022/12/22</v>
      </c>
    </row>
    <row r="944" spans="1:34" x14ac:dyDescent="0.3">
      <c r="A944" t="str">
        <f t="array" ref="A944:J944">[1]!'9904.TW-ID,Name,MarketValue,Capital,NetIncomeGrowthRate,OperIncomeGrowthRate,FinancialStatementsTime,TFXRatio,MonthlyNetSalesYoY,RevenueMonth'</f>
        <v>9904</v>
      </c>
      <c r="B944" t="str">
        <v>寶成</v>
      </c>
      <c r="C944" t="str">
        <v>999.0</v>
      </c>
      <c r="D944" t="str">
        <v>294.68</v>
      </c>
      <c r="E944" t="str">
        <v>28.51</v>
      </c>
      <c r="F944" t="str">
        <v>182.29</v>
      </c>
      <c r="G944" t="str">
        <v>2022/09</v>
      </c>
      <c r="H944" t="str">
        <v>-14.60</v>
      </c>
      <c r="I944" t="str">
        <v>6.37</v>
      </c>
      <c r="J944" t="str">
        <v>2022/11</v>
      </c>
      <c r="K944" t="str">
        <f t="array" ref="K944:T944">[1]!'9904.TW-OperatingProfitRatio,Price,PriceChangeRatio,InOutRatioNumber,Value,YearReturn,MonthReturn,WeekReturn,FinanceBalanceDif,ChipsField2'</f>
        <v>4.18</v>
      </c>
      <c r="L944">
        <v>33.9</v>
      </c>
      <c r="M944">
        <v>1.5</v>
      </c>
      <c r="N944" t="str">
        <v>61.90%</v>
      </c>
      <c r="O944" t="str">
        <v>5.01億</v>
      </c>
      <c r="P944" t="str">
        <v>+9.72</v>
      </c>
      <c r="Q944" t="str">
        <v>+5.28</v>
      </c>
      <c r="R944" t="str">
        <v>+2.73</v>
      </c>
      <c r="S944">
        <v>37</v>
      </c>
      <c r="T944">
        <v>61</v>
      </c>
      <c r="U944">
        <f t="array" ref="U944:AD944">[1]!'9904.TW-ChipsField3,ChipsField1,ChipsField25,CashAndStockDividend,CashDividendYieldRate,ProfitFourSeason,ProfitSingle,CName,ExchangeIndustry,CompanyPos'</f>
        <v>-313</v>
      </c>
      <c r="V944">
        <v>3786</v>
      </c>
      <c r="W944" t="str">
        <v>2022/07/11</v>
      </c>
      <c r="X944" t="str">
        <v>1.50</v>
      </c>
      <c r="Y944">
        <v>4.42</v>
      </c>
      <c r="Z944" t="str">
        <v>5.89</v>
      </c>
      <c r="AA944" t="str">
        <v>1.94</v>
      </c>
      <c r="AB944" t="str">
        <v>寶成</v>
      </c>
      <c r="AC944" t="str">
        <v>上市其他</v>
      </c>
      <c r="AD944" t="str">
        <v>全球運動鞋及休閒鞋代工龍頭</v>
      </c>
      <c r="AE944" t="str">
        <f t="array" ref="AE944:AH944">[1]!'9904.TW-CName,InvestorConferenceDate,DateofMeetingofShareHolders,TradingDate'</f>
        <v>寶成</v>
      </c>
      <c r="AF944" t="str">
        <v>2022/09/07</v>
      </c>
      <c r="AG944" t="str">
        <v>2022/06/15</v>
      </c>
      <c r="AH944" t="str">
        <v>2022/12/22</v>
      </c>
    </row>
    <row r="945" spans="1:34" x14ac:dyDescent="0.3">
      <c r="A945" t="str">
        <f t="array" ref="A945:J945">[1]!'9905.TW-ID,Name,MarketValue,Capital,NetIncomeGrowthRate,OperIncomeGrowthRate,FinancialStatementsTime,TFXRatio,MonthlyNetSalesYoY,RevenueMonth'</f>
        <v>9905</v>
      </c>
      <c r="B945" t="str">
        <v>大華</v>
      </c>
      <c r="C945" t="str">
        <v>74.4</v>
      </c>
      <c r="D945" t="str">
        <v>30.50</v>
      </c>
      <c r="E945" t="str">
        <v>-24.23</v>
      </c>
      <c r="F945" t="str">
        <v>-29.49</v>
      </c>
      <c r="G945" t="str">
        <v>2022/09</v>
      </c>
      <c r="H945" t="str">
        <v>-6.04</v>
      </c>
      <c r="I945" t="str">
        <v>-2.47</v>
      </c>
      <c r="J945" t="str">
        <v>2022/11</v>
      </c>
      <c r="K945" t="str">
        <f t="array" ref="K945:T945">[1]!'9905.TW-OperatingProfitRatio,Price,PriceChangeRatio,InOutRatioNumber,Value,YearReturn,MonthReturn,WeekReturn,FinanceBalanceDif,ChipsField2'</f>
        <v>6.23</v>
      </c>
      <c r="L945">
        <v>24.4</v>
      </c>
      <c r="M945">
        <v>0.21</v>
      </c>
      <c r="N945" t="str">
        <v>64.29%</v>
      </c>
      <c r="O945" t="str">
        <v>34.1萬</v>
      </c>
      <c r="P945" t="str">
        <v>-1.20</v>
      </c>
      <c r="Q945" t="str">
        <v>+0.41</v>
      </c>
      <c r="R945" t="str">
        <v>-0.81</v>
      </c>
      <c r="S945">
        <v>0</v>
      </c>
      <c r="T945">
        <v>0</v>
      </c>
      <c r="U945">
        <f t="array" ref="U945:AD945">[1]!'9905.TW-ChipsField3,ChipsField1,ChipsField25,CashAndStockDividend,CashDividendYieldRate,ProfitFourSeason,ProfitSingle,CName,ExchangeIndustry,CompanyPos'</f>
        <v>-1</v>
      </c>
      <c r="V945">
        <v>2</v>
      </c>
      <c r="W945" t="str">
        <v>2022/07/21</v>
      </c>
      <c r="X945" t="str">
        <v>1.50</v>
      </c>
      <c r="Y945">
        <v>6.15</v>
      </c>
      <c r="Z945" t="str">
        <v>1.56</v>
      </c>
      <c r="AA945" t="str">
        <v>0.53</v>
      </c>
      <c r="AB945" t="str">
        <v>大華</v>
      </c>
      <c r="AC945" t="str">
        <v>上市其他</v>
      </c>
      <c r="AD945" t="str">
        <v>台灣最大食品飲料綜合包裝容器廠</v>
      </c>
      <c r="AE945" t="str">
        <f t="array" ref="AE945:AH945">[1]!'9905.TW-CName,InvestorConferenceDate,DateofMeetingofShareHolders,TradingDate'</f>
        <v>大華</v>
      </c>
      <c r="AF945" t="str">
        <v>2022/11/15</v>
      </c>
      <c r="AG945" t="str">
        <v>2022/06/24</v>
      </c>
      <c r="AH945" t="str">
        <v>2022/12/22</v>
      </c>
    </row>
    <row r="946" spans="1:34" x14ac:dyDescent="0.3">
      <c r="A946" t="str">
        <f t="array" ref="A946:J946">[1]!'9907.TW-ID,Name,MarketValue,Capital,NetIncomeGrowthRate,OperIncomeGrowthRate,FinancialStatementsTime,TFXRatio,MonthlyNetSalesYoY,RevenueMonth'</f>
        <v>9907</v>
      </c>
      <c r="B946" t="str">
        <v>統一實</v>
      </c>
      <c r="C946" t="str">
        <v>270.0</v>
      </c>
      <c r="D946" t="str">
        <v>157.91</v>
      </c>
      <c r="E946" t="str">
        <v>66.67</v>
      </c>
      <c r="F946" t="str">
        <v>56.31</v>
      </c>
      <c r="G946" t="str">
        <v>2022/09</v>
      </c>
      <c r="H946" t="str">
        <v>-12.98</v>
      </c>
      <c r="I946" t="str">
        <v>-32.18</v>
      </c>
      <c r="J946" t="str">
        <v>2022/11</v>
      </c>
      <c r="K946" t="str">
        <f t="array" ref="K946:T946">[1]!'9907.TW-OperatingProfitRatio,Price,PriceChangeRatio,InOutRatioNumber,Value,YearReturn,MonthReturn,WeekReturn,FinanceBalanceDif,ChipsField2'</f>
        <v>7.78</v>
      </c>
      <c r="L946">
        <v>17.100000000000001</v>
      </c>
      <c r="M946">
        <v>0.59</v>
      </c>
      <c r="N946" t="str">
        <v>33.72%</v>
      </c>
      <c r="O946" t="str">
        <v>1484萬</v>
      </c>
      <c r="P946" t="str">
        <v>+30.48</v>
      </c>
      <c r="Q946" t="str">
        <v>-0.29</v>
      </c>
      <c r="R946" t="str">
        <v>0.00</v>
      </c>
      <c r="S946">
        <v>16</v>
      </c>
      <c r="T946">
        <v>0</v>
      </c>
      <c r="U946">
        <f t="array" ref="U946:AD946">[1]!'9907.TW-ChipsField3,ChipsField1,ChipsField25,CashAndStockDividend,CashDividendYieldRate,ProfitFourSeason,ProfitSingle,CName,ExchangeIndustry,CompanyPos'</f>
        <v>-77</v>
      </c>
      <c r="V946">
        <v>-279</v>
      </c>
      <c r="W946" t="str">
        <v>2022/06/30</v>
      </c>
      <c r="X946" t="str">
        <v>1.00</v>
      </c>
      <c r="Y946">
        <v>5.85</v>
      </c>
      <c r="Z946" t="str">
        <v>1.75</v>
      </c>
      <c r="AA946" t="str">
        <v>0.48</v>
      </c>
      <c r="AB946" t="str">
        <v>統一實</v>
      </c>
      <c r="AC946" t="str">
        <v>上市其他</v>
      </c>
      <c r="AD946" t="str">
        <v>台灣馬口鐵第一大廠</v>
      </c>
      <c r="AE946" t="str">
        <f t="array" ref="AE946:AH946">[1]!'9907.TW-CName,InvestorConferenceDate,DateofMeetingofShareHolders,TradingDate'</f>
        <v>統一實</v>
      </c>
      <c r="AF946" t="str">
        <v>2022/12/20</v>
      </c>
      <c r="AG946" t="str">
        <v>2022/05/24</v>
      </c>
      <c r="AH946" t="str">
        <v>2022/12/22</v>
      </c>
    </row>
    <row r="947" spans="1:34" x14ac:dyDescent="0.3">
      <c r="A947" t="str">
        <f t="array" ref="A947:J947">[1]!'9910.TW-ID,Name,MarketValue,Capital,NetIncomeGrowthRate,OperIncomeGrowthRate,FinancialStatementsTime,TFXRatio,MonthlyNetSalesYoY,RevenueMonth'</f>
        <v>9910</v>
      </c>
      <c r="B947" t="str">
        <v>豐泰</v>
      </c>
      <c r="C947" t="str">
        <v>1851.5</v>
      </c>
      <c r="D947" t="str">
        <v>88.17</v>
      </c>
      <c r="E947" t="str">
        <v>135.79</v>
      </c>
      <c r="F947" t="str">
        <v>104.50</v>
      </c>
      <c r="G947" t="str">
        <v>2022/09</v>
      </c>
      <c r="H947" t="str">
        <v>-15.69</v>
      </c>
      <c r="I947" t="str">
        <v>4.17</v>
      </c>
      <c r="J947" t="str">
        <v>2022/11</v>
      </c>
      <c r="K947" t="str">
        <f t="array" ref="K947:T947">[1]!'9910.TW-OperatingProfitRatio,Price,PriceChangeRatio,InOutRatioNumber,Value,YearReturn,MonthReturn,WeekReturn,FinanceBalanceDif,ChipsField2'</f>
        <v>11.85</v>
      </c>
      <c r="L947">
        <v>210</v>
      </c>
      <c r="M947">
        <v>3.45</v>
      </c>
      <c r="N947" t="str">
        <v>59.87%</v>
      </c>
      <c r="O947" t="str">
        <v>17.0億</v>
      </c>
      <c r="P947" t="str">
        <v>-1.37</v>
      </c>
      <c r="Q947" t="str">
        <v>+14.44</v>
      </c>
      <c r="R947" t="str">
        <v>+13.82</v>
      </c>
      <c r="S947">
        <v>403</v>
      </c>
      <c r="T947">
        <v>478</v>
      </c>
      <c r="U947">
        <f t="array" ref="U947:AD947">[1]!'9910.TW-ChipsField3,ChipsField1,ChipsField25,CashAndStockDividend,CashDividendYieldRate,ProfitFourSeason,ProfitSingle,CName,ExchangeIndustry,CompanyPos'</f>
        <v>-47</v>
      </c>
      <c r="V947">
        <v>1079</v>
      </c>
      <c r="W947" t="str">
        <v>2022/07/05</v>
      </c>
      <c r="X947" t="str">
        <v>4.10</v>
      </c>
      <c r="Y947">
        <v>1.95</v>
      </c>
      <c r="Z947" t="str">
        <v>10.20</v>
      </c>
      <c r="AA947" t="str">
        <v>3.09</v>
      </c>
      <c r="AB947" t="str">
        <v>豐泰</v>
      </c>
      <c r="AC947" t="str">
        <v>上市其他</v>
      </c>
      <c r="AD947" t="str">
        <v>全球知名運動鞋代工廠</v>
      </c>
      <c r="AE947" t="str">
        <f t="array" ref="AE947:AH947">[1]!'9910.TW-CName,InvestorConferenceDate,DateofMeetingofShareHolders,TradingDate'</f>
        <v>豐泰</v>
      </c>
      <c r="AF947" t="str">
        <v>2022/09/07</v>
      </c>
      <c r="AG947" t="str">
        <v>2022/06/17</v>
      </c>
      <c r="AH947" t="str">
        <v>2022/12/22</v>
      </c>
    </row>
    <row r="948" spans="1:34" x14ac:dyDescent="0.3">
      <c r="A948" t="str">
        <f t="array" ref="A948:J948">[1]!'9911.TW-ID,Name,MarketValue,Capital,NetIncomeGrowthRate,OperIncomeGrowthRate,FinancialStatementsTime,TFXRatio,MonthlyNetSalesYoY,RevenueMonth'</f>
        <v>9911</v>
      </c>
      <c r="B948" t="str">
        <v>櫻花</v>
      </c>
      <c r="C948" t="str">
        <v>138.4</v>
      </c>
      <c r="D948" t="str">
        <v>22.11</v>
      </c>
      <c r="E948" t="str">
        <v>4.49</v>
      </c>
      <c r="F948" t="str">
        <v>-3.32</v>
      </c>
      <c r="G948" t="str">
        <v>2022/09</v>
      </c>
      <c r="H948" t="str">
        <v>18.07</v>
      </c>
      <c r="I948" t="str">
        <v>-3.80</v>
      </c>
      <c r="J948" t="str">
        <v>2022/11</v>
      </c>
      <c r="K948" t="str">
        <f t="array" ref="K948:T948">[1]!'9911.TW-OperatingProfitRatio,Price,PriceChangeRatio,InOutRatioNumber,Value,YearReturn,MonthReturn,WeekReturn,FinanceBalanceDif,ChipsField2'</f>
        <v>13.16</v>
      </c>
      <c r="L948">
        <v>62.6</v>
      </c>
      <c r="M948">
        <v>0.97</v>
      </c>
      <c r="N948" t="str">
        <v>65.71%</v>
      </c>
      <c r="O948" t="str">
        <v>219萬</v>
      </c>
      <c r="P948" t="str">
        <v>-2.29</v>
      </c>
      <c r="Q948" t="str">
        <v>+3.81</v>
      </c>
      <c r="R948" t="str">
        <v>-0.79</v>
      </c>
      <c r="S948">
        <v>-2</v>
      </c>
      <c r="T948">
        <v>0</v>
      </c>
      <c r="U948">
        <f t="array" ref="U948:AD948">[1]!'9911.TW-ChipsField3,ChipsField1,ChipsField25,CashAndStockDividend,CashDividendYieldRate,ProfitFourSeason,ProfitSingle,CName,ExchangeIndustry,CompanyPos'</f>
        <v>1</v>
      </c>
      <c r="V948">
        <v>9</v>
      </c>
      <c r="W948" t="str">
        <v>2022/06/17</v>
      </c>
      <c r="X948" t="str">
        <v>3.60</v>
      </c>
      <c r="Y948">
        <v>5.75</v>
      </c>
      <c r="Z948" t="str">
        <v>4.78</v>
      </c>
      <c r="AA948" t="str">
        <v>1.15</v>
      </c>
      <c r="AB948" t="str">
        <v>櫻花</v>
      </c>
      <c r="AC948" t="str">
        <v>上市其他</v>
      </c>
      <c r="AD948" t="str">
        <v>台灣最大系統廚具連鎖通路品牌</v>
      </c>
      <c r="AE948" t="str">
        <f t="array" ref="AE948:AH948">[1]!'9911.TW-CName,InvestorConferenceDate,DateofMeetingofShareHolders,TradingDate'</f>
        <v>櫻花</v>
      </c>
      <c r="AF948" t="str">
        <v>2021/03/19</v>
      </c>
      <c r="AG948" t="str">
        <v>2022/06/17</v>
      </c>
      <c r="AH948" t="str">
        <v>2022/12/22</v>
      </c>
    </row>
    <row r="949" spans="1:34" x14ac:dyDescent="0.3">
      <c r="A949" t="str">
        <f t="array" ref="A949:J949">[1]!'9914.TW-ID,Name,MarketValue,Capital,NetIncomeGrowthRate,OperIncomeGrowthRate,FinancialStatementsTime,TFXRatio,MonthlyNetSalesYoY,RevenueMonth'</f>
        <v>9914</v>
      </c>
      <c r="B949" t="str">
        <v>美利達</v>
      </c>
      <c r="C949" t="str">
        <v>523.2</v>
      </c>
      <c r="D949" t="str">
        <v>29.90</v>
      </c>
      <c r="E949" t="str">
        <v>-7.69</v>
      </c>
      <c r="F949" t="str">
        <v>73.43</v>
      </c>
      <c r="G949" t="str">
        <v>2022/09</v>
      </c>
      <c r="H949" t="str">
        <v>8.47</v>
      </c>
      <c r="I949" t="str">
        <v>76.66</v>
      </c>
      <c r="J949" t="str">
        <v>2022/11</v>
      </c>
      <c r="K949" t="str">
        <f t="array" ref="K949:T949">[1]!'9914.TW-OperatingProfitRatio,Price,PriceChangeRatio,InOutRatioNumber,Value,YearReturn,MonthReturn,WeekReturn,FinanceBalanceDif,ChipsField2'</f>
        <v>8.67</v>
      </c>
      <c r="L949">
        <v>175</v>
      </c>
      <c r="M949">
        <v>3.55</v>
      </c>
      <c r="N949" t="str">
        <v>47.91%</v>
      </c>
      <c r="O949" t="str">
        <v>1.26億</v>
      </c>
      <c r="P949" t="str">
        <v>-43.19</v>
      </c>
      <c r="Q949" t="str">
        <v>-1.13</v>
      </c>
      <c r="R949" t="str">
        <v>-2.51</v>
      </c>
      <c r="S949">
        <v>-50</v>
      </c>
      <c r="T949">
        <v>10</v>
      </c>
      <c r="U949">
        <f t="array" ref="U949:AD949">[1]!'9914.TW-ChipsField3,ChipsField1,ChipsField25,CashAndStockDividend,CashDividendYieldRate,ProfitFourSeason,ProfitSingle,CName,ExchangeIndustry,CompanyPos'</f>
        <v>-84</v>
      </c>
      <c r="V949">
        <v>-2</v>
      </c>
      <c r="W949" t="str">
        <v>2022/08/11</v>
      </c>
      <c r="X949" t="str">
        <v>8.00</v>
      </c>
      <c r="Y949">
        <v>4.57</v>
      </c>
      <c r="Z949" t="str">
        <v>14.97</v>
      </c>
      <c r="AA949" t="str">
        <v>3.09</v>
      </c>
      <c r="AB949" t="str">
        <v>美利達</v>
      </c>
      <c r="AC949" t="str">
        <v>上市其他</v>
      </c>
      <c r="AD949" t="str">
        <v>台灣第二大自行車生產廠商</v>
      </c>
      <c r="AE949" t="str">
        <f t="array" ref="AE949:AH949">[1]!'9914.TW-CName,InvestorConferenceDate,DateofMeetingofShareHolders,TradingDate'</f>
        <v>美利達</v>
      </c>
      <c r="AF949" t="str">
        <v>2021/03/31</v>
      </c>
      <c r="AG949" t="str">
        <v>2022/06/23</v>
      </c>
      <c r="AH949" t="str">
        <v>2022/12/22</v>
      </c>
    </row>
    <row r="950" spans="1:34" x14ac:dyDescent="0.3">
      <c r="A950" t="str">
        <f t="array" ref="A950:J950">[1]!'9917.TW-ID,Name,MarketValue,Capital,NetIncomeGrowthRate,OperIncomeGrowthRate,FinancialStatementsTime,TFXRatio,MonthlyNetSalesYoY,RevenueMonth'</f>
        <v>9917</v>
      </c>
      <c r="B950" t="str">
        <v>中保科</v>
      </c>
      <c r="C950" t="str">
        <v>443.5</v>
      </c>
      <c r="D950" t="str">
        <v>45.12</v>
      </c>
      <c r="E950" t="str">
        <v>3.15</v>
      </c>
      <c r="F950" t="str">
        <v>-9.79</v>
      </c>
      <c r="G950" t="str">
        <v>2022/09</v>
      </c>
      <c r="H950" t="str">
        <v>6.39</v>
      </c>
      <c r="I950" t="str">
        <v>13.60</v>
      </c>
      <c r="J950" t="str">
        <v>2022/11</v>
      </c>
      <c r="K950" t="str">
        <f t="array" ref="K950:T950">[1]!'9917.TW-OperatingProfitRatio,Price,PriceChangeRatio,InOutRatioNumber,Value,YearReturn,MonthReturn,WeekReturn,FinanceBalanceDif,ChipsField2'</f>
        <v>15.82</v>
      </c>
      <c r="L950">
        <v>98.3</v>
      </c>
      <c r="M950">
        <v>0.92</v>
      </c>
      <c r="N950" t="str">
        <v>68.97%</v>
      </c>
      <c r="O950" t="str">
        <v>882萬</v>
      </c>
      <c r="P950" t="str">
        <v>+0.18</v>
      </c>
      <c r="Q950" t="str">
        <v>-0.71</v>
      </c>
      <c r="R950" t="str">
        <v>-1.60</v>
      </c>
      <c r="S950">
        <v>2</v>
      </c>
      <c r="T950">
        <v>40</v>
      </c>
      <c r="U950">
        <f t="array" ref="U950:AD950">[1]!'9917.TW-ChipsField3,ChipsField1,ChipsField25,CashAndStockDividend,CashDividendYieldRate,ProfitFourSeason,ProfitSingle,CName,ExchangeIndustry,CompanyPos'</f>
        <v>-13</v>
      </c>
      <c r="V950">
        <v>-25</v>
      </c>
      <c r="W950" t="str">
        <v>2022/06/22</v>
      </c>
      <c r="X950" t="str">
        <v>5.00</v>
      </c>
      <c r="Y950">
        <v>5.09</v>
      </c>
      <c r="Z950" t="str">
        <v>5.90</v>
      </c>
      <c r="AA950" t="str">
        <v>1.43</v>
      </c>
      <c r="AB950" t="str">
        <v>中保科</v>
      </c>
      <c r="AC950" t="str">
        <v>上市其他</v>
      </c>
      <c r="AD950" t="str">
        <v>台灣最大的保全業者</v>
      </c>
      <c r="AE950" t="str">
        <f t="array" ref="AE950:AH950">[1]!'9917.TW-CName,InvestorConferenceDate,DateofMeetingofShareHolders,TradingDate'</f>
        <v>中保科</v>
      </c>
      <c r="AF950" t="str">
        <v>2022/05/27</v>
      </c>
      <c r="AG950" t="str">
        <v>2022/05/30</v>
      </c>
      <c r="AH950" t="str">
        <v>2022/12/22</v>
      </c>
    </row>
    <row r="951" spans="1:34" x14ac:dyDescent="0.3">
      <c r="A951" t="str">
        <f t="array" ref="A951:J951">[1]!'9919.TW-ID,Name,MarketValue,Capital,NetIncomeGrowthRate,OperIncomeGrowthRate,FinancialStatementsTime,TFXRatio,MonthlyNetSalesYoY,RevenueMonth'</f>
        <v>9919</v>
      </c>
      <c r="B951" t="str">
        <v>康那香</v>
      </c>
      <c r="C951" t="str">
        <v>34.4</v>
      </c>
      <c r="D951" t="str">
        <v>19.54</v>
      </c>
      <c r="E951" t="str">
        <v>-244.79</v>
      </c>
      <c r="F951" t="str">
        <v>-231.42</v>
      </c>
      <c r="G951" t="str">
        <v>2022/09</v>
      </c>
      <c r="H951" t="str">
        <v>-8.19</v>
      </c>
      <c r="I951" t="str">
        <v>-16.48</v>
      </c>
      <c r="J951" t="str">
        <v>2022/11</v>
      </c>
      <c r="K951" t="str">
        <f t="array" ref="K951:T951">[1]!'9919.TW-OperatingProfitRatio,Price,PriceChangeRatio,InOutRatioNumber,Value,YearReturn,MonthReturn,WeekReturn,FinanceBalanceDif,ChipsField2'</f>
        <v>-8.13</v>
      </c>
      <c r="L951">
        <v>17.600000000000001</v>
      </c>
      <c r="M951">
        <v>0.56999999999999995</v>
      </c>
      <c r="N951" t="str">
        <v>45.90%</v>
      </c>
      <c r="O951" t="str">
        <v>4290萬</v>
      </c>
      <c r="P951" t="str">
        <v>-30.97</v>
      </c>
      <c r="Q951" t="str">
        <v>+3.53</v>
      </c>
      <c r="R951" t="str">
        <v>-2.49</v>
      </c>
      <c r="S951">
        <v>326</v>
      </c>
      <c r="T951">
        <v>0</v>
      </c>
      <c r="U951">
        <f t="array" ref="U951:AD951">[1]!'9919.TW-ChipsField3,ChipsField1,ChipsField25,CashAndStockDividend,CashDividendYieldRate,ProfitFourSeason,ProfitSingle,CName,ExchangeIndustry,CompanyPos'</f>
        <v>-3</v>
      </c>
      <c r="V951">
        <v>-2968</v>
      </c>
      <c r="W951" t="str">
        <v>2022/07/19</v>
      </c>
      <c r="X951" t="str">
        <v>0.30</v>
      </c>
      <c r="Y951">
        <v>1.7</v>
      </c>
      <c r="Z951" t="str">
        <v>-0.77</v>
      </c>
      <c r="AA951" t="str">
        <v>-0.28</v>
      </c>
      <c r="AB951" t="str">
        <v>康那香</v>
      </c>
      <c r="AC951" t="str">
        <v>上市其他</v>
      </c>
      <c r="AD951" t="str">
        <v>為國內衛生棉及化妝棉、濕紙巾之製造龍頭企業</v>
      </c>
      <c r="AE951" t="str">
        <f t="array" ref="AE951:AH951">[1]!'9919.TW-CName,InvestorConferenceDate,DateofMeetingofShareHolders,TradingDate'</f>
        <v>康那香</v>
      </c>
      <c r="AF951" t="str">
        <v>2022/04/26</v>
      </c>
      <c r="AG951" t="str">
        <v>2022/06/16</v>
      </c>
      <c r="AH951" t="str">
        <v>2022/12/22</v>
      </c>
    </row>
    <row r="952" spans="1:34" x14ac:dyDescent="0.3">
      <c r="A952" t="str">
        <f t="array" ref="A952:J952">[1]!'9921.TW-ID,Name,MarketValue,Capital,NetIncomeGrowthRate,OperIncomeGrowthRate,FinancialStatementsTime,TFXRatio,MonthlyNetSalesYoY,RevenueMonth'</f>
        <v>9921</v>
      </c>
      <c r="B952" t="str">
        <v>巨大</v>
      </c>
      <c r="C952" t="str">
        <v>829.2</v>
      </c>
      <c r="D952" t="str">
        <v>39.21</v>
      </c>
      <c r="E952" t="str">
        <v>14.50</v>
      </c>
      <c r="F952" t="str">
        <v>-3.94</v>
      </c>
      <c r="G952" t="str">
        <v>2022/09</v>
      </c>
      <c r="H952" t="str">
        <v>-4.19</v>
      </c>
      <c r="I952" t="str">
        <v>8.52</v>
      </c>
      <c r="J952" t="str">
        <v>2022/11</v>
      </c>
      <c r="K952" t="str">
        <f t="array" ref="K952:T952">[1]!'9921.TW-OperatingProfitRatio,Price,PriceChangeRatio,InOutRatioNumber,Value,YearReturn,MonthReturn,WeekReturn,FinanceBalanceDif,ChipsField2'</f>
        <v>9.72</v>
      </c>
      <c r="L952">
        <v>211.5</v>
      </c>
      <c r="M952">
        <v>2.17</v>
      </c>
      <c r="N952" t="str">
        <v>69.88%</v>
      </c>
      <c r="O952" t="str">
        <v>1.10億</v>
      </c>
      <c r="P952" t="str">
        <v>-34.09</v>
      </c>
      <c r="Q952" t="str">
        <v>-7.64</v>
      </c>
      <c r="R952" t="str">
        <v>-1.40</v>
      </c>
      <c r="S952">
        <v>8</v>
      </c>
      <c r="T952">
        <v>0</v>
      </c>
      <c r="U952">
        <f t="array" ref="U952:AD952">[1]!'9921.TW-ChipsField3,ChipsField1,ChipsField25,CashAndStockDividend,CashDividendYieldRate,ProfitFourSeason,ProfitSingle,CName,ExchangeIndustry,CompanyPos'</f>
        <v>-42</v>
      </c>
      <c r="V952">
        <v>40</v>
      </c>
      <c r="W952" t="str">
        <v>2022/08/19</v>
      </c>
      <c r="X952" t="str">
        <v>10.00</v>
      </c>
      <c r="Y952">
        <v>4.7300000000000004</v>
      </c>
      <c r="Z952" t="str">
        <v>17.94</v>
      </c>
      <c r="AA952" t="str">
        <v>5.35</v>
      </c>
      <c r="AB952" t="str">
        <v>巨大</v>
      </c>
      <c r="AC952" t="str">
        <v>上市其他</v>
      </c>
      <c r="AD952" t="str">
        <v>全球最大自行車生產廠商</v>
      </c>
      <c r="AE952" t="str">
        <f t="array" ref="AE952:AH952">[1]!'9921.TW-CName,InvestorConferenceDate,DateofMeetingofShareHolders,TradingDate'</f>
        <v>巨大</v>
      </c>
      <c r="AF952" t="str">
        <v>2021/08/11</v>
      </c>
      <c r="AG952" t="str">
        <v>2022/06/23</v>
      </c>
      <c r="AH952" t="str">
        <v>2022/12/22</v>
      </c>
    </row>
    <row r="953" spans="1:34" x14ac:dyDescent="0.3">
      <c r="A953" t="str">
        <f t="array" ref="A953:J953">[1]!'9924.TW-ID,Name,MarketValue,Capital,NetIncomeGrowthRate,OperIncomeGrowthRate,FinancialStatementsTime,TFXRatio,MonthlyNetSalesYoY,RevenueMonth'</f>
        <v>9924</v>
      </c>
      <c r="B953" t="str">
        <v>福興</v>
      </c>
      <c r="C953" t="str">
        <v>77.9</v>
      </c>
      <c r="D953" t="str">
        <v>18.85</v>
      </c>
      <c r="E953" t="str">
        <v>48.43</v>
      </c>
      <c r="F953" t="str">
        <v>12.56</v>
      </c>
      <c r="G953" t="str">
        <v>2022/09</v>
      </c>
      <c r="H953" t="str">
        <v>-1.78</v>
      </c>
      <c r="I953" t="str">
        <v>-9.44</v>
      </c>
      <c r="J953" t="str">
        <v>2022/11</v>
      </c>
      <c r="K953" t="str">
        <f t="array" ref="K953:T953">[1]!'9924.TW-OperatingProfitRatio,Price,PriceChangeRatio,InOutRatioNumber,Value,YearReturn,MonthReturn,WeekReturn,FinanceBalanceDif,ChipsField2'</f>
        <v>8.80</v>
      </c>
      <c r="L953">
        <v>41.35</v>
      </c>
      <c r="M953">
        <v>0.49</v>
      </c>
      <c r="N953" t="str">
        <v>37.50%</v>
      </c>
      <c r="O953" t="str">
        <v>66.1萬</v>
      </c>
      <c r="P953" t="str">
        <v>+7.07</v>
      </c>
      <c r="Q953" t="str">
        <v>+0.12</v>
      </c>
      <c r="R953" t="str">
        <v>-1.31</v>
      </c>
      <c r="S953">
        <v>0</v>
      </c>
      <c r="T953">
        <v>0</v>
      </c>
      <c r="U953">
        <f t="array" ref="U953:AD953">[1]!'9924.TW-ChipsField3,ChipsField1,ChipsField25,CashAndStockDividend,CashDividendYieldRate,ProfitFourSeason,ProfitSingle,CName,ExchangeIndustry,CompanyPos'</f>
        <v>-2</v>
      </c>
      <c r="V953">
        <v>-18</v>
      </c>
      <c r="W953" t="str">
        <v>2022/06/16</v>
      </c>
      <c r="X953" t="str">
        <v>2.40</v>
      </c>
      <c r="Y953">
        <v>5.8</v>
      </c>
      <c r="Z953" t="str">
        <v>4.91</v>
      </c>
      <c r="AA953" t="str">
        <v>2.01</v>
      </c>
      <c r="AB953" t="str">
        <v>福興</v>
      </c>
      <c r="AC953" t="str">
        <v>上市其他</v>
      </c>
      <c r="AD953" t="str">
        <v>亞洲最大，全球第二大門鎖廠商</v>
      </c>
      <c r="AE953" t="str">
        <f t="array" ref="AE953:AH953">[1]!'9924.TW-CName,InvestorConferenceDate,DateofMeetingofShareHolders,TradingDate'</f>
        <v>福興</v>
      </c>
      <c r="AF953" t="str">
        <v>2022/12/08</v>
      </c>
      <c r="AG953" t="str">
        <v>2022/05/27</v>
      </c>
      <c r="AH953" t="str">
        <v>2022/12/22</v>
      </c>
    </row>
    <row r="954" spans="1:34" x14ac:dyDescent="0.3">
      <c r="A954" t="str">
        <f t="array" ref="A954:J954">[1]!'9925.TW-ID,Name,MarketValue,Capital,NetIncomeGrowthRate,OperIncomeGrowthRate,FinancialStatementsTime,TFXRatio,MonthlyNetSalesYoY,RevenueMonth'</f>
        <v>9925</v>
      </c>
      <c r="B954" t="str">
        <v>新保</v>
      </c>
      <c r="C954" t="str">
        <v>151.7</v>
      </c>
      <c r="D954" t="str">
        <v>38.75</v>
      </c>
      <c r="E954" t="str">
        <v>1.40</v>
      </c>
      <c r="F954" t="str">
        <v>2.19</v>
      </c>
      <c r="G954" t="str">
        <v>2022/09</v>
      </c>
      <c r="H954" t="str">
        <v>-0.10</v>
      </c>
      <c r="I954" t="str">
        <v>0.16</v>
      </c>
      <c r="J954" t="str">
        <v>2022/11</v>
      </c>
      <c r="K954" t="str">
        <f t="array" ref="K954:T954">[1]!'9925.TW-OperatingProfitRatio,Price,PriceChangeRatio,InOutRatioNumber,Value,YearReturn,MonthReturn,WeekReturn,FinanceBalanceDif,ChipsField2'</f>
        <v>13.09</v>
      </c>
      <c r="L954">
        <v>39.15</v>
      </c>
      <c r="M954">
        <v>0.13</v>
      </c>
      <c r="N954" t="str">
        <v>36.17%</v>
      </c>
      <c r="O954" t="str">
        <v>184萬</v>
      </c>
      <c r="P954" t="str">
        <v>+5.05</v>
      </c>
      <c r="Q954" t="str">
        <v>+1.03</v>
      </c>
      <c r="R954" t="str">
        <v>-0.38</v>
      </c>
      <c r="S954">
        <v>0</v>
      </c>
      <c r="T954">
        <v>0</v>
      </c>
      <c r="U954">
        <f t="array" ref="U954:AD954">[1]!'9925.TW-ChipsField3,ChipsField1,ChipsField25,CashAndStockDividend,CashDividendYieldRate,ProfitFourSeason,ProfitSingle,CName,ExchangeIndustry,CompanyPos'</f>
        <v>0</v>
      </c>
      <c r="V954">
        <v>-37</v>
      </c>
      <c r="W954" t="str">
        <v>2022/07/26</v>
      </c>
      <c r="X954" t="str">
        <v>2.00</v>
      </c>
      <c r="Y954">
        <v>5.1100000000000003</v>
      </c>
      <c r="Z954" t="str">
        <v>2.55</v>
      </c>
      <c r="AA954" t="str">
        <v>0.55</v>
      </c>
      <c r="AB954" t="str">
        <v>新保</v>
      </c>
      <c r="AC954" t="str">
        <v>上市其他</v>
      </c>
      <c r="AD954" t="str">
        <v>台灣第二大保全業者</v>
      </c>
      <c r="AE954" t="str">
        <f t="array" ref="AE954:AH954">[1]!'9925.TW-CName,InvestorConferenceDate,DateofMeetingofShareHolders,TradingDate'</f>
        <v>新保</v>
      </c>
      <c r="AF954" t="str">
        <v>2022/10/26</v>
      </c>
      <c r="AG954" t="str">
        <v>2022/06/24</v>
      </c>
      <c r="AH954" t="str">
        <v>2022/12/22</v>
      </c>
    </row>
    <row r="955" spans="1:34" x14ac:dyDescent="0.3">
      <c r="A955" t="str">
        <f t="array" ref="A955:J955">[1]!'9927.TW-ID,Name,MarketValue,Capital,NetIncomeGrowthRate,OperIncomeGrowthRate,FinancialStatementsTime,TFXRatio,MonthlyNetSalesYoY,RevenueMonth'</f>
        <v>9927</v>
      </c>
      <c r="B955" t="str">
        <v>泰銘</v>
      </c>
      <c r="C955" t="str">
        <v>63.2</v>
      </c>
      <c r="D955" t="str">
        <v>16.73</v>
      </c>
      <c r="E955" t="str">
        <v>-7.57</v>
      </c>
      <c r="F955" t="str">
        <v>-30.81</v>
      </c>
      <c r="G955" t="str">
        <v>2022/09</v>
      </c>
      <c r="H955" t="str">
        <v>13.99</v>
      </c>
      <c r="I955" t="str">
        <v>-20.20</v>
      </c>
      <c r="J955" t="str">
        <v>2022/11</v>
      </c>
      <c r="K955" t="str">
        <f t="array" ref="K955:T955">[1]!'9927.TW-OperatingProfitRatio,Price,PriceChangeRatio,InOutRatioNumber,Value,YearReturn,MonthReturn,WeekReturn,FinanceBalanceDif,ChipsField2'</f>
        <v>7.40</v>
      </c>
      <c r="L955">
        <v>37.75</v>
      </c>
      <c r="M955">
        <v>2.17</v>
      </c>
      <c r="N955" t="str">
        <v>67.83%</v>
      </c>
      <c r="O955" t="str">
        <v>439萬</v>
      </c>
      <c r="P955" t="str">
        <v>+10.45</v>
      </c>
      <c r="Q955" t="str">
        <v>+2.86</v>
      </c>
      <c r="R955" t="str">
        <v>+1.07</v>
      </c>
      <c r="S955">
        <v>1</v>
      </c>
      <c r="T955">
        <v>0</v>
      </c>
      <c r="U955">
        <f t="array" ref="U955:AD955">[1]!'9927.TW-ChipsField3,ChipsField1,ChipsField25,CashAndStockDividend,CashDividendYieldRate,ProfitFourSeason,ProfitSingle,CName,ExchangeIndustry,CompanyPos'</f>
        <v>-10</v>
      </c>
      <c r="V955">
        <v>-4</v>
      </c>
      <c r="W955" t="str">
        <v>2022/09/06</v>
      </c>
      <c r="X955" t="str">
        <v>4.50</v>
      </c>
      <c r="Y955">
        <v>11.92</v>
      </c>
      <c r="Z955" t="str">
        <v>4.24</v>
      </c>
      <c r="AA955" t="str">
        <v>0.93</v>
      </c>
      <c r="AB955" t="str">
        <v>泰銘</v>
      </c>
      <c r="AC955" t="str">
        <v>上市其他</v>
      </c>
      <c r="AD955" t="str">
        <v>亞洲最大合金鉛製造廠商之一</v>
      </c>
      <c r="AE955" t="str">
        <f t="array" ref="AE955:AH955">[1]!'9927.TW-CName,InvestorConferenceDate,DateofMeetingofShareHolders,TradingDate'</f>
        <v>泰銘</v>
      </c>
      <c r="AF955" t="str">
        <v>2022/11/29</v>
      </c>
      <c r="AG955" t="str">
        <v>2022/06/14</v>
      </c>
      <c r="AH955" t="str">
        <v>2022/12/22</v>
      </c>
    </row>
    <row r="956" spans="1:34" x14ac:dyDescent="0.3">
      <c r="A956" t="str">
        <f t="array" ref="A956:J956">[1]!'9928.TW-ID,Name,MarketValue,Capital,NetIncomeGrowthRate,OperIncomeGrowthRate,FinancialStatementsTime,TFXRatio,MonthlyNetSalesYoY,RevenueMonth'</f>
        <v>9928</v>
      </c>
      <c r="B956" t="str">
        <v>中視</v>
      </c>
      <c r="C956" t="str">
        <v>11.1</v>
      </c>
      <c r="D956" t="str">
        <v>6.07</v>
      </c>
      <c r="E956" t="str">
        <v>62.54</v>
      </c>
      <c r="F956" t="str">
        <v>35.24</v>
      </c>
      <c r="G956" t="str">
        <v>2022/09</v>
      </c>
      <c r="H956" t="str">
        <v>17.44</v>
      </c>
      <c r="I956" t="str">
        <v>15.62</v>
      </c>
      <c r="J956" t="str">
        <v>2022/11</v>
      </c>
      <c r="K956" t="str">
        <f t="array" ref="K956:T956">[1]!'9928.TW-OperatingProfitRatio,Price,PriceChangeRatio,InOutRatioNumber,Value,YearReturn,MonthReturn,WeekReturn,FinanceBalanceDif,ChipsField2'</f>
        <v>-10.32</v>
      </c>
      <c r="L956">
        <v>18.3</v>
      </c>
      <c r="M956">
        <v>1.1000000000000001</v>
      </c>
      <c r="N956" t="str">
        <v>75.63%</v>
      </c>
      <c r="O956" t="str">
        <v>220萬</v>
      </c>
      <c r="P956" t="str">
        <v>+21.90</v>
      </c>
      <c r="Q956" t="str">
        <v>-16.82</v>
      </c>
      <c r="R956" t="str">
        <v>-6.39</v>
      </c>
      <c r="S956">
        <v>0</v>
      </c>
      <c r="T956">
        <v>0</v>
      </c>
      <c r="U956">
        <f t="array" ref="U956:AD956">[1]!'9928.TW-ChipsField3,ChipsField1,ChipsField25,CashAndStockDividend,CashDividendYieldRate,ProfitFourSeason,ProfitSingle,CName,ExchangeIndustry,CompanyPos'</f>
        <v>0</v>
      </c>
      <c r="V956">
        <v>0</v>
      </c>
      <c r="W956" t="str">
        <v>--</v>
      </c>
      <c r="X956" t="str">
        <v>0.00</v>
      </c>
      <c r="Y956">
        <v>0</v>
      </c>
      <c r="Z956" t="str">
        <v>0.05</v>
      </c>
      <c r="AA956" t="str">
        <v>-0.16</v>
      </c>
      <c r="AB956" t="str">
        <v>中視</v>
      </c>
      <c r="AC956" t="str">
        <v>上市其他</v>
      </c>
      <c r="AD956" t="str">
        <v>台灣五家無線電視台之一</v>
      </c>
      <c r="AE956" t="str">
        <f t="array" ref="AE956:AH956">[1]!'9928.TW-CName,InvestorConferenceDate,DateofMeetingofShareHolders,TradingDate'</f>
        <v>中視</v>
      </c>
      <c r="AF956" t="str">
        <v>2022/11/25</v>
      </c>
      <c r="AG956" t="str">
        <v>2022/06/24</v>
      </c>
      <c r="AH956" t="str">
        <v>2022/12/22</v>
      </c>
    </row>
    <row r="957" spans="1:34" x14ac:dyDescent="0.3">
      <c r="A957" t="str">
        <f t="array" ref="A957:J957">[1]!'9929.TW-ID,Name,MarketValue,Capital,NetIncomeGrowthRate,OperIncomeGrowthRate,FinancialStatementsTime,TFXRatio,MonthlyNetSalesYoY,RevenueMonth'</f>
        <v>9929</v>
      </c>
      <c r="B957" t="str">
        <v>秋雨</v>
      </c>
      <c r="C957" t="str">
        <v>8.6</v>
      </c>
      <c r="D957" t="str">
        <v>10.13</v>
      </c>
      <c r="E957" t="str">
        <v>-1286.39</v>
      </c>
      <c r="F957" t="str">
        <v>-109.37</v>
      </c>
      <c r="G957" t="str">
        <v>2022/09</v>
      </c>
      <c r="H957" t="str">
        <v>17.81</v>
      </c>
      <c r="I957" t="str">
        <v>29.00</v>
      </c>
      <c r="J957" t="str">
        <v>2022/11</v>
      </c>
      <c r="K957" t="str">
        <f t="array" ref="K957:T957">[1]!'9929.TW-OperatingProfitRatio,Price,PriceChangeRatio,InOutRatioNumber,Value,YearReturn,MonthReturn,WeekReturn,FinanceBalanceDif,ChipsField2'</f>
        <v>-0.24</v>
      </c>
      <c r="L957">
        <v>8.4499999999999993</v>
      </c>
      <c r="M957">
        <v>-1.29</v>
      </c>
      <c r="N957" t="str">
        <v>0.00%</v>
      </c>
      <c r="O957" t="str">
        <v>2.54萬</v>
      </c>
      <c r="P957" t="str">
        <v>-10.20</v>
      </c>
      <c r="Q957" t="str">
        <v>-2.99</v>
      </c>
      <c r="R957" t="str">
        <v>-0.59</v>
      </c>
      <c r="S957">
        <v>-7</v>
      </c>
      <c r="T957">
        <v>0</v>
      </c>
      <c r="U957">
        <f t="array" ref="U957:AD957">[1]!'9929.TW-ChipsField3,ChipsField1,ChipsField25,CashAndStockDividend,CashDividendYieldRate,ProfitFourSeason,ProfitSingle,CName,ExchangeIndustry,CompanyPos'</f>
        <v>0</v>
      </c>
      <c r="V957">
        <v>1</v>
      </c>
      <c r="W957" t="str">
        <v>--</v>
      </c>
      <c r="X957" t="str">
        <v>0.00</v>
      </c>
      <c r="Y957">
        <v>0</v>
      </c>
      <c r="Z957" t="str">
        <v>-0.89</v>
      </c>
      <c r="AA957" t="str">
        <v>0.14</v>
      </c>
      <c r="AB957" t="str">
        <v>秋雨</v>
      </c>
      <c r="AC957" t="str">
        <v>上市其他</v>
      </c>
      <c r="AD957" t="str">
        <v>台灣第一家股票上市之印刷業者</v>
      </c>
      <c r="AE957" t="str">
        <f t="array" ref="AE957:AH957">[1]!'9929.TW-CName,InvestorConferenceDate,DateofMeetingofShareHolders,TradingDate'</f>
        <v>秋雨</v>
      </c>
      <c r="AF957" t="str">
        <v>2022/11/29</v>
      </c>
      <c r="AG957" t="str">
        <v>2022/05/26</v>
      </c>
      <c r="AH957" t="str">
        <v>2022/12/22</v>
      </c>
    </row>
    <row r="958" spans="1:34" x14ac:dyDescent="0.3">
      <c r="A958" t="str">
        <f t="array" ref="A958:J958">[1]!'9930.TW-ID,Name,MarketValue,Capital,NetIncomeGrowthRate,OperIncomeGrowthRate,FinancialStatementsTime,TFXRatio,MonthlyNetSalesYoY,RevenueMonth'</f>
        <v>9930</v>
      </c>
      <c r="B958" t="str">
        <v>中聯資源</v>
      </c>
      <c r="C958" t="str">
        <v>115.3</v>
      </c>
      <c r="D958" t="str">
        <v>24.85</v>
      </c>
      <c r="E958" t="str">
        <v>14.41</v>
      </c>
      <c r="F958" t="str">
        <v>9.38</v>
      </c>
      <c r="G958" t="str">
        <v>2022/09</v>
      </c>
      <c r="H958" t="str">
        <v>-0.74</v>
      </c>
      <c r="I958" t="str">
        <v>-0.68</v>
      </c>
      <c r="J958" t="str">
        <v>2022/11</v>
      </c>
      <c r="K958" t="str">
        <f t="array" ref="K958:T958">[1]!'9930.TW-OperatingProfitRatio,Price,PriceChangeRatio,InOutRatioNumber,Value,YearReturn,MonthReturn,WeekReturn,FinanceBalanceDif,ChipsField2'</f>
        <v>8.43</v>
      </c>
      <c r="L958">
        <v>46.4</v>
      </c>
      <c r="M958">
        <v>0.43</v>
      </c>
      <c r="N958" t="str">
        <v>48.48%</v>
      </c>
      <c r="O958" t="str">
        <v>153萬</v>
      </c>
      <c r="P958" t="str">
        <v>+9.20</v>
      </c>
      <c r="Q958" t="str">
        <v>+2.09</v>
      </c>
      <c r="R958" t="str">
        <v>-0.22</v>
      </c>
      <c r="S958">
        <v>0</v>
      </c>
      <c r="T958">
        <v>0</v>
      </c>
      <c r="U958">
        <f t="array" ref="U958:AD958">[1]!'9930.TW-ChipsField3,ChipsField1,ChipsField25,CashAndStockDividend,CashDividendYieldRate,ProfitFourSeason,ProfitSingle,CName,ExchangeIndustry,CompanyPos'</f>
        <v>-3</v>
      </c>
      <c r="V958">
        <v>-5</v>
      </c>
      <c r="W958" t="str">
        <v>2022/07/14</v>
      </c>
      <c r="X958" t="str">
        <v>2.50</v>
      </c>
      <c r="Y958">
        <v>5.39</v>
      </c>
      <c r="Z958" t="str">
        <v>3.20</v>
      </c>
      <c r="AA958" t="str">
        <v>0.86</v>
      </c>
      <c r="AB958" t="str">
        <v>中聯資源</v>
      </c>
      <c r="AC958" t="str">
        <v>上市其他</v>
      </c>
      <c r="AD958" t="str">
        <v>主營採用中鋼爐石粉製造高強度水泥</v>
      </c>
      <c r="AE958" t="str">
        <f t="array" ref="AE958:AH958">[1]!'9930.TW-CName,InvestorConferenceDate,DateofMeetingofShareHolders,TradingDate'</f>
        <v>中聯資源</v>
      </c>
      <c r="AF958" t="str">
        <v>2022/12/20</v>
      </c>
      <c r="AG958" t="str">
        <v>2022/06/23</v>
      </c>
      <c r="AH958" t="str">
        <v>2022/12/22</v>
      </c>
    </row>
    <row r="959" spans="1:34" x14ac:dyDescent="0.3">
      <c r="A959" t="str">
        <f t="array" ref="A959:J959">[1]!'9933.TW-ID,Name,MarketValue,Capital,NetIncomeGrowthRate,OperIncomeGrowthRate,FinancialStatementsTime,TFXRatio,MonthlyNetSalesYoY,RevenueMonth'</f>
        <v>9933</v>
      </c>
      <c r="B959" t="str">
        <v>中鼎</v>
      </c>
      <c r="C959" t="str">
        <v>326.9</v>
      </c>
      <c r="D959" t="str">
        <v>79.01</v>
      </c>
      <c r="E959" t="str">
        <v>88.00</v>
      </c>
      <c r="F959" t="str">
        <v>99.43</v>
      </c>
      <c r="G959" t="str">
        <v>2022/09</v>
      </c>
      <c r="H959" t="str">
        <v>16.23</v>
      </c>
      <c r="I959" t="str">
        <v>41.41</v>
      </c>
      <c r="J959" t="str">
        <v>2022/11</v>
      </c>
      <c r="K959" t="str">
        <f t="array" ref="K959:T959">[1]!'9933.TW-OperatingProfitRatio,Price,PriceChangeRatio,InOutRatioNumber,Value,YearReturn,MonthReturn,WeekReturn,FinanceBalanceDif,ChipsField2'</f>
        <v>4.01</v>
      </c>
      <c r="L959">
        <v>41.6</v>
      </c>
      <c r="M959">
        <v>0.24</v>
      </c>
      <c r="N959" t="str">
        <v>43.53%</v>
      </c>
      <c r="O959" t="str">
        <v>6664萬</v>
      </c>
      <c r="P959" t="str">
        <v>+18.71</v>
      </c>
      <c r="Q959" t="str">
        <v>+3.61</v>
      </c>
      <c r="R959" t="str">
        <v>-2.92</v>
      </c>
      <c r="S959">
        <v>-15</v>
      </c>
      <c r="T959">
        <v>0</v>
      </c>
      <c r="U959">
        <f t="array" ref="U959:AD959">[1]!'9933.TW-ChipsField3,ChipsField1,ChipsField25,CashAndStockDividend,CashDividendYieldRate,ProfitFourSeason,ProfitSingle,CName,ExchangeIndustry,CompanyPos'</f>
        <v>-109</v>
      </c>
      <c r="V959">
        <v>99</v>
      </c>
      <c r="W959" t="str">
        <v>2022/07/01</v>
      </c>
      <c r="X959" t="str">
        <v>2.26</v>
      </c>
      <c r="Y959">
        <v>5.43</v>
      </c>
      <c r="Z959" t="str">
        <v>3.28</v>
      </c>
      <c r="AA959" t="str">
        <v>0.44</v>
      </c>
      <c r="AB959" t="str">
        <v>中鼎</v>
      </c>
      <c r="AC959" t="str">
        <v>上市其他</v>
      </c>
      <c r="AD959" t="str">
        <v>台灣最大統包工程公司</v>
      </c>
      <c r="AE959" t="str">
        <f t="array" ref="AE959:AH959">[1]!'9933.TW-CName,InvestorConferenceDate,DateofMeetingofShareHolders,TradingDate'</f>
        <v>中鼎</v>
      </c>
      <c r="AF959" t="str">
        <v>2022/11/10</v>
      </c>
      <c r="AG959" t="str">
        <v>2022/05/26</v>
      </c>
      <c r="AH959" t="str">
        <v>2022/12/22</v>
      </c>
    </row>
    <row r="960" spans="1:34" x14ac:dyDescent="0.3">
      <c r="A960" t="str">
        <f t="array" ref="A960:J960">[1]!'9934.TW-ID,Name,MarketValue,Capital,NetIncomeGrowthRate,OperIncomeGrowthRate,FinancialStatementsTime,TFXRatio,MonthlyNetSalesYoY,RevenueMonth'</f>
        <v>9934</v>
      </c>
      <c r="B960" t="str">
        <v>成霖</v>
      </c>
      <c r="C960" t="str">
        <v>47.8</v>
      </c>
      <c r="D960" t="str">
        <v>35.84</v>
      </c>
      <c r="E960" t="str">
        <v>-837.95</v>
      </c>
      <c r="F960" t="str">
        <v>-398.53</v>
      </c>
      <c r="G960" t="str">
        <v>2022/09</v>
      </c>
      <c r="H960" t="str">
        <v>-3.14</v>
      </c>
      <c r="I960" t="str">
        <v>-1.70</v>
      </c>
      <c r="J960" t="str">
        <v>2022/11</v>
      </c>
      <c r="K960" t="str">
        <f t="array" ref="K960:T960">[1]!'9934.TW-OperatingProfitRatio,Price,PriceChangeRatio,InOutRatioNumber,Value,YearReturn,MonthReturn,WeekReturn,FinanceBalanceDif,ChipsField2'</f>
        <v>-5.34</v>
      </c>
      <c r="L960">
        <v>13.35</v>
      </c>
      <c r="M960">
        <v>1.91</v>
      </c>
      <c r="N960" t="str">
        <v>63.98%</v>
      </c>
      <c r="O960" t="str">
        <v>347萬</v>
      </c>
      <c r="P960" t="str">
        <v>-9.18</v>
      </c>
      <c r="Q960" t="str">
        <v>+2.69</v>
      </c>
      <c r="R960" t="str">
        <v>+0.38</v>
      </c>
      <c r="S960">
        <v>-4</v>
      </c>
      <c r="T960">
        <v>0</v>
      </c>
      <c r="U960">
        <f t="array" ref="U960:AD960">[1]!'9934.TW-ChipsField3,ChipsField1,ChipsField25,CashAndStockDividend,CashDividendYieldRate,ProfitFourSeason,ProfitSingle,CName,ExchangeIndustry,CompanyPos'</f>
        <v>-3</v>
      </c>
      <c r="V960">
        <v>-19</v>
      </c>
      <c r="W960" t="str">
        <v>--</v>
      </c>
      <c r="X960" t="str">
        <v>0.00</v>
      </c>
      <c r="Y960">
        <v>0</v>
      </c>
      <c r="Z960" t="str">
        <v>-3.11</v>
      </c>
      <c r="AA960" t="str">
        <v>0.26</v>
      </c>
      <c r="AB960" t="str">
        <v>成霖</v>
      </c>
      <c r="AC960" t="str">
        <v>上市其他</v>
      </c>
      <c r="AD960" t="str">
        <v>亞洲最大水龍頭專業製造廠商</v>
      </c>
      <c r="AE960" t="str">
        <f t="array" ref="AE960:AH960">[1]!'9934.TW-CName,InvestorConferenceDate,DateofMeetingofShareHolders,TradingDate'</f>
        <v>成霖</v>
      </c>
      <c r="AF960" t="str">
        <v>2022/11/10</v>
      </c>
      <c r="AG960" t="str">
        <v>2022/05/27</v>
      </c>
      <c r="AH960" t="str">
        <v>2022/12/22</v>
      </c>
    </row>
    <row r="961" spans="1:34" x14ac:dyDescent="0.3">
      <c r="A961" t="str">
        <f t="array" ref="A961:J961">[1]!'9935.TW-ID,Name,MarketValue,Capital,NetIncomeGrowthRate,OperIncomeGrowthRate,FinancialStatementsTime,TFXRatio,MonthlyNetSalesYoY,RevenueMonth'</f>
        <v>9935</v>
      </c>
      <c r="B961" t="str">
        <v>慶豐富</v>
      </c>
      <c r="C961" t="str">
        <v>29.3</v>
      </c>
      <c r="D961" t="str">
        <v>16.96</v>
      </c>
      <c r="E961" t="str">
        <v>185.15</v>
      </c>
      <c r="F961" t="str">
        <v>-22.76</v>
      </c>
      <c r="G961" t="str">
        <v>2022/09</v>
      </c>
      <c r="H961" t="str">
        <v>-26.37</v>
      </c>
      <c r="I961" t="str">
        <v>-24.12</v>
      </c>
      <c r="J961" t="str">
        <v>2022/11</v>
      </c>
      <c r="K961" t="str">
        <f t="array" ref="K961:T961">[1]!'9935.TW-OperatingProfitRatio,Price,PriceChangeRatio,InOutRatioNumber,Value,YearReturn,MonthReturn,WeekReturn,FinanceBalanceDif,ChipsField2'</f>
        <v>2.67</v>
      </c>
      <c r="L961">
        <v>17.25</v>
      </c>
      <c r="M961">
        <v>-1.1499999999999999</v>
      </c>
      <c r="N961" t="str">
        <v>20.49%</v>
      </c>
      <c r="O961" t="str">
        <v>213萬</v>
      </c>
      <c r="P961" t="str">
        <v>-10.38</v>
      </c>
      <c r="Q961" t="str">
        <v>-1.71</v>
      </c>
      <c r="R961" t="str">
        <v>-2.54</v>
      </c>
      <c r="S961">
        <v>-20</v>
      </c>
      <c r="T961">
        <v>0</v>
      </c>
      <c r="U961">
        <f t="array" ref="U961:AD961">[1]!'9935.TW-ChipsField3,ChipsField1,ChipsField25,CashAndStockDividend,CashDividendYieldRate,ProfitFourSeason,ProfitSingle,CName,ExchangeIndustry,CompanyPos'</f>
        <v>-12</v>
      </c>
      <c r="V961">
        <v>31</v>
      </c>
      <c r="W961" t="str">
        <v>2022/08/02</v>
      </c>
      <c r="X961" t="str">
        <v>0.51</v>
      </c>
      <c r="Y961">
        <v>2.96</v>
      </c>
      <c r="Z961" t="str">
        <v>1.19</v>
      </c>
      <c r="AA961" t="str">
        <v>0.62</v>
      </c>
      <c r="AB961" t="str">
        <v>慶豐富</v>
      </c>
      <c r="AC961" t="str">
        <v>上市其他</v>
      </c>
      <c r="AD961" t="str">
        <v>台灣第一大窗簾傢飾廠</v>
      </c>
      <c r="AE961" t="str">
        <f t="array" ref="AE961:AH961">[1]!'9935.TW-CName,InvestorConferenceDate,DateofMeetingofShareHolders,TradingDate'</f>
        <v>慶豐富</v>
      </c>
      <c r="AF961" t="str">
        <v>2022/06/10</v>
      </c>
      <c r="AG961" t="str">
        <v>2022/06/27</v>
      </c>
      <c r="AH961" t="str">
        <v>2022/12/22</v>
      </c>
    </row>
    <row r="962" spans="1:34" x14ac:dyDescent="0.3">
      <c r="A962" t="str">
        <f t="array" ref="A962:J962">[1]!'9938.TW-ID,Name,MarketValue,Capital,NetIncomeGrowthRate,OperIncomeGrowthRate,FinancialStatementsTime,TFXRatio,MonthlyNetSalesYoY,RevenueMonth'</f>
        <v>9938</v>
      </c>
      <c r="B962" t="str">
        <v>百和</v>
      </c>
      <c r="C962" t="str">
        <v>167.8</v>
      </c>
      <c r="D962" t="str">
        <v>29.80</v>
      </c>
      <c r="E962" t="str">
        <v>-18.56</v>
      </c>
      <c r="F962" t="str">
        <v>-26.93</v>
      </c>
      <c r="G962" t="str">
        <v>2022/09</v>
      </c>
      <c r="H962" t="str">
        <v>-5.65</v>
      </c>
      <c r="I962" t="str">
        <v>-34.22</v>
      </c>
      <c r="J962" t="str">
        <v>2022/11</v>
      </c>
      <c r="K962" t="str">
        <f t="array" ref="K962:T962">[1]!'9938.TW-OperatingProfitRatio,Price,PriceChangeRatio,InOutRatioNumber,Value,YearReturn,MonthReturn,WeekReturn,FinanceBalanceDif,ChipsField2'</f>
        <v>18.02</v>
      </c>
      <c r="L962">
        <v>56.3</v>
      </c>
      <c r="M962">
        <v>3.49</v>
      </c>
      <c r="N962" t="str">
        <v>52.71%</v>
      </c>
      <c r="O962" t="str">
        <v>2.69億</v>
      </c>
      <c r="P962" t="str">
        <v>-26.22</v>
      </c>
      <c r="Q962" t="str">
        <v>+3.49</v>
      </c>
      <c r="R962" t="str">
        <v>+2.55</v>
      </c>
      <c r="S962">
        <v>140</v>
      </c>
      <c r="T962">
        <v>120</v>
      </c>
      <c r="U962">
        <f t="array" ref="U962:AD962">[1]!'9938.TW-ChipsField3,ChipsField1,ChipsField25,CashAndStockDividend,CashDividendYieldRate,ProfitFourSeason,ProfitSingle,CName,ExchangeIndustry,CompanyPos'</f>
        <v>-139</v>
      </c>
      <c r="V962">
        <v>233</v>
      </c>
      <c r="W962" t="str">
        <v>2022/08/03</v>
      </c>
      <c r="X962" t="str">
        <v>3.50</v>
      </c>
      <c r="Y962">
        <v>6.22</v>
      </c>
      <c r="Z962" t="str">
        <v>6.26</v>
      </c>
      <c r="AA962" t="str">
        <v>1.34</v>
      </c>
      <c r="AB962" t="str">
        <v>百和</v>
      </c>
      <c r="AC962" t="str">
        <v>上市其他</v>
      </c>
      <c r="AD962" t="str">
        <v>全球最大黏扣帶製造商</v>
      </c>
      <c r="AE962" t="str">
        <f t="array" ref="AE962:AH962">[1]!'9938.TW-CName,InvestorConferenceDate,DateofMeetingofShareHolders,TradingDate'</f>
        <v>百和</v>
      </c>
      <c r="AF962" t="str">
        <v>2022/04/14</v>
      </c>
      <c r="AG962" t="str">
        <v>2022/06/24</v>
      </c>
      <c r="AH962" t="str">
        <v>2022/12/22</v>
      </c>
    </row>
    <row r="963" spans="1:34" x14ac:dyDescent="0.3">
      <c r="A963" t="str">
        <f t="array" ref="A963:J963">[1]!'9939.TW-ID,Name,MarketValue,Capital,NetIncomeGrowthRate,OperIncomeGrowthRate,FinancialStatementsTime,TFXRatio,MonthlyNetSalesYoY,RevenueMonth'</f>
        <v>9939</v>
      </c>
      <c r="B963" t="str">
        <v>宏全</v>
      </c>
      <c r="C963" t="str">
        <v>244.9</v>
      </c>
      <c r="D963" t="str">
        <v>28.78</v>
      </c>
      <c r="E963" t="str">
        <v>16.14</v>
      </c>
      <c r="F963" t="str">
        <v>2.70</v>
      </c>
      <c r="G963" t="str">
        <v>2022/09</v>
      </c>
      <c r="H963" t="str">
        <v>3.10</v>
      </c>
      <c r="I963" t="str">
        <v>13.05</v>
      </c>
      <c r="J963" t="str">
        <v>2022/11</v>
      </c>
      <c r="K963" t="str">
        <f t="array" ref="K963:T963">[1]!'9939.TW-OperatingProfitRatio,Price,PriceChangeRatio,InOutRatioNumber,Value,YearReturn,MonthReturn,WeekReturn,FinanceBalanceDif,ChipsField2'</f>
        <v>12.90</v>
      </c>
      <c r="L963">
        <v>85.1</v>
      </c>
      <c r="M963">
        <v>1.31</v>
      </c>
      <c r="N963" t="str">
        <v>48.71%</v>
      </c>
      <c r="O963" t="str">
        <v>5970萬</v>
      </c>
      <c r="P963" t="str">
        <v>+29.45</v>
      </c>
      <c r="Q963" t="str">
        <v>+3.28</v>
      </c>
      <c r="R963" t="str">
        <v>-0.23</v>
      </c>
      <c r="S963">
        <v>76</v>
      </c>
      <c r="T963">
        <v>23</v>
      </c>
      <c r="U963">
        <f t="array" ref="U963:AD963">[1]!'9939.TW-ChipsField3,ChipsField1,ChipsField25,CashAndStockDividend,CashDividendYieldRate,ProfitFourSeason,ProfitSingle,CName,ExchangeIndustry,CompanyPos'</f>
        <v>-295</v>
      </c>
      <c r="V963">
        <v>322</v>
      </c>
      <c r="W963" t="str">
        <v>2022/07/06</v>
      </c>
      <c r="X963" t="str">
        <v>4.30</v>
      </c>
      <c r="Y963">
        <v>5.05</v>
      </c>
      <c r="Z963" t="str">
        <v>7.76</v>
      </c>
      <c r="AA963" t="str">
        <v>2.57</v>
      </c>
      <c r="AB963" t="str">
        <v>宏全</v>
      </c>
      <c r="AC963" t="str">
        <v>上市其他</v>
      </c>
      <c r="AD963" t="str">
        <v>台灣最大的飲料包材及飲料代工製造商</v>
      </c>
      <c r="AE963" t="str">
        <f t="array" ref="AE963:AH963">[1]!'9939.TW-CName,InvestorConferenceDate,DateofMeetingofShareHolders,TradingDate'</f>
        <v>宏全</v>
      </c>
      <c r="AF963" t="str">
        <v>2022/08/17</v>
      </c>
      <c r="AG963" t="str">
        <v>2022/06/17</v>
      </c>
      <c r="AH963" t="str">
        <v>2022/12/22</v>
      </c>
    </row>
    <row r="964" spans="1:34" x14ac:dyDescent="0.3">
      <c r="A964" t="str">
        <f t="array" ref="A964:J964">[1]!'9940.TW-ID,Name,MarketValue,Capital,NetIncomeGrowthRate,OperIncomeGrowthRate,FinancialStatementsTime,TFXRatio,MonthlyNetSalesYoY,RevenueMonth'</f>
        <v>9940</v>
      </c>
      <c r="B964" t="str">
        <v>信義</v>
      </c>
      <c r="C964" t="str">
        <v>200.8</v>
      </c>
      <c r="D964" t="str">
        <v>73.68</v>
      </c>
      <c r="E964" t="str">
        <v>-40.81</v>
      </c>
      <c r="F964" t="str">
        <v>-42.12</v>
      </c>
      <c r="G964" t="str">
        <v>2022/09</v>
      </c>
      <c r="H964" t="str">
        <v>-14.80</v>
      </c>
      <c r="I964" t="str">
        <v>-55.85</v>
      </c>
      <c r="J964" t="str">
        <v>2022/11</v>
      </c>
      <c r="K964" t="str">
        <f t="array" ref="K964:T964">[1]!'9940.TW-OperatingProfitRatio,Price,PriceChangeRatio,InOutRatioNumber,Value,YearReturn,MonthReturn,WeekReturn,FinanceBalanceDif,ChipsField2'</f>
        <v>12.02</v>
      </c>
      <c r="L964">
        <v>27.25</v>
      </c>
      <c r="M964">
        <v>1.68</v>
      </c>
      <c r="N964" t="str">
        <v>41.58%</v>
      </c>
      <c r="O964" t="str">
        <v>551萬</v>
      </c>
      <c r="P964" t="str">
        <v>-18.59</v>
      </c>
      <c r="Q964" t="str">
        <v>-5.71</v>
      </c>
      <c r="R964" t="str">
        <v>-4.05</v>
      </c>
      <c r="S964">
        <v>28</v>
      </c>
      <c r="T964">
        <v>-482</v>
      </c>
      <c r="U964">
        <f t="array" ref="U964:AD964">[1]!'9940.TW-ChipsField3,ChipsField1,ChipsField25,CashAndStockDividend,CashDividendYieldRate,ProfitFourSeason,ProfitSingle,CName,ExchangeIndustry,CompanyPos'</f>
        <v>-19</v>
      </c>
      <c r="V964">
        <v>2</v>
      </c>
      <c r="W964" t="str">
        <v>2022/06/08</v>
      </c>
      <c r="X964" t="str">
        <v>2.80</v>
      </c>
      <c r="Y964">
        <v>10.28</v>
      </c>
      <c r="Z964" t="str">
        <v>2.26</v>
      </c>
      <c r="AA964" t="str">
        <v>0.27</v>
      </c>
      <c r="AB964" t="str">
        <v>信義</v>
      </c>
      <c r="AC964" t="str">
        <v>上市其他</v>
      </c>
      <c r="AD964" t="str">
        <v>台灣主要房仲業者</v>
      </c>
      <c r="AE964" t="str">
        <f t="array" ref="AE964:AH964">[1]!'9940.TW-CName,InvestorConferenceDate,DateofMeetingofShareHolders,TradingDate'</f>
        <v>信義</v>
      </c>
      <c r="AF964" t="str">
        <v>2022/11/11</v>
      </c>
      <c r="AG964" t="str">
        <v>2022/05/19</v>
      </c>
      <c r="AH964" t="str">
        <v>2022/12/22</v>
      </c>
    </row>
    <row r="965" spans="1:34" x14ac:dyDescent="0.3">
      <c r="A965" t="str">
        <f t="array" ref="A965:J965">[1]!'9941.TW-ID,Name,MarketValue,Capital,NetIncomeGrowthRate,OperIncomeGrowthRate,FinancialStatementsTime,TFXRatio,MonthlyNetSalesYoY,RevenueMonth'</f>
        <v>9941</v>
      </c>
      <c r="B965" t="str">
        <v>裕融</v>
      </c>
      <c r="C965" t="str">
        <v>778.0</v>
      </c>
      <c r="D965" t="str">
        <v>49.71</v>
      </c>
      <c r="E965" t="str">
        <v>22.56</v>
      </c>
      <c r="F965" t="str">
        <v>37.04</v>
      </c>
      <c r="G965" t="str">
        <v>2022/09</v>
      </c>
      <c r="H965" t="str">
        <v>2.93</v>
      </c>
      <c r="I965" t="str">
        <v>19.04</v>
      </c>
      <c r="J965" t="str">
        <v>2022/11</v>
      </c>
      <c r="K965" t="str">
        <f t="array" ref="K965:T965">[1]!'9941.TW-OperatingProfitRatio,Price,PriceChangeRatio,InOutRatioNumber,Value,YearReturn,MonthReturn,WeekReturn,FinanceBalanceDif,ChipsField2'</f>
        <v>25.66</v>
      </c>
      <c r="L965">
        <v>156.5</v>
      </c>
      <c r="M965">
        <v>0.97</v>
      </c>
      <c r="N965" t="str">
        <v>51.25%</v>
      </c>
      <c r="O965" t="str">
        <v>5731萬</v>
      </c>
      <c r="P965" t="str">
        <v>+10.88</v>
      </c>
      <c r="Q965" t="str">
        <v>+5.74</v>
      </c>
      <c r="R965" t="str">
        <v>-1.26</v>
      </c>
      <c r="S965">
        <v>-1</v>
      </c>
      <c r="T965">
        <v>0</v>
      </c>
      <c r="U965">
        <f t="array" ref="U965:AD965">[1]!'9941.TW-ChipsField3,ChipsField1,ChipsField25,CashAndStockDividend,CashDividendYieldRate,ProfitFourSeason,ProfitSingle,CName,ExchangeIndustry,CompanyPos'</f>
        <v>-24</v>
      </c>
      <c r="V965">
        <v>215</v>
      </c>
      <c r="W965" t="str">
        <v>2022/07/26</v>
      </c>
      <c r="X965" t="str">
        <v>7.20</v>
      </c>
      <c r="Y965">
        <v>4.5999999999999996</v>
      </c>
      <c r="Z965" t="str">
        <v>14.00</v>
      </c>
      <c r="AA965" t="str">
        <v>3.23</v>
      </c>
      <c r="AB965" t="str">
        <v>裕融</v>
      </c>
      <c r="AC965" t="str">
        <v>上市其他</v>
      </c>
      <c r="AD965" t="str">
        <v>裕隆集團旗下汽車融資業者</v>
      </c>
      <c r="AE965" t="str">
        <f t="array" ref="AE965:AH965">[1]!'9941.TW-CName,InvestorConferenceDate,DateofMeetingofShareHolders,TradingDate'</f>
        <v>裕融</v>
      </c>
      <c r="AF965" t="str">
        <v>2022/11/17</v>
      </c>
      <c r="AG965" t="str">
        <v>2022/06/21</v>
      </c>
      <c r="AH965" t="str">
        <v>2022/12/22</v>
      </c>
    </row>
    <row r="966" spans="1:34" x14ac:dyDescent="0.3">
      <c r="A966" t="str">
        <f t="array" ref="A966:J966">[1]!'9942.TW-ID,Name,MarketValue,Capital,NetIncomeGrowthRate,OperIncomeGrowthRate,FinancialStatementsTime,TFXRatio,MonthlyNetSalesYoY,RevenueMonth'</f>
        <v>9942</v>
      </c>
      <c r="B966" t="str">
        <v>茂順</v>
      </c>
      <c r="C966" t="str">
        <v>89.0</v>
      </c>
      <c r="D966" t="str">
        <v>8.32</v>
      </c>
      <c r="E966" t="str">
        <v>8.93</v>
      </c>
      <c r="F966" t="str">
        <v>-5.11</v>
      </c>
      <c r="G966" t="str">
        <v>2022/09</v>
      </c>
      <c r="H966" t="str">
        <v>6.76</v>
      </c>
      <c r="I966" t="str">
        <v>17.72</v>
      </c>
      <c r="J966" t="str">
        <v>2022/11</v>
      </c>
      <c r="K966" t="str">
        <f t="array" ref="K966:T966">[1]!'9942.TW-OperatingProfitRatio,Price,PriceChangeRatio,InOutRatioNumber,Value,YearReturn,MonthReturn,WeekReturn,FinanceBalanceDif,ChipsField2'</f>
        <v>19.47</v>
      </c>
      <c r="L966">
        <v>107</v>
      </c>
      <c r="M966">
        <v>0.94</v>
      </c>
      <c r="N966" t="str">
        <v>49.28%</v>
      </c>
      <c r="O966" t="str">
        <v>2313萬</v>
      </c>
      <c r="P966" t="str">
        <v>+25.47</v>
      </c>
      <c r="Q966" t="str">
        <v>-5.31</v>
      </c>
      <c r="R966" t="str">
        <v>0.00</v>
      </c>
      <c r="S966">
        <v>-13</v>
      </c>
      <c r="T966">
        <v>45</v>
      </c>
      <c r="U966">
        <f t="array" ref="U966:AD966">[1]!'9942.TW-ChipsField3,ChipsField1,ChipsField25,CashAndStockDividend,CashDividendYieldRate,ProfitFourSeason,ProfitSingle,CName,ExchangeIndustry,CompanyPos'</f>
        <v>0</v>
      </c>
      <c r="V966">
        <v>0</v>
      </c>
      <c r="W966" t="str">
        <v>2022/08/09</v>
      </c>
      <c r="X966" t="str">
        <v>5.00</v>
      </c>
      <c r="Y966">
        <v>4.67</v>
      </c>
      <c r="Z966" t="str">
        <v>6.98</v>
      </c>
      <c r="AA966" t="str">
        <v>2.50</v>
      </c>
      <c r="AB966" t="str">
        <v>茂順</v>
      </c>
      <c r="AC966" t="str">
        <v>上市其他</v>
      </c>
      <c r="AD966" t="str">
        <v>台灣第一大、全球前五大密封元件製造商</v>
      </c>
      <c r="AE966" t="str">
        <f t="array" ref="AE966:AH966">[1]!'9942.TW-CName,InvestorConferenceDate,DateofMeetingofShareHolders,TradingDate'</f>
        <v>茂順</v>
      </c>
      <c r="AF966" t="str">
        <v>2022/12/15</v>
      </c>
      <c r="AG966" t="str">
        <v>2022/06/09</v>
      </c>
      <c r="AH966" t="str">
        <v>2022/12/22</v>
      </c>
    </row>
    <row r="967" spans="1:34" x14ac:dyDescent="0.3">
      <c r="A967" t="str">
        <f t="array" ref="A967:J967">[1]!'9944.TW-ID,Name,MarketValue,Capital,NetIncomeGrowthRate,OperIncomeGrowthRate,FinancialStatementsTime,TFXRatio,MonthlyNetSalesYoY,RevenueMonth'</f>
        <v>9944</v>
      </c>
      <c r="B967" t="str">
        <v>新麗</v>
      </c>
      <c r="C967" t="str">
        <v>22.1</v>
      </c>
      <c r="D967" t="str">
        <v>10.91</v>
      </c>
      <c r="E967" t="str">
        <v>5.30</v>
      </c>
      <c r="F967" t="str">
        <v>11.25</v>
      </c>
      <c r="G967" t="str">
        <v>2022/09</v>
      </c>
      <c r="H967" t="str">
        <v>9.56</v>
      </c>
      <c r="I967" t="str">
        <v>-3.71</v>
      </c>
      <c r="J967" t="str">
        <v>2022/11</v>
      </c>
      <c r="K967" t="str">
        <f t="array" ref="K967:T967">[1]!'9944.TW-OperatingProfitRatio,Price,PriceChangeRatio,InOutRatioNumber,Value,YearReturn,MonthReturn,WeekReturn,FinanceBalanceDif,ChipsField2'</f>
        <v>5.70</v>
      </c>
      <c r="L967">
        <v>20.3</v>
      </c>
      <c r="M967">
        <v>-0.49</v>
      </c>
      <c r="N967" t="str">
        <v>20.83%</v>
      </c>
      <c r="O967" t="str">
        <v>133萬</v>
      </c>
      <c r="P967" t="str">
        <v>-11.18</v>
      </c>
      <c r="Q967" t="str">
        <v>+0.25</v>
      </c>
      <c r="R967" t="str">
        <v>-0.98</v>
      </c>
      <c r="S967">
        <v>3</v>
      </c>
      <c r="T967">
        <v>0</v>
      </c>
      <c r="U967">
        <f t="array" ref="U967:AD967">[1]!'9944.TW-ChipsField3,ChipsField1,ChipsField25,CashAndStockDividend,CashDividendYieldRate,ProfitFourSeason,ProfitSingle,CName,ExchangeIndustry,CompanyPos'</f>
        <v>0</v>
      </c>
      <c r="V967">
        <v>5</v>
      </c>
      <c r="W967" t="str">
        <v>2022/06/21</v>
      </c>
      <c r="X967" t="str">
        <v>1.00</v>
      </c>
      <c r="Y967">
        <v>4.93</v>
      </c>
      <c r="Z967" t="str">
        <v>4.85</v>
      </c>
      <c r="AA967" t="str">
        <v>-0.25</v>
      </c>
      <c r="AB967" t="str">
        <v>新麗</v>
      </c>
      <c r="AC967" t="str">
        <v>上市其他</v>
      </c>
      <c r="AD967" t="str">
        <v>東南亞最大的樹脂棉製造商之一</v>
      </c>
      <c r="AE967" t="str">
        <f t="array" ref="AE967:AH967">[1]!'9944.TW-CName,InvestorConferenceDate,DateofMeetingofShareHolders,TradingDate'</f>
        <v>新麗</v>
      </c>
      <c r="AF967" t="str">
        <v>2022/10/26</v>
      </c>
      <c r="AG967" t="str">
        <v>2022/06/17</v>
      </c>
      <c r="AH967" t="str">
        <v>2022/12/22</v>
      </c>
    </row>
    <row r="968" spans="1:34" x14ac:dyDescent="0.3">
      <c r="A968" t="str">
        <f t="array" ref="A968:J968">[1]!'9945.TW-ID,Name,MarketValue,Capital,NetIncomeGrowthRate,OperIncomeGrowthRate,FinancialStatementsTime,TFXRatio,MonthlyNetSalesYoY,RevenueMonth'</f>
        <v>9945</v>
      </c>
      <c r="B968" t="str">
        <v>潤泰新</v>
      </c>
      <c r="C968" t="str">
        <v>1401.6</v>
      </c>
      <c r="D968" t="str">
        <v>316.03</v>
      </c>
      <c r="E968" t="str">
        <v>-5.90</v>
      </c>
      <c r="F968" t="str">
        <v>6.78</v>
      </c>
      <c r="G968" t="str">
        <v>2022/09</v>
      </c>
      <c r="H968" t="str">
        <v>16.39</v>
      </c>
      <c r="I968" t="str">
        <v>41.34</v>
      </c>
      <c r="J968" t="str">
        <v>2022/11</v>
      </c>
      <c r="K968" t="str">
        <f t="array" ref="K968:T968">[1]!'9945.TW-OperatingProfitRatio,Price,PriceChangeRatio,InOutRatioNumber,Value,YearReturn,MonthReturn,WeekReturn,FinanceBalanceDif,ChipsField2'</f>
        <v>15.34</v>
      </c>
      <c r="L968">
        <v>44.35</v>
      </c>
      <c r="M968">
        <v>2.78</v>
      </c>
      <c r="N968" t="str">
        <v>54.26%</v>
      </c>
      <c r="O968" t="str">
        <v>2.45億</v>
      </c>
      <c r="P968" t="str">
        <v>+10.02</v>
      </c>
      <c r="Q968" t="str">
        <v>+0.57</v>
      </c>
      <c r="R968" t="str">
        <v>-1.44</v>
      </c>
      <c r="S968">
        <v>101</v>
      </c>
      <c r="T968">
        <v>0</v>
      </c>
      <c r="U968">
        <f t="array" ref="U968:AD968">[1]!'9945.TW-ChipsField3,ChipsField1,ChipsField25,CashAndStockDividend,CashDividendYieldRate,ProfitFourSeason,ProfitSingle,CName,ExchangeIndustry,CompanyPos'</f>
        <v>-602</v>
      </c>
      <c r="V968">
        <v>1482</v>
      </c>
      <c r="W968" t="str">
        <v>2022/08/12</v>
      </c>
      <c r="X968" t="str">
        <v>7.00</v>
      </c>
      <c r="Y968">
        <v>15.78</v>
      </c>
      <c r="Z968" t="str">
        <v>6.72</v>
      </c>
      <c r="AA968" t="str">
        <v>1.47</v>
      </c>
      <c r="AB968" t="str">
        <v>潤泰新</v>
      </c>
      <c r="AC968" t="str">
        <v>上市其他</v>
      </c>
      <c r="AD968" t="str">
        <v>潤泰旗下轉投量販業之建商</v>
      </c>
      <c r="AE968" t="str">
        <f t="array" ref="AE968:AH968">[1]!'9945.TW-CName,InvestorConferenceDate,DateofMeetingofShareHolders,TradingDate'</f>
        <v>潤泰新</v>
      </c>
      <c r="AF968" t="str">
        <v>2022/04/13</v>
      </c>
      <c r="AG968" t="str">
        <v>2022/06/15</v>
      </c>
      <c r="AH968" t="str">
        <v>2022/12/22</v>
      </c>
    </row>
    <row r="969" spans="1:34" x14ac:dyDescent="0.3">
      <c r="A969" t="str">
        <f t="array" ref="A969:J969">[1]!'9955.TW-ID,Name,MarketValue,Capital,NetIncomeGrowthRate,OperIncomeGrowthRate,FinancialStatementsTime,TFXRatio,MonthlyNetSalesYoY,RevenueMonth'</f>
        <v>9955</v>
      </c>
      <c r="B969" t="str">
        <v>佳龍</v>
      </c>
      <c r="C969" t="str">
        <v>21.9</v>
      </c>
      <c r="D969" t="str">
        <v>10.32</v>
      </c>
      <c r="E969" t="str">
        <v>-8.53</v>
      </c>
      <c r="F969" t="str">
        <v>-43.50</v>
      </c>
      <c r="G969" t="str">
        <v>2022/09</v>
      </c>
      <c r="H969" t="str">
        <v>13.20</v>
      </c>
      <c r="I969" t="str">
        <v>-27.66</v>
      </c>
      <c r="J969" t="str">
        <v>2022/11</v>
      </c>
      <c r="K969" t="str">
        <f t="array" ref="K969:T969">[1]!'9955.TW-OperatingProfitRatio,Price,PriceChangeRatio,InOutRatioNumber,Value,YearReturn,MonthReturn,WeekReturn,FinanceBalanceDif,ChipsField2'</f>
        <v>-8.46</v>
      </c>
      <c r="L969">
        <v>21.2</v>
      </c>
      <c r="M969">
        <v>-0.24</v>
      </c>
      <c r="N969" t="str">
        <v>42.59%</v>
      </c>
      <c r="O969" t="str">
        <v>695萬</v>
      </c>
      <c r="P969" t="str">
        <v>+23.62</v>
      </c>
      <c r="Q969" t="str">
        <v>+15.53</v>
      </c>
      <c r="R969" t="str">
        <v>-0.24</v>
      </c>
      <c r="S969">
        <v>-27</v>
      </c>
      <c r="T969">
        <v>0</v>
      </c>
      <c r="U969">
        <f t="array" ref="U969:AD969">[1]!'9955.TW-ChipsField3,ChipsField1,ChipsField25,CashAndStockDividend,CashDividendYieldRate,ProfitFourSeason,ProfitSingle,CName,ExchangeIndustry,CompanyPos'</f>
        <v>0</v>
      </c>
      <c r="V969">
        <v>27</v>
      </c>
      <c r="W969" t="str">
        <v>--</v>
      </c>
      <c r="X969" t="str">
        <v>0.00</v>
      </c>
      <c r="Y969">
        <v>0</v>
      </c>
      <c r="Z969" t="str">
        <v>-1.01</v>
      </c>
      <c r="AA969" t="str">
        <v>-0.29</v>
      </c>
      <c r="AB969" t="str">
        <v>佳龍</v>
      </c>
      <c r="AC969" t="str">
        <v>上市其他</v>
      </c>
      <c r="AD969" t="str">
        <v>台灣一貫化電子廢棄物處理廠</v>
      </c>
      <c r="AE969" t="str">
        <f t="array" ref="AE969:AH969">[1]!'9955.TW-CName,InvestorConferenceDate,DateofMeetingofShareHolders,TradingDate'</f>
        <v>佳龍</v>
      </c>
      <c r="AF969" t="str">
        <v>2021/12/24</v>
      </c>
      <c r="AG969" t="str">
        <v>2022/06/14</v>
      </c>
      <c r="AH969" t="str">
        <v>2022/12/22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2022-12-22T05:48:22Z</dcterms:created>
  <dcterms:modified xsi:type="dcterms:W3CDTF">2022-12-22T05:50:03Z</dcterms:modified>
</cp:coreProperties>
</file>