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13_ncr:1_{829C066C-96E9-49D7-826E-78F7EDDF05FF}" xr6:coauthVersionLast="47" xr6:coauthVersionMax="47" xr10:uidLastSave="{00000000-0000-0000-0000-000000000000}"/>
  <bookViews>
    <workbookView xWindow="-108" yWindow="-108" windowWidth="30936" windowHeight="16896" xr2:uid="{DC3A8A11-B217-47C2-BA30-5FD61E152151}"/>
  </bookViews>
  <sheets>
    <sheet name="工作表1" sheetId="1" r:id="rId1"/>
    <sheet name="工作表2" sheetId="2" r:id="rId2"/>
    <sheet name="選股資料（日）" sheetId="3" r:id="rId3"/>
    <sheet name="選股資料（週）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7" i="2" l="1"/>
  <c r="U27" i="2"/>
  <c r="T27" i="2"/>
  <c r="S27" i="2"/>
  <c r="R27" i="2"/>
  <c r="Q27" i="2"/>
  <c r="P27" i="2"/>
  <c r="O27" i="2"/>
  <c r="M27" i="2"/>
  <c r="D27" i="2" a="1"/>
  <c r="K27" i="2" s="1"/>
  <c r="C27" i="2" a="1"/>
  <c r="C27" i="2" s="1"/>
  <c r="X21" i="2"/>
  <c r="X22" i="2"/>
  <c r="X23" i="2"/>
  <c r="X24" i="2"/>
  <c r="X25" i="2"/>
  <c r="X26" i="2"/>
  <c r="X20" i="2"/>
  <c r="T21" i="2"/>
  <c r="T22" i="2"/>
  <c r="T23" i="2"/>
  <c r="T24" i="2"/>
  <c r="T25" i="2"/>
  <c r="T26" i="2"/>
  <c r="T20" i="2"/>
  <c r="M21" i="2"/>
  <c r="M22" i="2"/>
  <c r="M23" i="2"/>
  <c r="M24" i="2"/>
  <c r="M25" i="2"/>
  <c r="M26" i="2"/>
  <c r="M20" i="2"/>
  <c r="O21" i="2"/>
  <c r="P21" i="2"/>
  <c r="Q21" i="2"/>
  <c r="R21" i="2"/>
  <c r="S21" i="2"/>
  <c r="U21" i="2"/>
  <c r="O22" i="2"/>
  <c r="P22" i="2"/>
  <c r="Q22" i="2"/>
  <c r="R22" i="2"/>
  <c r="S22" i="2"/>
  <c r="U22" i="2"/>
  <c r="O23" i="2"/>
  <c r="P23" i="2"/>
  <c r="Q23" i="2"/>
  <c r="R23" i="2"/>
  <c r="S23" i="2"/>
  <c r="U23" i="2"/>
  <c r="O24" i="2"/>
  <c r="P24" i="2"/>
  <c r="Q24" i="2"/>
  <c r="R24" i="2"/>
  <c r="S24" i="2"/>
  <c r="U24" i="2"/>
  <c r="O25" i="2"/>
  <c r="P25" i="2"/>
  <c r="Q25" i="2"/>
  <c r="R25" i="2"/>
  <c r="S25" i="2"/>
  <c r="U25" i="2"/>
  <c r="O26" i="2"/>
  <c r="P26" i="2"/>
  <c r="Q26" i="2"/>
  <c r="R26" i="2"/>
  <c r="S26" i="2"/>
  <c r="U26" i="2"/>
  <c r="U20" i="2"/>
  <c r="S20" i="2"/>
  <c r="R20" i="2"/>
  <c r="Q20" i="2"/>
  <c r="P20" i="2"/>
  <c r="O20" i="2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9" i="2" a="1"/>
  <c r="K9" i="2" s="1"/>
  <c r="K10" i="2" a="1"/>
  <c r="K10" i="2" s="1"/>
  <c r="K11" i="2" a="1"/>
  <c r="K11" i="2" s="1"/>
  <c r="K8" i="2" a="1"/>
  <c r="K8" i="2" s="1"/>
  <c r="K6" i="2" a="1"/>
  <c r="K6" i="2" s="1"/>
  <c r="K5" i="2" a="1"/>
  <c r="K5" i="2" s="1"/>
  <c r="K4" i="2" a="1"/>
  <c r="K4" i="2" s="1"/>
  <c r="K3" i="2" a="1"/>
  <c r="K3" i="2" s="1"/>
  <c r="K2" i="2" a="1"/>
  <c r="K2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D27" i="2" l="1"/>
  <c r="E27" i="2"/>
  <c r="F27" i="2"/>
  <c r="G27" i="2"/>
  <c r="H27" i="2"/>
  <c r="I27" i="2"/>
  <c r="J27" i="2"/>
  <c r="D26" i="2" l="1" a="1"/>
  <c r="K26" i="2" s="1"/>
  <c r="D25" i="2" a="1"/>
  <c r="K25" i="2" s="1"/>
  <c r="D24" i="2" a="1"/>
  <c r="H24" i="2" s="1"/>
  <c r="D23" i="2" a="1"/>
  <c r="H23" i="2" s="1"/>
  <c r="D22" i="2" a="1"/>
  <c r="G22" i="2" s="1"/>
  <c r="D21" i="2" a="1"/>
  <c r="D21" i="2" s="1"/>
  <c r="D20" i="2" a="1"/>
  <c r="I20" i="2" s="1"/>
  <c r="D22" i="2" l="1"/>
  <c r="K22" i="2"/>
  <c r="E22" i="2"/>
  <c r="H22" i="2"/>
  <c r="I22" i="2"/>
  <c r="J22" i="2"/>
  <c r="F22" i="2"/>
  <c r="K20" i="2"/>
  <c r="J20" i="2"/>
  <c r="E23" i="2"/>
  <c r="G24" i="2"/>
  <c r="G23" i="2"/>
  <c r="I24" i="2"/>
  <c r="D24" i="2"/>
  <c r="F21" i="2"/>
  <c r="I23" i="2"/>
  <c r="K24" i="2"/>
  <c r="D25" i="2"/>
  <c r="J23" i="2"/>
  <c r="E25" i="2"/>
  <c r="E21" i="2"/>
  <c r="K23" i="2"/>
  <c r="F25" i="2"/>
  <c r="D23" i="2"/>
  <c r="J24" i="2"/>
  <c r="G25" i="2"/>
  <c r="H25" i="2"/>
  <c r="H21" i="2"/>
  <c r="J21" i="2"/>
  <c r="I25" i="2"/>
  <c r="J25" i="2"/>
  <c r="D26" i="2"/>
  <c r="I21" i="2"/>
  <c r="E26" i="2"/>
  <c r="F26" i="2"/>
  <c r="K21" i="2"/>
  <c r="D20" i="2"/>
  <c r="E20" i="2"/>
  <c r="G26" i="2"/>
  <c r="E24" i="2"/>
  <c r="G21" i="2"/>
  <c r="H26" i="2"/>
  <c r="G20" i="2"/>
  <c r="I26" i="2"/>
  <c r="F24" i="2"/>
  <c r="F23" i="2"/>
  <c r="F20" i="2"/>
  <c r="H20" i="2"/>
  <c r="J26" i="2"/>
  <c r="J6" i="2"/>
  <c r="I6" i="2"/>
  <c r="H6" i="2"/>
  <c r="G6" i="2"/>
  <c r="D6" i="2"/>
  <c r="C6" i="2"/>
  <c r="Z8" i="2"/>
  <c r="Y8" i="2"/>
  <c r="J8" i="2"/>
  <c r="I8" i="2"/>
  <c r="H8" i="2"/>
  <c r="G8" i="2"/>
  <c r="D8" i="2"/>
  <c r="C8" i="2"/>
  <c r="Z9" i="2"/>
  <c r="Y9" i="2"/>
  <c r="J9" i="2"/>
  <c r="I9" i="2"/>
  <c r="H9" i="2"/>
  <c r="G9" i="2"/>
  <c r="D9" i="2"/>
  <c r="C9" i="2"/>
  <c r="Z11" i="2"/>
  <c r="Y11" i="2"/>
  <c r="J11" i="2"/>
  <c r="I11" i="2"/>
  <c r="H11" i="2"/>
  <c r="G11" i="2"/>
  <c r="D11" i="2"/>
  <c r="C11" i="2"/>
  <c r="Z10" i="2"/>
  <c r="Y10" i="2"/>
  <c r="J10" i="2"/>
  <c r="I10" i="2"/>
  <c r="H10" i="2"/>
  <c r="G10" i="2"/>
  <c r="D10" i="2"/>
  <c r="C10" i="2"/>
  <c r="Z17" i="2"/>
  <c r="Y17" i="2"/>
  <c r="Z5" i="2"/>
  <c r="Y5" i="2"/>
  <c r="J5" i="2"/>
  <c r="I5" i="2"/>
  <c r="H5" i="2"/>
  <c r="G5" i="2"/>
  <c r="D5" i="2"/>
  <c r="C5" i="2"/>
  <c r="J17" i="2"/>
  <c r="I17" i="2"/>
  <c r="H17" i="2"/>
  <c r="G17" i="2"/>
  <c r="D17" i="2"/>
  <c r="C17" i="2"/>
  <c r="J16" i="2" l="1"/>
  <c r="I16" i="2"/>
  <c r="H16" i="2"/>
  <c r="G16" i="2"/>
  <c r="D16" i="2"/>
  <c r="C16" i="2"/>
  <c r="J15" i="2"/>
  <c r="I15" i="2"/>
  <c r="H15" i="2"/>
  <c r="G15" i="2"/>
  <c r="D15" i="2"/>
  <c r="C15" i="2"/>
  <c r="J14" i="2"/>
  <c r="I14" i="2"/>
  <c r="H14" i="2"/>
  <c r="G14" i="2"/>
  <c r="D14" i="2"/>
  <c r="C14" i="2"/>
  <c r="J13" i="2"/>
  <c r="I13" i="2"/>
  <c r="H13" i="2"/>
  <c r="G13" i="2"/>
  <c r="D13" i="2"/>
  <c r="C13" i="2"/>
  <c r="J4" i="2"/>
  <c r="I4" i="2"/>
  <c r="H4" i="2"/>
  <c r="G4" i="2"/>
  <c r="D4" i="2"/>
  <c r="C4" i="2"/>
  <c r="J3" i="2"/>
  <c r="I3" i="2"/>
  <c r="H3" i="2"/>
  <c r="G3" i="2"/>
  <c r="D3" i="2"/>
  <c r="C3" i="2"/>
  <c r="J2" i="2"/>
  <c r="I2" i="2"/>
  <c r="H2" i="2"/>
  <c r="G2" i="2"/>
  <c r="D2" i="2"/>
  <c r="C2" i="2"/>
  <c r="Z16" i="2"/>
  <c r="Y16" i="2"/>
  <c r="Z15" i="2"/>
  <c r="Y15" i="2"/>
  <c r="Z14" i="2"/>
  <c r="Y14" i="2"/>
  <c r="Z13" i="2"/>
  <c r="Y13" i="2"/>
  <c r="Z4" i="2"/>
  <c r="Y4" i="2"/>
  <c r="Z3" i="2"/>
  <c r="Y3" i="2"/>
  <c r="Z2" i="2"/>
  <c r="Y2" i="2"/>
  <c r="AX2" i="1"/>
  <c r="AX3" i="1"/>
  <c r="AX4" i="1"/>
  <c r="AX5" i="1"/>
  <c r="AX6" i="1"/>
  <c r="AX7" i="1"/>
  <c r="AX8" i="1"/>
  <c r="AX11" i="1"/>
  <c r="AX12" i="1"/>
  <c r="AX13" i="1"/>
  <c r="AX14" i="1"/>
  <c r="AZ14" i="1"/>
  <c r="AY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Z13" i="1"/>
  <c r="AY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Z12" i="1"/>
  <c r="AY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Z11" i="1"/>
  <c r="AY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Z8" i="1"/>
  <c r="AY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Z7" i="1"/>
  <c r="AY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Z6" i="1"/>
  <c r="AY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Z5" i="1"/>
  <c r="AY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Z4" i="1"/>
  <c r="AY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Z3" i="1"/>
  <c r="AY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Z2" i="1"/>
  <c r="AY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<sst xmlns="http://schemas.openxmlformats.org/spreadsheetml/2006/main" count="240" uniqueCount="152">
  <si>
    <t>代碼</t>
  </si>
  <si>
    <t>商品</t>
  </si>
  <si>
    <t>昨量</t>
  </si>
  <si>
    <t>成交</t>
  </si>
  <si>
    <t>股本</t>
  </si>
  <si>
    <t>盈餘</t>
  </si>
  <si>
    <t>市值</t>
  </si>
  <si>
    <t>公司動態</t>
  </si>
  <si>
    <t>產業地位</t>
  </si>
  <si>
    <t>營收</t>
  </si>
  <si>
    <t>營收年增率%</t>
  </si>
  <si>
    <t>成交比重%</t>
  </si>
  <si>
    <t>營收期增率%</t>
  </si>
  <si>
    <t>一週%</t>
  </si>
  <si>
    <t>一月%</t>
  </si>
  <si>
    <t>一季%</t>
  </si>
  <si>
    <t>半年%</t>
  </si>
  <si>
    <t>一年%</t>
  </si>
  <si>
    <t>YTD%</t>
  </si>
  <si>
    <t>PB(市淨率)</t>
  </si>
  <si>
    <t>PE(市盈率)</t>
  </si>
  <si>
    <t>振幅%</t>
  </si>
  <si>
    <t>毛利率%</t>
  </si>
  <si>
    <t>營益率%</t>
  </si>
  <si>
    <t>稅後淨利率%</t>
  </si>
  <si>
    <t>每股營收</t>
  </si>
  <si>
    <t>稅後淨利成長率%</t>
  </si>
  <si>
    <t>資產報酬率%</t>
  </si>
  <si>
    <t>現金+股票股利</t>
  </si>
  <si>
    <t>換手率%</t>
  </si>
  <si>
    <t>盈餘(4)</t>
  </si>
  <si>
    <t>外資買賣超</t>
  </si>
  <si>
    <t>投信買賣超</t>
  </si>
  <si>
    <t>自營商買賣超</t>
  </si>
  <si>
    <t>法人買賣超</t>
  </si>
  <si>
    <t>散戶買賣超</t>
  </si>
  <si>
    <t>實戶買賣超</t>
  </si>
  <si>
    <t>控盤者買賣超</t>
  </si>
  <si>
    <t>殖利率%</t>
  </si>
  <si>
    <t>股東會日期</t>
  </si>
  <si>
    <t>法說會日期</t>
  </si>
  <si>
    <t>融券最後回補日</t>
  </si>
  <si>
    <t>現金殖利率</t>
  </si>
  <si>
    <t>融資買進</t>
  </si>
  <si>
    <t>融資賣出</t>
  </si>
  <si>
    <t>融資餘額增減</t>
  </si>
  <si>
    <t>融資使用率%</t>
  </si>
  <si>
    <t>融券買進</t>
  </si>
  <si>
    <t>融券賣出</t>
  </si>
  <si>
    <t>融券餘額增減</t>
  </si>
  <si>
    <t>產業</t>
  </si>
  <si>
    <t>細產業</t>
  </si>
  <si>
    <t>起漲跌日</t>
    <phoneticPr fontId="1" type="noConversion"/>
  </si>
  <si>
    <t>營收</t>
    <phoneticPr fontId="1" type="noConversion"/>
  </si>
  <si>
    <t>日融資使用率</t>
    <phoneticPr fontId="1" type="noConversion"/>
  </si>
  <si>
    <t>日外資使用率</t>
    <phoneticPr fontId="1" type="noConversion"/>
  </si>
  <si>
    <t>日自營商持股比例</t>
    <phoneticPr fontId="1" type="noConversion"/>
  </si>
  <si>
    <t>日投信持股比例</t>
    <phoneticPr fontId="1" type="noConversion"/>
  </si>
  <si>
    <t>日融券使用率</t>
    <phoneticPr fontId="1" type="noConversion"/>
  </si>
  <si>
    <t>日大戶持股比例</t>
    <phoneticPr fontId="1" type="noConversion"/>
  </si>
  <si>
    <t>日法人持股比例</t>
    <phoneticPr fontId="1" type="noConversion"/>
  </si>
  <si>
    <t>日內部人持股</t>
    <phoneticPr fontId="1" type="noConversion"/>
  </si>
  <si>
    <t>日散戶持股比例</t>
    <phoneticPr fontId="1" type="noConversion"/>
  </si>
  <si>
    <t>康普</t>
    <phoneticPr fontId="1" type="noConversion"/>
  </si>
  <si>
    <t>美琪瑪</t>
  </si>
  <si>
    <t>威盛</t>
    <phoneticPr fontId="1" type="noConversion"/>
  </si>
  <si>
    <t>新唐</t>
  </si>
  <si>
    <t>金寶</t>
  </si>
  <si>
    <t>晶相光</t>
    <phoneticPr fontId="1" type="noConversion"/>
  </si>
  <si>
    <t>奇鋐</t>
  </si>
  <si>
    <t>產業</t>
    <phoneticPr fontId="1" type="noConversion"/>
  </si>
  <si>
    <t>細產業</t>
    <phoneticPr fontId="1" type="noConversion"/>
  </si>
  <si>
    <t>偉詮電</t>
  </si>
  <si>
    <t>成交量</t>
    <phoneticPr fontId="1" type="noConversion"/>
  </si>
  <si>
    <t>成交量佔總比</t>
    <phoneticPr fontId="1" type="noConversion"/>
  </si>
  <si>
    <t>大眾控</t>
  </si>
  <si>
    <t>東森</t>
  </si>
  <si>
    <t>台驊投控</t>
  </si>
  <si>
    <t>光鼎</t>
  </si>
  <si>
    <t>華新科</t>
  </si>
  <si>
    <t>鈺創</t>
  </si>
  <si>
    <t>陽明</t>
  </si>
  <si>
    <t>東聯</t>
  </si>
  <si>
    <t>長榮</t>
  </si>
  <si>
    <t>萬海</t>
  </si>
  <si>
    <t>定穎</t>
  </si>
  <si>
    <t>四維航</t>
  </si>
  <si>
    <t>晶焱</t>
  </si>
  <si>
    <t>友達</t>
  </si>
  <si>
    <t>合勤控</t>
  </si>
  <si>
    <t>中電</t>
  </si>
  <si>
    <t>南紡</t>
  </si>
  <si>
    <t>宏達電</t>
  </si>
  <si>
    <t>漢磊</t>
  </si>
  <si>
    <t>華邦電</t>
  </si>
  <si>
    <t>仲琦</t>
  </si>
  <si>
    <t>技嘉</t>
  </si>
  <si>
    <t>正德</t>
  </si>
  <si>
    <t>景碩</t>
  </si>
  <si>
    <t>大成鋼</t>
  </si>
  <si>
    <t>燁輝</t>
  </si>
  <si>
    <t>殖利率</t>
    <phoneticPr fontId="1" type="noConversion"/>
  </si>
  <si>
    <t>符合條件商品</t>
  </si>
  <si>
    <t>資料日期：2021年 11月  3日</t>
  </si>
  <si>
    <t>策略</t>
  </si>
  <si>
    <t xml:space="preserve">	選股資料</t>
  </si>
  <si>
    <t>序號</t>
  </si>
  <si>
    <t xml:space="preserve">	代碼</t>
  </si>
  <si>
    <t xml:space="preserve">	商品</t>
  </si>
  <si>
    <t xml:space="preserve">	成交</t>
  </si>
  <si>
    <t xml:space="preserve">	漲幅%</t>
  </si>
  <si>
    <t xml:space="preserve">	總量</t>
  </si>
  <si>
    <t xml:space="preserve">	成交量</t>
  </si>
  <si>
    <t xml:space="preserve">	融資使用率</t>
  </si>
  <si>
    <t xml:space="preserve">	融券使用率</t>
  </si>
  <si>
    <t xml:space="preserve">	外資持股比例</t>
  </si>
  <si>
    <t xml:space="preserve">	自營商持股比例</t>
  </si>
  <si>
    <t xml:space="preserve">	投信持股比例</t>
  </si>
  <si>
    <t xml:space="preserve">	法人持股比例</t>
  </si>
  <si>
    <t>執行時間：2021-11-04 00:18 符合檔數(27)</t>
  </si>
  <si>
    <t xml:space="preserve">1	</t>
  </si>
  <si>
    <t xml:space="preserve">2	</t>
  </si>
  <si>
    <t xml:space="preserve">3	</t>
  </si>
  <si>
    <t xml:space="preserve">4	</t>
  </si>
  <si>
    <t xml:space="preserve">5	</t>
  </si>
  <si>
    <t xml:space="preserve">6	</t>
  </si>
  <si>
    <t xml:space="preserve">7	</t>
  </si>
  <si>
    <t xml:space="preserve">8	</t>
  </si>
  <si>
    <t xml:space="preserve">9	</t>
  </si>
  <si>
    <t xml:space="preserve">10	</t>
  </si>
  <si>
    <t xml:space="preserve">11	</t>
  </si>
  <si>
    <t xml:space="preserve">12	</t>
  </si>
  <si>
    <t xml:space="preserve">13	</t>
  </si>
  <si>
    <t xml:space="preserve">14	</t>
  </si>
  <si>
    <t xml:space="preserve">15	</t>
  </si>
  <si>
    <t xml:space="preserve">16	</t>
  </si>
  <si>
    <t xml:space="preserve">17	</t>
  </si>
  <si>
    <t xml:space="preserve">18	</t>
  </si>
  <si>
    <t xml:space="preserve">19	</t>
  </si>
  <si>
    <t xml:space="preserve">20	</t>
  </si>
  <si>
    <t xml:space="preserve">21	</t>
  </si>
  <si>
    <t xml:space="preserve">22	</t>
  </si>
  <si>
    <t xml:space="preserve">23	</t>
  </si>
  <si>
    <t xml:space="preserve">24	</t>
  </si>
  <si>
    <t xml:space="preserve">25	</t>
  </si>
  <si>
    <t xml:space="preserve">26	</t>
  </si>
  <si>
    <t xml:space="preserve">27	</t>
  </si>
  <si>
    <t xml:space="preserve">	04選股資料（週）</t>
  </si>
  <si>
    <t xml:space="preserve">	大戶持股比例</t>
  </si>
  <si>
    <t xml:space="preserve">	散戶持股比例</t>
  </si>
  <si>
    <t>執行時間：2021-11-04 00:55 符合檔數(27)</t>
  </si>
  <si>
    <t>钰創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</si>
</sst>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5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7" fontId="0" fillId="0" borderId="0" xfId="0" applyNumberForma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7" fontId="2" fillId="2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440.TW-NetProfitMargin,TFXRatio,MonthlyNetSalesYoY,ReturnOnAssets,DividendYear,TurnoverRatio,ProfitFourSeason,CashDividendYieldRate,StockNetValue,ExchangeIndustry" advise="1">
        <values cols="10">
          <value t="str">
            <val>17.38</val>
          </value>
          <value t="str">
            <val>13.17</val>
          </value>
          <value t="str">
            <val>6.67</val>
          </value>
          <value t="str">
            <val>5.57</val>
          </value>
          <value>
            <val>0.35</val>
          </value>
          <value t="str">
            <val>9.30</val>
          </value>
          <value t="str">
            <val>1.97</val>
          </value>
          <value>
            <val>1.33</val>
          </value>
          <value t="str">
            <val>16.47</val>
          </value>
          <value t="str">
            <val>上市紡織纖維</val>
          </value>
        </values>
      </ddeItem>
      <ddeItem name="1440.TW-OperatingProfitRatio" advise="1">
        <values>
          <value t="str">
            <val>6.43</val>
          </value>
        </values>
      </ddeItem>
      <ddeItem name="1710.TW-NetProfitMargin,TFXRatio,MonthlyNetSalesYoY,ReturnOnAssets,DividendYear,TurnoverRatio,ProfitFourSeason,CashDividendYieldRate,StockNetValue,ExchangeIndustry" advise="1">
        <values cols="10">
          <value t="str">
            <val>5.75</val>
          </value>
          <value t="str">
            <val>-17.26</val>
          </value>
          <value t="str">
            <val>14.10</val>
          </value>
          <value t="str">
            <val>3.97</val>
          </value>
          <value>
            <val>0</val>
          </value>
          <value t="str">
            <val>0.63</val>
          </value>
          <value t="str">
            <val>0.41</val>
          </value>
          <value>
            <val>0</val>
          </value>
          <value t="str">
            <val>14.79</val>
          </value>
          <value t="str">
            <val>上市化工</val>
          </value>
        </values>
      </ddeItem>
      <ddeItem name="1710.TW-OperatingProfitRatio" advise="1">
        <values>
          <value t="str">
            <val>5.89</val>
          </value>
        </values>
      </ddeItem>
      <ddeItem name="2023.TW-NetProfitMargin,TFXRatio,MonthlyNetSalesYoY,ReturnOnAssets,DividendYear,TurnoverRatio,ProfitFourSeason,CashDividendYieldRate,StockNetValue,ExchangeIndustry" advise="1">
        <values cols="10">
          <value t="str">
            <val>6.22</val>
          </value>
          <value t="str">
            <val>5.25</val>
          </value>
          <value t="str">
            <val>43.97</val>
          </value>
          <value t="str">
            <val>5.45</val>
          </value>
          <value>
            <val>0</val>
          </value>
          <value t="str">
            <val>1.13</val>
          </value>
          <value t="str">
            <val>2.39</val>
          </value>
          <value>
            <val>0</val>
          </value>
          <value t="str">
            <val>16.18</val>
          </value>
          <value t="str">
            <val>上市鋼鐵</val>
          </value>
        </values>
      </ddeItem>
      <ddeItem name="2023.TW-OperatingProfitRatio" advise="1">
        <values>
          <value t="str">
            <val>6.04</val>
          </value>
        </values>
      </ddeItem>
      <ddeItem name="2312.TW-Amplitude" advise="1">
        <values>
          <value>
            <val>4.59</val>
          </value>
        </values>
      </ddeItem>
      <ddeItem name="2312.TW-Capital" advise="1">
        <values>
          <value t="str">
            <val>147.15</val>
          </value>
        </values>
      </ddeItem>
      <ddeItem name="2312.TW-CashAndStockDividend" advise="1">
        <values>
          <value t="str">
            <val>0.29</val>
          </value>
        </values>
      </ddeItem>
      <ddeItem name="2312.TW-CashDividendYield" advise="1">
        <values>
          <value>
            <val>1.94</val>
          </value>
        </values>
      </ddeItem>
      <ddeItem name="2312.TW-CashDividendYieldRate" advise="1">
        <values>
          <value>
            <val>1.94</val>
          </value>
        </values>
      </ddeItem>
      <ddeItem name="2312.TW-ChipsField1" advise="1">
        <values>
          <value>
            <val>-2231</val>
          </value>
        </values>
      </ddeItem>
      <ddeItem name="2312.TW-ChipsField10" advise="1">
        <values>
          <value>
            <val>-2588</val>
          </value>
        </values>
      </ddeItem>
      <ddeItem name="2312.TW-ChipsField13" advise="1">
        <values>
          <value>
            <val>-323</val>
          </value>
        </values>
      </ddeItem>
      <ddeItem name="2312.TW-ChipsField2" advise="1">
        <values>
          <value>
            <val>0</val>
          </value>
        </values>
      </ddeItem>
      <ddeItem name="2312.TW-ChipsField3" advise="1">
        <values>
          <value>
            <val>-143</val>
          </value>
        </values>
      </ddeItem>
      <ddeItem name="2312.TW-ChipsField4" advise="1">
        <values>
          <value>
            <val>-2374</val>
          </value>
        </values>
      </ddeItem>
      <ddeItem name="2312.TW-ChipsField7" advise="1">
        <values>
          <value>
            <val>2910</val>
          </value>
        </values>
      </ddeItem>
      <ddeItem name="2312.TW-CompanyNews" advise="1">
        <values>
          <value t="str">
            <val>--</val>
          </value>
        </values>
      </ddeItem>
      <ddeItem name="2312.TW-CompanyPos" advise="1">
        <values>
          <value t="str">
            <val>金仁寶集團旗下消費性電子代工廠</val>
          </value>
        </values>
      </ddeItem>
      <ddeItem name="2312.TW-DateofMeetingofShareHolders" advise="1">
        <values>
          <value t="str">
            <val>2021/08/20</val>
          </value>
        </values>
      </ddeItem>
      <ddeItem name="2312.TW-DetailIndustry" advise="1">
        <values>
          <value t="str">
            <val>筆記型電腦製造,通訊設備,手機,手機製造,區域網路,視訊轉換相關,消費性電子產品,週邊產品,印表機,3D印表機,硬碟相關,電子製造服務,電腦系統業</val>
          </value>
        </values>
      </ddeItem>
      <ddeItem name="2312.TW-ExchangeIndustry" advise="1">
        <values>
          <value t="str">
            <val>上市其他電子</val>
          </value>
        </values>
      </ddeItem>
      <ddeItem name="2312.TW-FinanceBalanceDif" advise="1">
        <values>
          <value>
            <val>-2458</val>
          </value>
        </values>
      </ddeItem>
      <ddeItem name="2312.TW-FinanceBuy" advise="1">
        <values>
          <value>
            <val>2263</val>
          </value>
        </values>
      </ddeItem>
      <ddeItem name="2312.TW-FinanceSell" advise="1">
        <values>
          <value>
            <val>4719</val>
          </value>
        </values>
      </ddeItem>
      <ddeItem name="2312.TW-FinanceUsedRatio" advise="1">
        <values>
          <value>
            <val>13.74</val>
          </value>
        </values>
      </ddeItem>
      <ddeItem name="2312.TW-HalfYearReturn" advise="1">
        <values>
          <value t="str">
            <val>+14.12</val>
          </value>
        </values>
      </ddeItem>
      <ddeItem name="2312.TW-ID" advise="1">
        <values>
          <value t="str">
            <val>2312</val>
          </value>
        </values>
      </ddeItem>
      <ddeItem name="2312.TW-InvestorConferenceDate" advise="1">
        <values>
          <value t="str">
            <val>2021/12/01</val>
          </value>
        </values>
      </ddeItem>
      <ddeItem name="2312.TW-MarketValue" advise="1">
        <values>
          <value t="str">
            <val>219.6</val>
          </value>
        </values>
      </ddeItem>
      <ddeItem name="2312.TW-MonthlyNetSalesYoY" advise="1">
        <values>
          <value t="str">
            <val>3.89</val>
          </value>
        </values>
      </ddeItem>
      <ddeItem name="2312.TW-MonthReturn" advise="1">
        <values>
          <value t="str">
            <val>+5.65</val>
          </value>
        </values>
      </ddeItem>
      <ddeItem name="2312.TW-Name" advise="1">
        <values>
          <value t="str">
            <val>金寶</val>
          </value>
        </values>
      </ddeItem>
      <ddeItem name="2312.TW-NetIncomeGrowthRate" advise="1">
        <values>
          <value t="str">
            <val>-5.38</val>
          </value>
        </values>
      </ddeItem>
      <ddeItem name="2312.TW-NetProfitMargin" advise="1">
        <values>
          <value t="str">
            <val>0.57</val>
          </value>
        </values>
      </ddeItem>
      <ddeItem name="2312.TW-NetProfitMargin,TFXRatio,MonthlyNetSalesYoY,ReturnOnAssets,DividendYear,TurnoverRatio,ProfitFourSeason,CashDividendYieldRate,StockNetValue,ExchangeIndustry" advise="1">
        <values cols="10">
          <value t="str">
            <val>0.57</val>
          </value>
          <value t="str">
            <val>1.94</val>
          </value>
          <value t="str">
            <val>3.89</val>
          </value>
          <value t="str">
            <val>1.07</val>
          </value>
          <value>
            <val>0.28999999999999998</val>
          </value>
          <value t="str">
            <val>2.81</val>
          </value>
          <value t="str">
            <val>-0.09</val>
          </value>
          <value>
            <val>1.94</val>
          </value>
          <value t="str">
            <val>11.13</val>
          </value>
          <value t="str">
            <val>上市其他電子</val>
          </value>
        </values>
      </ddeItem>
      <ddeItem name="2312.TW-NetSales" advise="1">
        <values>
          <value>
            <val>11957.66</val>
          </value>
        </values>
      </ddeItem>
      <ddeItem name="2312.TW-OperatingProfitRatio" advise="1">
        <values>
          <value t="str">
            <val>1.34</val>
          </value>
        </values>
      </ddeItem>
      <ddeItem name="2312.TW-PBRatio" advise="1">
        <values>
          <value t="str">
            <val>1.34</val>
          </value>
        </values>
      </ddeItem>
      <ddeItem name="2312.TW-PERatio" advise="1">
        <values>
          <value t="str">
            <val>--</val>
          </value>
        </values>
      </ddeItem>
      <ddeItem name="2312.TW-PreTotalVolume" advise="1">
        <values>
          <value>
            <val>46968</val>
          </value>
        </values>
      </ddeItem>
      <ddeItem name="2312.TW-Price" advise="1">
        <values>
          <value>
            <val>14.95</val>
          </value>
        </values>
      </ddeItem>
      <ddeItem name="2312.TW-Profit" advise="1">
        <values>
          <value t="str">
            <val>0.04</val>
          </value>
        </values>
      </ddeItem>
      <ddeItem name="2312.TW-ProfitFourSeason" advise="1">
        <values>
          <value t="str">
            <val>-0.09</val>
          </value>
        </values>
      </ddeItem>
      <ddeItem name="2312.TW-ProfitMargin" advise="1">
        <values>
          <value t="str">
            <val>7.02</val>
          </value>
        </values>
      </ddeItem>
      <ddeItem name="2312.TW-QuarterReturn" advise="1">
        <values>
          <value t="str">
            <val>+15.89</val>
          </value>
        </values>
      </ddeItem>
      <ddeItem name="2312.TW-ReturnOnAssets" advise="1">
        <values>
          <value t="str">
            <val>1.07</val>
          </value>
        </values>
      </ddeItem>
      <ddeItem name="2312.TW-RevenuePerShare" advise="1">
        <values>
          <value t="str">
            <val>70.33</val>
          </value>
        </values>
      </ddeItem>
      <ddeItem name="2312.TW-ShortBalanceDif" advise="1">
        <values>
          <value>
            <val>-117</val>
          </value>
        </values>
      </ddeItem>
      <ddeItem name="2312.TW-ShortBuy" advise="1">
        <values>
          <value>
            <val>179</val>
          </value>
        </values>
      </ddeItem>
      <ddeItem name="2312.TW-ShortSaleFinalRecallDate" advise="1">
        <values>
          <value t="str">
            <val>2021/06/16</val>
          </value>
        </values>
      </ddeItem>
      <ddeItem name="2312.TW-ShortSell" advise="1">
        <values>
          <value>
            <val>62</val>
          </value>
        </values>
      </ddeItem>
      <ddeItem name="2312.TW-StockValueRatio" advise="1">
        <values>
          <value>
            <val>0.17749999999999999</val>
          </value>
        </values>
      </ddeItem>
      <ddeItem name="2312.TW-TFXRatio" advise="1">
        <values>
          <value t="str">
            <val>1.94</val>
          </value>
        </values>
      </ddeItem>
      <ddeItem name="2312.TW-TurnoverRatio" advise="1">
        <values>
          <value t="str">
            <val>2.81</val>
          </value>
        </values>
      </ddeItem>
      <ddeItem name="2312.TW-WeekReturn" advise="1">
        <values>
          <value t="str">
            <val>+6.79</val>
          </value>
        </values>
      </ddeItem>
      <ddeItem name="2312.TW-YearReturn" advise="1">
        <values>
          <value t="str">
            <val>+30.70</val>
          </value>
        </values>
      </ddeItem>
      <ddeItem name="2312.TW-YTDReturn" advise="1">
        <values>
          <value t="str">
            <val>+25.86</val>
          </value>
        </values>
      </ddeItem>
      <ddeItem name="2388.TW-Amplitude" advise="1">
        <values>
          <value>
            <val>7.02</val>
          </value>
        </values>
      </ddeItem>
      <ddeItem name="2388.TW-Capital" advise="1">
        <values>
          <value t="str">
            <val>49.53</val>
          </value>
        </values>
      </ddeItem>
      <ddeItem name="2388.TW-CashAndStockDividend" advise="1">
        <values>
          <value t="str">
            <val>0.80</val>
          </value>
        </values>
      </ddeItem>
      <ddeItem name="2388.TW-CashDividendYield" advise="1">
        <values>
          <value>
            <val>0.93</val>
          </value>
        </values>
      </ddeItem>
      <ddeItem name="2388.TW-CashDividendYieldRate" advise="1">
        <values>
          <value>
            <val>0.93</val>
          </value>
        </values>
      </ddeItem>
      <ddeItem name="2388.TW-ChipsField1" advise="1">
        <values>
          <value>
            <val>-5975</val>
          </value>
        </values>
      </ddeItem>
      <ddeItem name="2388.TW-ChipsField10" advise="1">
        <values>
          <value>
            <val>1516</val>
          </value>
        </values>
      </ddeItem>
      <ddeItem name="2388.TW-ChipsField13" advise="1">
        <values>
          <value>
            <val>-6959</val>
          </value>
        </values>
      </ddeItem>
      <ddeItem name="2388.TW-ChipsField2" advise="1">
        <values>
          <value>
            <val>4</val>
          </value>
        </values>
      </ddeItem>
      <ddeItem name="2388.TW-ChipsField3" advise="1">
        <values>
          <value>
            <val>-285</val>
          </value>
        </values>
      </ddeItem>
      <ddeItem name="2388.TW-ChipsField4" advise="1">
        <values>
          <value>
            <val>-6256</val>
          </value>
        </values>
      </ddeItem>
      <ddeItem name="2388.TW-ChipsField7" advise="1">
        <values>
          <value>
            <val>5443</val>
          </value>
        </values>
      </ddeItem>
      <ddeItem name="2388.TW-CompanyNews" advise="1">
        <values>
          <value t="str">
            <val>--</val>
          </value>
        </values>
      </ddeItem>
      <ddeItem name="2388.TW-CompanyPos" advise="1">
        <values>
          <value t="str">
            <val>支援x86平台之IC解決方案廠商</val>
          </value>
        </values>
      </ddeItem>
      <ddeItem name="2388.TW-DateofMeetingofShareHolders" advise="1">
        <values>
          <value t="str">
            <val>2021/07/20</val>
          </value>
        </values>
      </ddeItem>
      <ddeItem name="2388.TW-DetailIndustry" advise="1">
        <values>
          <value t="str">
            <val>CPU,其他IC,IC設計,晶片組,網路通訊IC,嵌入式晶片,顯示器,數位看板</val>
          </value>
        </values>
      </ddeItem>
      <ddeItem name="2388.TW-ExchangeIndustry" advise="1">
        <values>
          <value t="str">
            <val>上市半導體</val>
          </value>
        </values>
      </ddeItem>
      <ddeItem name="2388.TW-FinanceBalanceDif" advise="1">
        <values>
          <value>
            <val>-91</val>
          </value>
        </values>
      </ddeItem>
      <ddeItem name="2388.TW-FinanceBuy" advise="1">
        <values>
          <value>
            <val>1943</val>
          </value>
        </values>
      </ddeItem>
      <ddeItem name="2388.TW-FinanceSell" advise="1">
        <values>
          <value>
            <val>2034</val>
          </value>
        </values>
      </ddeItem>
      <ddeItem name="2388.TW-FinanceUsedRatio" advise="1">
        <values>
          <value>
            <val>12.38</val>
          </value>
        </values>
      </ddeItem>
      <ddeItem name="2388.TW-HalfYearReturn" advise="1">
        <values>
          <value t="str">
            <val>+63.37</val>
          </value>
        </values>
      </ddeItem>
      <ddeItem name="2388.TW-ID" advise="1">
        <values>
          <value t="str">
            <val>2388</val>
          </value>
        </values>
      </ddeItem>
      <ddeItem name="2388.TW-InvestorConferenceDate" advise="1">
        <values>
          <value t="str">
            <val>2021/11/26</val>
          </value>
        </values>
      </ddeItem>
      <ddeItem name="2388.TW-MarketValue" advise="1">
        <values>
          <value t="str">
            <val>426.7</val>
          </value>
        </values>
      </ddeItem>
      <ddeItem name="2388.TW-MonthlyNetSalesYoY" advise="1">
        <values>
          <value t="str">
            <val>-0.67</val>
          </value>
        </values>
      </ddeItem>
      <ddeItem name="2388.TW-MonthReturn" advise="1">
        <values>
          <value t="str">
            <val>-7.00</val>
          </value>
        </values>
      </ddeItem>
      <ddeItem name="2388.TW-Name" advise="1">
        <values>
          <value t="str">
            <val>威盛</val>
          </value>
        </values>
      </ddeItem>
      <ddeItem name="2388.TW-NetIncomeGrowthRate" advise="1">
        <values>
          <value t="str">
            <val>2084.06</val>
          </value>
        </values>
      </ddeItem>
      <ddeItem name="2388.TW-NetProfitMargin" advise="1">
        <values>
          <value t="str">
            <val>22.16</val>
          </value>
        </values>
      </ddeItem>
      <ddeItem name="2388.TW-NetSales" advise="1">
        <values>
          <value>
            <val>615.65</val>
          </value>
        </values>
      </ddeItem>
      <ddeItem name="2388.TW-OperatingProfitRatio" advise="1">
        <values>
          <value t="str">
            <val>-19.16</val>
          </value>
        </values>
      </ddeItem>
      <ddeItem name="2388.TW-PBRatio" advise="1">
        <values>
          <value t="str">
            <val>4.49</val>
          </value>
        </values>
      </ddeItem>
      <ddeItem name="2388.TW-PERatio" advise="1">
        <values>
          <value t="str">
            <val>7.47</val>
          </value>
        </values>
      </ddeItem>
      <ddeItem name="2388.TW-PreTotalVolume" advise="1">
        <values>
          <value>
            <val>26195</val>
          </value>
        </values>
      </ddeItem>
      <ddeItem name="2388.TW-Price" advise="1">
        <values>
          <value>
            <val>86.3</val>
          </value>
        </values>
      </ddeItem>
      <ddeItem name="2388.TW-Profit" advise="1">
        <values>
          <value t="str">
            <val>-0.70</val>
          </value>
        </values>
      </ddeItem>
      <ddeItem name="2388.TW-ProfitFourSeason" advise="1">
        <values>
          <value t="str">
            <val>11.55</val>
          </value>
        </values>
      </ddeItem>
      <ddeItem name="2388.TW-ProfitMargin" advise="1">
        <values>
          <value t="str">
            <val>35.75</val>
          </value>
        </values>
      </ddeItem>
      <ddeItem name="2388.TW-QuarterReturn" advise="1">
        <values>
          <value t="str">
            <val>+82.26</val>
          </value>
        </values>
      </ddeItem>
      <ddeItem name="2388.TW-ReturnOnAssets" advise="1">
        <values>
          <value t="str">
            <val>6.29</val>
          </value>
        </values>
      </ddeItem>
      <ddeItem name="2388.TW-RevenuePerShare" advise="1">
        <values>
          <value t="str">
            <val>10.24</val>
          </value>
        </values>
      </ddeItem>
      <ddeItem name="2388.TW-ShortBalanceDif" advise="1">
        <values>
          <value>
            <val>-695</val>
          </value>
        </values>
      </ddeItem>
      <ddeItem name="2388.TW-ShortBuy" advise="1">
        <values>
          <value>
            <val>867</val>
          </value>
        </values>
      </ddeItem>
      <ddeItem name="2388.TW-ShortSaleFinalRecallDate" advise="1">
        <values>
          <value t="str">
            <val>2021/08/13</val>
          </value>
        </values>
      </ddeItem>
      <ddeItem name="2388.TW-ShortSell" advise="1">
        <values>
          <value>
            <val>172</val>
          </value>
        </values>
      </ddeItem>
      <ddeItem name="2388.TW-StockValueRatio" advise="1">
        <values>
          <value>
            <val>0.57389999999999997</val>
          </value>
        </values>
      </ddeItem>
      <ddeItem name="2388.TW-TFXRatio" advise="1">
        <values>
          <value t="str">
            <val>-0.23</val>
          </value>
        </values>
      </ddeItem>
      <ddeItem name="2388.TW-TurnoverRatio" advise="1">
        <values>
          <value t="str">
            <val>4.64</val>
          </value>
        </values>
      </ddeItem>
      <ddeItem name="2388.TW-WeekReturn" advise="1">
        <values>
          <value t="str">
            <val>+0.12</val>
          </value>
        </values>
      </ddeItem>
      <ddeItem name="2388.TW-YearReturn" advise="1">
        <values>
          <value t="str">
            <val>+54.18</val>
          </value>
        </values>
      </ddeItem>
      <ddeItem name="2388.TW-YTDReturn" advise="1">
        <values>
          <value t="str">
            <val>+64.29</val>
          </value>
        </values>
      </ddeItem>
      <ddeItem name="2419.TW-NetProfitMargin,TFXRatio,MonthlyNetSalesYoY,ReturnOnAssets,DividendYear,TurnoverRatio,ProfitFourSeason,CashDividendYieldRate,StockNetValue,ExchangeIndustry" advise="1">
        <values cols="10">
          <value t="str">
            <val>1.84</val>
          </value>
          <value t="str">
            <val>-14.72</val>
          </value>
          <value t="str">
            <val>-50.19</val>
          </value>
          <value t="str">
            <val>1.37</val>
          </value>
          <value>
            <val>1</val>
          </value>
          <value t="str">
            <val>1.22</val>
          </value>
          <value t="str">
            <val>0.49</val>
          </value>
          <value>
            <val>4.1399999999999997</val>
          </value>
          <value t="str">
            <val>14.55</val>
          </value>
          <value t="str">
            <val>上市通信網路</val>
          </value>
        </values>
      </ddeItem>
      <ddeItem name="2419.TW-OperatingProfitRatio" advise="1">
        <values>
          <value t="str">
            <val>2.56</val>
          </value>
        </values>
      </ddeItem>
      <ddeItem name="2436.TW-CashAndStockDividend" advise="1">
        <values>
          <value t="str">
            <val>1.60</val>
          </value>
        </values>
      </ddeItem>
      <ddeItem name="2436.TW-DetailIndustry" advise="1">
        <values>
          <value t="str">
            <val>馬達IC,類比IC,IC設計,消費性IC,PC週邊IC,MCU,LED驅動IC,IC零組件通路商,電子通路</val>
          </value>
        </values>
      </ddeItem>
      <ddeItem name="2436.TW-ExchangeIndustry" advise="1">
        <values>
          <value t="str">
            <val>上市半導體</val>
          </value>
        </values>
      </ddeItem>
      <ddeItem name="2436.TW-NetProfitMargin" advise="1">
        <values>
          <value t="str">
            <val>21.52</val>
          </value>
        </values>
      </ddeItem>
      <ddeItem name="2436.TW-OperatingProfitRatio" advise="1">
        <values>
          <value t="str">
            <val>10.58</val>
          </value>
        </values>
      </ddeItem>
      <ddeItem name="2436.TW-ProfitFourSeason" advise="1">
        <values>
          <value t="str">
            <val>4.16</val>
          </value>
        </values>
      </ddeItem>
      <ddeItem name="2436.TW-ReturnOnAssets" advise="1">
        <values>
          <value t="str">
            <val>12.16</val>
          </value>
        </values>
      </ddeItem>
      <ddeItem name="2436.TW-TurnoverRatio" advise="1">
        <values>
          <value t="str">
            <val>8.27</val>
          </value>
        </values>
      </ddeItem>
      <ddeItem name="2498.TW-Amplitude" advise="1">
        <values>
          <value>
            <val>3.96</val>
          </value>
        </values>
      </ddeItem>
      <ddeItem name="2498.TW-Capital" advise="1">
        <values>
          <value t="str">
            <val>82.40</val>
          </value>
        </values>
      </ddeItem>
      <ddeItem name="2498.TW-CashAndStockDividend" advise="1">
        <values>
          <value t="str">
            <val>0.00</val>
          </value>
        </values>
      </ddeItem>
      <ddeItem name="2498.TW-CashDividendYield" advise="1">
        <values>
          <value>
            <val>0</val>
          </value>
        </values>
      </ddeItem>
      <ddeItem name="2498.TW-CashDividendYieldRate" advise="1">
        <values>
          <value>
            <val>0</val>
          </value>
        </values>
      </ddeItem>
      <ddeItem name="2498.TW-ChipsField1" advise="1">
        <values>
          <value>
            <val>-3305</val>
          </value>
        </values>
      </ddeItem>
      <ddeItem name="2498.TW-ChipsField10" advise="1">
        <values>
          <value>
            <val>800</val>
          </value>
        </values>
      </ddeItem>
      <ddeItem name="2498.TW-ChipsField13" advise="1">
        <values>
          <value>
            <val>-4075</val>
          </value>
        </values>
      </ddeItem>
      <ddeItem name="2498.TW-ChipsField2" advise="1">
        <values>
          <value>
            <val>83</val>
          </value>
        </values>
      </ddeItem>
      <ddeItem name="2498.TW-ChipsField3" advise="1">
        <values>
          <value>
            <val>-913</val>
          </value>
        </values>
      </ddeItem>
      <ddeItem name="2498.TW-ChipsField4" advise="1">
        <values>
          <value>
            <val>-4135</val>
          </value>
        </values>
      </ddeItem>
      <ddeItem name="2498.TW-ChipsField7" advise="1">
        <values>
          <value>
            <val>3275</val>
          </value>
        </values>
      </ddeItem>
      <ddeItem name="2498.TW-CompanyNews" advise="1">
        <values>
          <value t="str">
            <val>--</val>
          </value>
        </values>
      </ddeItem>
      <ddeItem name="2498.TW-CompanyPos" advise="1">
        <values>
          <value t="str">
            <val>以HTC品牌行銷全球前十大智慧型手機廠商</val>
          </value>
        </values>
      </ddeItem>
      <ddeItem name="2498.TW-DateofMeetingofShareHolders" advise="1">
        <values>
          <value t="str">
            <val>2021/07/20</val>
          </value>
        </values>
      </ddeItem>
      <ddeItem name="2498.TW-DetailIndustry" advise="1">
        <values>
          <value t="str">
            <val>手機,手機製造,軟體業,虛擬實境,智慧型手機,消費性電子產品,穿戴式裝置</val>
          </value>
        </values>
      </ddeItem>
      <ddeItem name="2498.TW-ExchangeIndustry" advise="1">
        <values>
          <value t="str">
            <val>上市通信網路</val>
          </value>
        </values>
      </ddeItem>
      <ddeItem name="2498.TW-FinanceBalanceDif" advise="1">
        <values>
          <value>
            <val>134</val>
          </value>
        </values>
      </ddeItem>
      <ddeItem name="2498.TW-FinanceBuy" advise="1">
        <values>
          <value>
            <val>3793</val>
          </value>
        </values>
      </ddeItem>
      <ddeItem name="2498.TW-FinanceSell" advise="1">
        <values>
          <value>
            <val>3633</val>
          </value>
        </values>
      </ddeItem>
      <ddeItem name="2498.TW-FinanceUsedRatio" advise="1">
        <values>
          <value>
            <val>27.22</val>
          </value>
        </values>
      </ddeItem>
      <ddeItem name="2498.TW-HalfYearReturn" advise="1">
        <values>
          <value t="str">
            <val>+99.01</val>
          </value>
        </values>
      </ddeItem>
      <ddeItem name="2498.TW-ID" advise="1">
        <values>
          <value t="str">
            <val>2498</val>
          </value>
        </values>
      </ddeItem>
      <ddeItem name="2498.TW-InvestorConferenceDate" advise="1">
        <values>
          <value t="str">
            <val>2021/03/10</val>
          </value>
        </values>
      </ddeItem>
      <ddeItem name="2498.TW-MarketValue" advise="1">
        <values>
          <value t="str">
            <val>662.1</val>
          </value>
        </values>
      </ddeItem>
      <ddeItem name="2498.TW-MonthlyNetSalesYoY" advise="1">
        <values>
          <value t="str">
            <val>-16.63</val>
          </value>
        </values>
      </ddeItem>
      <ddeItem name="2498.TW-MonthReturn" advise="1">
        <values>
          <value t="str">
            <val>-7.66</val>
          </value>
        </values>
      </ddeItem>
      <ddeItem name="2498.TW-Name" advise="1">
        <values>
          <value t="str">
            <val>宏達電</val>
          </value>
        </values>
      </ddeItem>
      <ddeItem name="2498.TW-NetIncomeGrowthRate" advise="1">
        <values>
          <value t="str">
            <val>52.12</val>
          </value>
        </values>
      </ddeItem>
      <ddeItem name="2498.TW-NetProfitMargin" advise="1">
        <values>
          <value t="str">
            <val>-61.32</val>
          </value>
        </values>
      </ddeItem>
      <ddeItem name="2498.TW-NetSales" advise="1">
        <values>
          <value>
            <val>462.92</val>
          </value>
        </values>
      </ddeItem>
      <ddeItem name="2498.TW-OperatingProfitRatio" advise="1">
        <values>
          <value t="str">
            <val>-83.06</val>
          </value>
        </values>
      </ddeItem>
      <ddeItem name="2498.TW-PBRatio" advise="1">
        <values>
          <value t="str">
            <val>2.40</val>
          </value>
        </values>
      </ddeItem>
      <ddeItem name="2498.TW-PERatio" advise="1">
        <values>
          <value t="str">
            <val>--</val>
          </value>
        </values>
      </ddeItem>
      <ddeItem name="2498.TW-PreTotalVolume" advise="1">
        <values>
          <value>
            <val>71766</val>
          </value>
        </values>
      </ddeItem>
      <ddeItem name="2498.TW-Price" advise="1">
        <values>
          <value>
            <val>80.8</val>
          </value>
        </values>
      </ddeItem>
      <ddeItem name="2498.TW-Profit" advise="1">
        <values>
          <value t="str">
            <val>-0.94</val>
          </value>
        </values>
      </ddeItem>
      <ddeItem name="2498.TW-ProfitFourSeason" advise="1">
        <values>
          <value t="str">
            <val>-4.14</val>
          </value>
        </values>
      </ddeItem>
      <ddeItem name="2498.TW-ProfitMargin" advise="1">
        <values>
          <value t="str">
            <val>30.21</val>
          </value>
        </values>
      </ddeItem>
      <ddeItem name="2498.TW-QuarterReturn" advise="1">
        <values>
          <value t="str">
            <val>+116.04</val>
          </value>
        </values>
      </ddeItem>
      <ddeItem name="2498.TW-ReturnOnAssets" advise="1">
        <values>
          <value t="str">
            <val>-5.21</val>
          </value>
        </values>
      </ddeItem>
      <ddeItem name="2498.TW-RevenuePerShare" advise="1">
        <values>
          <value t="str">
            <val>4.72</val>
          </value>
        </values>
      </ddeItem>
      <ddeItem name="2498.TW-ShortBalanceDif" advise="1">
        <values>
          <value>
            <val>221</val>
          </value>
        </values>
      </ddeItem>
      <ddeItem name="2498.TW-ShortBuy" advise="1">
        <values>
          <value>
            <val>944</val>
          </value>
        </values>
      </ddeItem>
      <ddeItem name="2498.TW-ShortSaleFinalRecallDate" advise="1">
        <values>
          <value t="str">
            <val>2021/04/12</val>
          </value>
        </values>
      </ddeItem>
      <ddeItem name="2498.TW-ShortSell" advise="1">
        <values>
          <value>
            <val>1166</val>
          </value>
        </values>
      </ddeItem>
      <ddeItem name="2498.TW-StockValueRatio" advise="1">
        <values>
          <value>
            <val>1.4253</val>
          </value>
        </values>
      </ddeItem>
      <ddeItem name="2498.TW-TFXRatio" advise="1">
        <values>
          <value t="str">
            <val>32.42</val>
          </value>
        </values>
      </ddeItem>
      <ddeItem name="2498.TW-TurnoverRatio" advise="1">
        <values>
          <value t="str">
            <val>7.41</val>
          </value>
        </values>
      </ddeItem>
      <ddeItem name="2498.TW-WeekReturn" advise="1">
        <values>
          <value t="str">
            <val>+0.12</val>
          </value>
        </values>
      </ddeItem>
      <ddeItem name="2498.TW-YearReturn" advise="1">
        <values>
          <value t="str">
            <val>+158.97</val>
          </value>
        </values>
      </ddeItem>
      <ddeItem name="2498.TW-YTDReturn" advise="1">
        <values>
          <value t="str">
            <val>+162.76</val>
          </value>
        </values>
      </ddeItem>
      <ddeItem name="2614.TW-NetProfitMargin,TFXRatio,MonthlyNetSalesYoY,ReturnOnAssets,DividendYear,TurnoverRatio,ProfitFourSeason,CashDividendYieldRate,StockNetValue,ExchangeIndustry" advise="1">
        <values cols="10">
          <value t="str">
            <val>16.27</val>
          </value>
          <value t="str">
            <val>2.56</val>
          </value>
          <value t="str">
            <val>19.42</val>
          </value>
          <value t="str">
            <val>4.92</val>
          </value>
          <value>
            <val>0.8</val>
          </value>
          <value t="str">
            <val>0.95</val>
          </value>
          <value t="str">
            <val>1.46</val>
          </value>
          <value>
            <val>2.5</val>
          </value>
          <value t="str">
            <val>11.65</val>
          </value>
          <value t="str">
            <val>上市其他</val>
          </value>
        </values>
      </ddeItem>
      <ddeItem name="2614.TW-OperatingProfitRatio" advise="1">
        <values>
          <value t="str">
            <val>2.74</val>
          </value>
        </values>
      </ddeItem>
      <ddeItem name="3006.TW-Amplitude" advise="1">
        <values>
          <value>
            <val>2.39</val>
          </value>
        </values>
      </ddeItem>
      <ddeItem name="3006.TW-Capital" advise="1">
        <values>
          <value t="str">
            <val>28.62</val>
          </value>
        </values>
      </ddeItem>
      <ddeItem name="3006.TW-CashAndStockDividend" advise="1">
        <values>
          <value t="str">
            <val>2.00</val>
          </value>
        </values>
      </ddeItem>
      <ddeItem name="3006.TW-CashDividendYield" advise="1">
        <values>
          <value>
            <val>1.22</val>
          </value>
        </values>
      </ddeItem>
      <ddeItem name="3006.TW-CashDividendYieldRate" advise="1">
        <values>
          <value>
            <val>1.22</val>
          </value>
        </values>
      </ddeItem>
      <ddeItem name="3006.TW-ChipsField1" advise="1">
        <values>
          <value>
            <val>-1498</val>
          </value>
        </values>
      </ddeItem>
      <ddeItem name="3006.TW-ChipsField10" advise="1">
        <values>
          <value>
            <val>407</val>
          </value>
        </values>
      </ddeItem>
      <ddeItem name="3006.TW-ChipsField13" advise="1">
        <values>
          <value>
            <val>-1368</val>
          </value>
        </values>
      </ddeItem>
      <ddeItem name="3006.TW-ChipsField2" advise="1">
        <values>
          <value>
            <val>32</val>
          </value>
        </values>
      </ddeItem>
      <ddeItem name="3006.TW-ChipsField3" advise="1">
        <values>
          <value>
            <val>-173</val>
          </value>
        </values>
      </ddeItem>
      <ddeItem name="3006.TW-ChipsField4" advise="1">
        <values>
          <value>
            <val>-1639</val>
          </value>
        </values>
      </ddeItem>
      <ddeItem name="3006.TW-ChipsField7" advise="1">
        <values>
          <value>
            <val>961</val>
          </value>
        </values>
      </ddeItem>
      <ddeItem name="3006.TW-CompanyNews" advise="1">
        <values>
          <value t="str">
            <val>--</val>
          </value>
        </values>
      </ddeItem>
      <ddeItem name="3006.TW-CompanyPos" advise="1">
        <values>
          <value t="str">
            <val>台灣利基型記憶體IC設計廠商</val>
          </value>
        </values>
      </ddeItem>
      <ddeItem name="3006.TW-DateofMeetingofShareHolders" advise="1">
        <values>
          <value t="str">
            <val>2021/07/12</val>
          </value>
        </values>
      </ddeItem>
      <ddeItem name="3006.TW-DetailIndustry" advise="1">
        <values>
          <value t="str">
            <val>DRAM記憶體IC,FLASH記憶體IC,類比IC,IC設計</val>
          </value>
        </values>
      </ddeItem>
      <ddeItem name="3006.TW-ExchangeIndustry" advise="1">
        <values>
          <value t="str">
            <val>上市半導體</val>
          </value>
        </values>
      </ddeItem>
      <ddeItem name="3006.TW-FinanceBalanceDif" advise="1">
        <values>
          <value>
            <val>273</val>
          </value>
        </values>
      </ddeItem>
      <ddeItem name="3006.TW-FinanceBuy" advise="1">
        <values>
          <value>
            <val>580</val>
          </value>
        </values>
      </ddeItem>
      <ddeItem name="3006.TW-FinanceSell" advise="1">
        <values>
          <value>
            <val>307</val>
          </value>
        </values>
      </ddeItem>
      <ddeItem name="3006.TW-FinanceUsedRatio" advise="1">
        <values>
          <value>
            <val>56.29</val>
          </value>
        </values>
      </ddeItem>
      <ddeItem name="3006.TW-HalfYearReturn" advise="1">
        <values>
          <value t="str">
            <val>+25.69</val>
          </value>
        </values>
      </ddeItem>
      <ddeItem name="3006.TW-ID" advise="1">
        <values>
          <value t="str">
            <val>3006</val>
          </value>
        </values>
      </ddeItem>
      <ddeItem name="3006.TW-InvestorConferenceDate" advise="1">
        <values>
          <value t="str">
            <val>2021/11/01</val>
          </value>
        </values>
      </ddeItem>
      <ddeItem name="3006.TW-MarketValue" advise="1">
        <values>
          <value t="str">
            <val>467.9</val>
          </value>
        </values>
      </ddeItem>
      <ddeItem name="3006.TW-MonthlyNetSalesYoY" advise="1">
        <values>
          <value t="str">
            <val>30.80</val>
          </value>
        </values>
      </ddeItem>
      <ddeItem name="3006.TW-MonthReturn" advise="1">
        <values>
          <value t="str">
            <val>-0.91</val>
          </value>
        </values>
      </ddeItem>
      <ddeItem name="3006.TW-Name" advise="1">
        <values>
          <value t="str">
            <val>晶豪科</val>
          </value>
        </values>
      </ddeItem>
      <ddeItem name="3006.TW-NetIncomeGrowthRate" advise="1">
        <values>
          <value t="str">
            <val>364.95</val>
          </value>
        </values>
      </ddeItem>
      <ddeItem name="3006.TW-NetProfitMargin" advise="1">
        <values>
          <value t="str">
            <val>21.64</val>
          </value>
        </values>
      </ddeItem>
      <ddeItem name="3006.TW-NetSales" advise="1">
        <values>
          <value>
            <val>1940.9</val>
          </value>
        </values>
      </ddeItem>
      <ddeItem name="3006.TW-OperatingProfitRatio" advise="1">
        <values>
          <value t="str">
            <val>24.55</val>
          </value>
        </values>
      </ddeItem>
      <ddeItem name="3006.TW-PBRatio" advise="1">
        <values>
          <value t="str">
            <val>3.85</val>
          </value>
        </values>
      </ddeItem>
      <ddeItem name="3006.TW-PERatio" advise="1">
        <values>
          <value t="str">
            <val>11.19</val>
          </value>
        </values>
      </ddeItem>
      <ddeItem name="3006.TW-PreTotalVolume" advise="1">
        <values>
          <value>
            <val>11766</val>
          </value>
        </values>
      </ddeItem>
      <ddeItem name="3006.TW-Price" advise="1">
        <values>
          <value>
            <val>163.5</val>
          </value>
        </values>
      </ddeItem>
      <ddeItem name="3006.TW-Profit" advise="1">
        <values>
          <value t="str">
            <val>6.80</val>
          </value>
        </values>
      </ddeItem>
      <ddeItem name="3006.TW-ProfitFourSeason" advise="1">
        <values>
          <value t="str">
            <val>14.61</val>
          </value>
        </values>
      </ddeItem>
      <ddeItem name="3006.TW-ProfitMargin" advise="1">
        <values>
          <value t="str">
            <val>35.78</val>
          </value>
        </values>
      </ddeItem>
      <ddeItem name="3006.TW-QuarterReturn" advise="1">
        <values>
          <value t="str">
            <val>+22.93</val>
          </value>
        </values>
      </ddeItem>
      <ddeItem name="3006.TW-ReturnOnAssets" advise="1">
        <values>
          <value t="str">
            <val>24.67</val>
          </value>
        </values>
      </ddeItem>
      <ddeItem name="3006.TW-RevenuePerShare" advise="1">
        <values>
          <value t="str">
            <val>66.02</val>
          </value>
        </values>
      </ddeItem>
      <ddeItem name="3006.TW-ShortBalanceDif" advise="1">
        <values>
          <value>
            <val>-135</val>
          </value>
        </values>
      </ddeItem>
      <ddeItem name="3006.TW-ShortBuy" advise="1">
        <values>
          <value>
            <val>171</val>
          </value>
        </values>
      </ddeItem>
      <ddeItem name="3006.TW-ShortSaleFinalRecallDate" advise="1">
        <values>
          <value t="str">
            <val>2021/07/29</val>
          </value>
        </values>
      </ddeItem>
      <ddeItem name="3006.TW-ShortSell" advise="1">
        <values>
          <value>
            <val>36</val>
          </value>
        </values>
      </ddeItem>
      <ddeItem name="3006.TW-StockValueRatio" advise="1">
        <values>
          <value>
            <val>0.3039</val>
          </value>
        </values>
      </ddeItem>
      <ddeItem name="3006.TW-TFXRatio" advise="1">
        <values>
          <value t="str">
            <val>-1.25</val>
          </value>
        </values>
      </ddeItem>
      <ddeItem name="3006.TW-TurnoverRatio" advise="1">
        <values>
          <value t="str">
            <val>2.25</val>
          </value>
        </values>
      </ddeItem>
      <ddeItem name="3006.TW-WeekReturn" advise="1">
        <values>
          <value t="str">
            <val>+2.83</val>
          </value>
        </values>
      </ddeItem>
      <ddeItem name="3006.TW-YearReturn" advise="1">
        <values>
          <value t="str">
            <val>+193.57</val>
          </value>
        </values>
      </ddeItem>
      <ddeItem name="3006.TW-YTDReturn" advise="1">
        <values>
          <value t="str">
            <val>+155.46</val>
          </value>
        </values>
      </ddeItem>
      <ddeItem name="3017.TW-Amplitude" advise="1">
        <values>
          <value>
            <val>2.2400000000000002</val>
          </value>
        </values>
      </ddeItem>
      <ddeItem name="3017.TW-Capital" advise="1">
        <values>
          <value t="str">
            <val>35.33</val>
          </value>
        </values>
      </ddeItem>
      <ddeItem name="3017.TW-CashAndStockDividend" advise="1">
        <values>
          <value t="str">
            <val>2.80</val>
          </value>
        </values>
      </ddeItem>
      <ddeItem name="3017.TW-CashDividendYield" advise="1">
        <values>
          <value>
            <val>3.22</val>
          </value>
        </values>
      </ddeItem>
      <ddeItem name="3017.TW-CashDividendYieldRate" advise="1">
        <values>
          <value>
            <val>3.22</val>
          </value>
        </values>
      </ddeItem>
      <ddeItem name="3017.TW-ChipsField1" advise="1">
        <values>
          <value>
            <val>-1240</val>
          </value>
        </values>
      </ddeItem>
      <ddeItem name="3017.TW-ChipsField10" advise="1">
        <values>
          <value>
            <val>241</val>
          </value>
        </values>
      </ddeItem>
      <ddeItem name="3017.TW-ChipsField13" advise="1">
        <values>
          <value>
            <val>-1420</val>
          </value>
        </values>
      </ddeItem>
      <ddeItem name="3017.TW-ChipsField2" advise="1">
        <values>
          <value>
            <val>-399</val>
          </value>
        </values>
      </ddeItem>
      <ddeItem name="3017.TW-ChipsField3" advise="1">
        <values>
          <value>
            <val>-95</val>
          </value>
        </values>
      </ddeItem>
      <ddeItem name="3017.TW-ChipsField4" advise="1">
        <values>
          <value>
            <val>-1734</val>
          </value>
        </values>
      </ddeItem>
      <ddeItem name="3017.TW-ChipsField7" advise="1">
        <values>
          <value>
            <val>1179</val>
          </value>
        </values>
      </ddeItem>
      <ddeItem name="3017.TW-CompanyNews" advise="1">
        <values>
          <value t="str">
            <val>--</val>
          </value>
        </values>
      </ddeItem>
      <ddeItem name="3017.TW-CompanyPos" advise="1">
        <values>
          <value t="str">
            <val>全球最大PC散熱模組廠</val>
          </value>
        </values>
      </ddeItem>
      <ddeItem name="3017.TW-DateofMeetingofShareHolders" advise="1">
        <values>
          <value t="str">
            <val>2021/08/06</val>
          </value>
        </values>
      </ddeItem>
      <ddeItem name="3017.TW-DetailIndustry" advise="1">
        <values>
          <value t="str">
            <val>機殼,散熱風扇馬達,電子零件元件,散熱模組,熱導管</val>
          </value>
        </values>
      </ddeItem>
      <ddeItem name="3017.TW-ExchangeIndustry" advise="1">
        <values>
          <value t="str">
            <val>上市電腦及週邊設備</val>
          </value>
        </values>
      </ddeItem>
      <ddeItem name="3017.TW-FinanceBalanceDif" advise="1">
        <values>
          <value>
            <val>146</val>
          </value>
        </values>
      </ddeItem>
      <ddeItem name="3017.TW-FinanceBuy" advise="1">
        <values>
          <value>
            <val>401</val>
          </value>
        </values>
      </ddeItem>
      <ddeItem name="3017.TW-FinanceSell" advise="1">
        <values>
          <value>
            <val>255</val>
          </value>
        </values>
      </ddeItem>
      <ddeItem name="3017.TW-FinanceUsedRatio" advise="1">
        <values>
          <value>
            <val>13.73</val>
          </value>
        </values>
      </ddeItem>
      <ddeItem name="3017.TW-HalfYearReturn" advise="1">
        <values>
          <value t="str">
            <val>+27.86</val>
          </value>
        </values>
      </ddeItem>
      <ddeItem name="3017.TW-ID" advise="1">
        <values>
          <value t="str">
            <val>3017</val>
          </value>
        </values>
      </ddeItem>
      <ddeItem name="3017.TW-InvestorConferenceDate" advise="1">
        <values>
          <value t="str">
            <val>2021/08/09</val>
          </value>
        </values>
      </ddeItem>
      <ddeItem name="3017.TW-MarketValue" advise="1">
        <values>
          <value t="str">
            <val>307.0</val>
          </value>
        </values>
      </ddeItem>
      <ddeItem name="3017.TW-MonthlyNetSalesYoY" advise="1">
        <values>
          <value t="str">
            <val>17.98</val>
          </value>
        </values>
      </ddeItem>
      <ddeItem name="3017.TW-MonthReturn" advise="1">
        <values>
          <value t="str">
            <val>+5.33</val>
          </value>
        </values>
      </ddeItem>
      <ddeItem name="3017.TW-Name" advise="1">
        <values>
          <value t="str">
            <val>奇鋐</val>
          </value>
        </values>
      </ddeItem>
      <ddeItem name="3017.TW-NetIncomeGrowthRate" advise="1">
        <values>
          <value t="str">
            <val>70.93</val>
          </value>
        </values>
      </ddeItem>
      <ddeItem name="3017.TW-NetProfitMargin" advise="1">
        <values>
          <value t="str">
            <val>7.22</val>
          </value>
        </values>
      </ddeItem>
      <ddeItem name="3017.TW-NetSales" advise="1">
        <values>
          <value>
            <val>4130.5200000000004</val>
          </value>
        </values>
      </ddeItem>
      <ddeItem name="3017.TW-OperatingProfitRatio" advise="1">
        <values>
          <value t="str">
            <val>9.75</val>
          </value>
        </values>
      </ddeItem>
      <ddeItem name="3017.TW-PBRatio" advise="1">
        <values>
          <value t="str">
            <val>2.65</val>
          </value>
        </values>
      </ddeItem>
      <ddeItem name="3017.TW-PERatio" advise="1">
        <values>
          <value t="str">
            <val>11.36</val>
          </value>
        </values>
      </ddeItem>
      <ddeItem name="3017.TW-PreTotalVolume" advise="1">
        <values>
          <value>
            <val>6249</val>
          </value>
        </values>
      </ddeItem>
      <ddeItem name="3017.TW-Price" advise="1">
        <values>
          <value>
            <val>86.9</val>
          </value>
        </values>
      </ddeItem>
      <ddeItem name="3017.TW-Profit" advise="1">
        <values>
          <value t="str">
            <val>2.42</val>
          </value>
        </values>
      </ddeItem>
      <ddeItem name="3017.TW-ProfitFourSeason" advise="1">
        <values>
          <value t="str">
            <val>7.65</val>
          </value>
        </values>
      </ddeItem>
      <ddeItem name="3017.TW-ProfitMargin" advise="1">
        <values>
          <value t="str">
            <val>17.41</val>
          </value>
        </values>
      </ddeItem>
      <ddeItem name="3017.TW-QuarterReturn" advise="1">
        <values>
          <value t="str">
            <val>+10.28</val>
          </value>
        </values>
      </ddeItem>
      <ddeItem name="3017.TW-ReturnOnAssets" advise="1">
        <values>
          <value t="str">
            <val>6.07</val>
          </value>
        </values>
      </ddeItem>
      <ddeItem name="3017.TW-RevenuePerShare" advise="1">
        <values>
          <value t="str">
            <val>99.40</val>
          </value>
        </values>
      </ddeItem>
      <ddeItem name="3017.TW-ShortBalanceDif" advise="1">
        <values>
          <value>
            <val>-28</val>
          </value>
        </values>
      </ddeItem>
      <ddeItem name="3017.TW-ShortBuy" advise="1">
        <values>
          <value>
            <val>29</val>
          </value>
        </values>
      </ddeItem>
      <ddeItem name="3017.TW-ShortSaleFinalRecallDate" advise="1">
        <values>
          <value t="str">
            <val>2021/08/18</val>
          </value>
        </values>
      </ddeItem>
      <ddeItem name="3017.TW-ShortSell" advise="1">
        <values>
          <value>
            <val>1</val>
          </value>
        </values>
      </ddeItem>
      <ddeItem name="3017.TW-StockValueRatio" advise="1">
        <values>
          <value>
            <val>9.9900000000000003E-2</val>
          </value>
        </values>
      </ddeItem>
      <ddeItem name="3017.TW-TFXRatio" advise="1">
        <values>
          <value t="str">
            <val>2.44</val>
          </value>
        </values>
      </ddeItem>
      <ddeItem name="3017.TW-TurnoverRatio" advise="1">
        <values>
          <value t="str">
            <val>1.12</val>
          </value>
        </values>
      </ddeItem>
      <ddeItem name="3017.TW-WeekReturn" advise="1">
        <values>
          <value t="str">
            <val>-1.03</val>
          </value>
        </values>
      </ddeItem>
      <ddeItem name="3017.TW-YearReturn" advise="1">
        <values>
          <value t="str">
            <val>+32.74</val>
          </value>
        </values>
      </ddeItem>
      <ddeItem name="3017.TW-YTDReturn" advise="1">
        <values>
          <value t="str">
            <val>+36.76</val>
          </value>
        </values>
      </ddeItem>
      <ddeItem name="3141.TW-Amplitude" advise="1">
        <values>
          <value>
            <val>5.47</val>
          </value>
        </values>
      </ddeItem>
      <ddeItem name="3141.TW-Capital" advise="1">
        <values>
          <value t="str">
            <val>7.56</val>
          </value>
        </values>
      </ddeItem>
      <ddeItem name="3141.TW-CashAndStockDividend" advise="1">
        <values>
          <value t="str">
            <val>0.62</val>
          </value>
        </values>
      </ddeItem>
      <ddeItem name="3141.TW-CashDividendYield" advise="1">
        <values>
          <value>
            <val>0.23</val>
          </value>
        </values>
      </ddeItem>
      <ddeItem name="3141.TW-CashDividendYieldRate" advise="1">
        <values>
          <value>
            <val>0.23</val>
          </value>
        </values>
      </ddeItem>
      <ddeItem name="3141.TW-ChipsField1" advise="1">
        <values>
          <value>
            <val>-874</val>
          </value>
        </values>
      </ddeItem>
      <ddeItem name="3141.TW-ChipsField10" advise="1">
        <values>
          <value>
            <val>827</val>
          </value>
        </values>
      </ddeItem>
      <ddeItem name="3141.TW-ChipsField13" advise="1">
        <values>
          <value>
            <val>-2185</val>
          </value>
        </values>
      </ddeItem>
      <ddeItem name="3141.TW-ChipsField2" advise="1">
        <values>
          <value>
            <val>-854</val>
          </value>
        </values>
      </ddeItem>
      <ddeItem name="3141.TW-ChipsField3" advise="1">
        <values>
          <value>
            <val>118</val>
          </value>
        </values>
      </ddeItem>
      <ddeItem name="3141.TW-ChipsField4" advise="1">
        <values>
          <value>
            <val>-1610</val>
          </value>
        </values>
      </ddeItem>
      <ddeItem name="3141.TW-ChipsField7" advise="1">
        <values>
          <value>
            <val>1357</val>
          </value>
        </values>
      </ddeItem>
      <ddeItem name="3141.TW-CompanyNews" advise="1">
        <values>
          <value t="str">
            <val>11月營收2.72億元</val>
          </value>
        </values>
      </ddeItem>
      <ddeItem name="3141.TW-CompanyPos" advise="1">
        <values>
          <value t="str">
            <val>元太轉投資STN驅動IC廠</val>
          </value>
        </values>
      </ddeItem>
      <ddeItem name="3141.TW-DateofMeetingofShareHolders" advise="1">
        <values>
          <value t="str">
            <val>2021/08/06</val>
          </value>
        </values>
      </ddeItem>
      <ddeItem name="3141.TW-DetailIndustry" advise="1">
        <values>
          <value t="str">
            <val>馬達IC,IC設計,LCD驅動IC,觸控IC</val>
          </value>
        </values>
      </ddeItem>
      <ddeItem name="3141.TW-ExchangeIndustry" advise="1">
        <values>
          <value t="str">
            <val>上櫃半導體</val>
          </value>
        </values>
      </ddeItem>
      <ddeItem name="3141.TW-FinanceBalanceDif" advise="1">
        <values>
          <value>
            <val>81</val>
          </value>
        </values>
      </ddeItem>
      <ddeItem name="3141.TW-FinanceBuy" advise="1">
        <values>
          <value>
            <val>1278</val>
          </value>
        </values>
      </ddeItem>
      <ddeItem name="3141.TW-FinanceSell" advise="1">
        <values>
          <value>
            <val>1197</val>
          </value>
        </values>
      </ddeItem>
      <ddeItem name="3141.TW-FinanceUsedRatio" advise="1">
        <values>
          <value>
            <val>84.14</val>
          </value>
        </values>
      </ddeItem>
      <ddeItem name="3141.TW-HalfYearReturn" advise="1">
        <values>
          <value t="str">
            <val>+184.59</val>
          </value>
        </values>
      </ddeItem>
      <ddeItem name="3141.TW-ID" advise="1">
        <values>
          <value t="str">
            <val>3141</val>
          </value>
        </values>
      </ddeItem>
      <ddeItem name="3141.TW-InvestorConferenceDate" advise="1">
        <values>
          <value t="str">
            <val>2021/07/23</val>
          </value>
        </values>
      </ddeItem>
      <ddeItem name="3141.TW-MarketValue" advise="1">
        <values>
          <value t="str">
            <val>204.3</val>
          </value>
        </values>
      </ddeItem>
      <ddeItem name="3141.TW-MonthlyNetSalesYoY" advise="1">
        <values>
          <value t="str">
            <val>72.19</val>
          </value>
        </values>
      </ddeItem>
      <ddeItem name="3141.TW-MonthReturn" advise="1">
        <values>
          <value t="str">
            <val>+10.73</val>
          </value>
        </values>
      </ddeItem>
      <ddeItem name="3141.TW-Name" advise="1">
        <values>
          <value t="str">
            <val>晶宏</val>
          </value>
        </values>
      </ddeItem>
      <ddeItem name="3141.TW-NetIncomeGrowthRate" advise="1">
        <values>
          <value t="str">
            <val>605.25</val>
          </value>
        </values>
      </ddeItem>
      <ddeItem name="3141.TW-NetProfitMargin" advise="1">
        <values>
          <value t="str">
            <val>22.99</val>
          </value>
        </values>
      </ddeItem>
      <ddeItem name="3141.TW-NetSales" advise="1">
        <values>
          <value>
            <val>271.69</val>
          </value>
        </values>
      </ddeItem>
      <ddeItem name="3141.TW-OperatingProfitRatio" advise="1">
        <values>
          <value t="str">
            <val>27.14</val>
          </value>
        </values>
      </ddeItem>
      <ddeItem name="3141.TW-PBRatio" advise="1">
        <values>
          <value t="str">
            <val>10.34</val>
          </value>
        </values>
      </ddeItem>
      <ddeItem name="3141.TW-PERatio" advise="1">
        <values>
          <value t="str">
            <val>36.96</val>
          </value>
        </values>
      </ddeItem>
      <ddeItem name="3141.TW-PreTotalVolume" advise="1">
        <values>
          <value>
            <val>17726</val>
          </value>
        </values>
      </ddeItem>
      <ddeItem name="3141.TW-Price" advise="1">
        <values>
          <value>
            <val>273.5</val>
          </value>
        </values>
      </ddeItem>
      <ddeItem name="3141.TW-Profit" advise="1">
        <values>
          <value t="str">
            <val>3.61</val>
          </value>
        </values>
      </ddeItem>
      <ddeItem name="3141.TW-ProfitFourSeason" advise="1">
        <values>
          <value t="str">
            <val>7.40</val>
          </value>
        </values>
      </ddeItem>
      <ddeItem name="3141.TW-ProfitMargin" advise="1">
        <values>
          <value t="str">
            <val>49.74</val>
          </value>
        </values>
      </ddeItem>
      <ddeItem name="3141.TW-QuarterReturn" advise="1">
        <values>
          <value t="str">
            <val>+62.50</val>
          </value>
        </values>
      </ddeItem>
      <ddeItem name="3141.TW-ReturnOnAssets" advise="1">
        <values>
          <value t="str">
            <val>18.10</val>
          </value>
        </values>
      </ddeItem>
      <ddeItem name="3141.TW-RevenuePerShare" advise="1">
        <values>
          <value t="str">
            <val>26.10</val>
          </value>
        </values>
      </ddeItem>
      <ddeItem name="3141.TW-ShortBalanceDif" advise="1">
        <values>
          <value>
            <val>-634</val>
          </value>
        </values>
      </ddeItem>
      <ddeItem name="3141.TW-ShortBuy" advise="1">
        <values>
          <value>
            <val>653</val>
          </value>
        </values>
      </ddeItem>
      <ddeItem name="3141.TW-ShortSaleFinalRecallDate" advise="1">
        <values>
          <value t="str">
            <val>2021/09/24</val>
          </value>
        </values>
      </ddeItem>
      <ddeItem name="3141.TW-ShortSell" advise="1">
        <values>
          <value>
            <val>21</val>
          </value>
        </values>
      </ddeItem>
      <ddeItem name="3141.TW-StockValueRatio" advise="1">
        <values>
          <value>
            <val>4.3489000000000004</val>
          </value>
        </values>
      </ddeItem>
      <ddeItem name="3141.TW-TFXRatio" advise="1">
        <values>
          <value t="str">
            <val>-0.97</val>
          </value>
        </values>
      </ddeItem>
      <ddeItem name="3141.TW-TurnoverRatio" advise="1">
        <values>
          <value t="str">
            <val>20.43</val>
          </value>
        </values>
      </ddeItem>
      <ddeItem name="3141.TW-WeekReturn" advise="1">
        <values>
          <value t="str">
            <val>+0.92</val>
          </value>
        </values>
      </ddeItem>
      <ddeItem name="3141.TW-YearReturn" advise="1">
        <values>
          <value t="str">
            <val>+531.32</val>
          </value>
        </values>
      </ddeItem>
      <ddeItem name="3141.TW-YTDReturn" advise="1">
        <values>
          <value t="str">
            <val>+560.95</val>
          </value>
        </values>
      </ddeItem>
      <ddeItem name="3530.TW-Amplitude" advise="1">
        <values>
          <value>
            <val>3.65</val>
          </value>
        </values>
      </ddeItem>
      <ddeItem name="3530.TW-Capital" advise="1">
        <values>
          <value t="str">
            <val>7.82</val>
          </value>
        </values>
      </ddeItem>
      <ddeItem name="3530.TW-CashAndStockDividend" advise="1">
        <values>
          <value t="str">
            <val>2.80</val>
          </value>
        </values>
      </ddeItem>
      <ddeItem name="3530.TW-CashDividendYield" advise="1">
        <values>
          <value>
            <val>2.09</val>
          </value>
        </values>
      </ddeItem>
      <ddeItem name="3530.TW-CashDividendYieldRate" advise="1">
        <values>
          <value>
            <val>2.09</val>
          </value>
        </values>
      </ddeItem>
      <ddeItem name="3530.TW-ChipsField1" advise="1">
        <values>
          <value>
            <val>-277</val>
          </value>
        </values>
      </ddeItem>
      <ddeItem name="3530.TW-ChipsField10" advise="1">
        <values>
          <value>
            <val>83</val>
          </value>
        </values>
      </ddeItem>
      <ddeItem name="3530.TW-ChipsField13" advise="1">
        <values>
          <value>
            <val>-390</val>
          </value>
        </values>
      </ddeItem>
      <ddeItem name="3530.TW-ChipsField2" advise="1">
        <values>
          <value>
            <val>0</val>
          </value>
        </values>
      </ddeItem>
      <ddeItem name="3530.TW-ChipsField3" advise="1">
        <values>
          <value>
            <val>5</val>
          </value>
        </values>
      </ddeItem>
      <ddeItem name="3530.TW-ChipsField4" advise="1">
        <values>
          <value>
            <val>-272</val>
          </value>
        </values>
      </ddeItem>
      <ddeItem name="3530.TW-ChipsField7" advise="1">
        <values>
          <value>
            <val>307</val>
          </value>
        </values>
      </ddeItem>
      <ddeItem name="3530.TW-CompanyNews" advise="1">
        <values>
          <value t="str">
            <val>--</val>
          </value>
        </values>
      </ddeItem>
      <ddeItem name="3530.TW-CompanyPos" advise="1">
        <values>
          <value t="str">
            <val>力晶與OmniVision合資之CMOS影像感測元件廠</val>
          </value>
        </values>
      </ddeItem>
      <ddeItem name="3530.TW-DateofMeetingofShareHolders" advise="1">
        <values>
          <value t="str">
            <val>2021/07/01</val>
          </value>
        </values>
      </ddeItem>
      <ddeItem name="3530.TW-DetailIndustry" advise="1">
        <values>
          <value t="str">
            <val>IC設計,CMOS晶片</val>
          </value>
        </values>
      </ddeItem>
      <ddeItem name="3530.TW-ExchangeIndustry" advise="1">
        <values>
          <value t="str">
            <val>上市半導體</val>
          </value>
        </values>
      </ddeItem>
      <ddeItem name="3530.TW-FinanceBalanceDif" advise="1">
        <values>
          <value>
            <val>-2</val>
          </value>
        </values>
      </ddeItem>
      <ddeItem name="3530.TW-FinanceBuy" advise="1">
        <values>
          <value>
            <val>87</val>
          </value>
        </values>
      </ddeItem>
      <ddeItem name="3530.TW-FinanceSell" advise="1">
        <values>
          <value>
            <val>87</val>
          </value>
        </values>
      </ddeItem>
      <ddeItem name="3530.TW-FinanceUsedRatio" advise="1">
        <values>
          <value>
            <val>29.61</val>
          </value>
        </values>
      </ddeItem>
      <ddeItem name="3530.TW-HalfYearReturn" advise="1">
        <values>
          <value t="str">
            <val>-25.23</val>
          </value>
        </values>
      </ddeItem>
      <ddeItem name="3530.TW-ID" advise="1">
        <values>
          <value t="str">
            <val>3530</val>
          </value>
        </values>
      </ddeItem>
      <ddeItem name="3530.TW-InvestorConferenceDate" advise="1">
        <values>
          <value t="str">
            <val>2021/08/26</val>
          </value>
        </values>
      </ddeItem>
      <ddeItem name="3530.TW-MarketValue" advise="1">
        <values>
          <value t="str">
            <val>104.7</val>
          </value>
        </values>
      </ddeItem>
      <ddeItem name="3530.TW-MonthlyNetSalesYoY" advise="1">
        <values>
          <value t="str">
            <val>-32.61</val>
          </value>
        </values>
      </ddeItem>
      <ddeItem name="3530.TW-MonthReturn" advise="1">
        <values>
          <value t="str">
            <val>-10.67</val>
          </value>
        </values>
      </ddeItem>
      <ddeItem name="3530.TW-Name" advise="1">
        <values>
          <value t="str">
            <val>晶相光</val>
          </value>
        </values>
      </ddeItem>
      <ddeItem name="3530.TW-NetIncomeGrowthRate" advise="1">
        <values>
          <value t="str">
            <val>311.83</val>
          </value>
        </values>
      </ddeItem>
      <ddeItem name="3530.TW-NetProfitMargin" advise="1">
        <values>
          <value t="str">
            <val>19.60</val>
          </value>
        </values>
      </ddeItem>
      <ddeItem name="3530.TW-NetSales" advise="1">
        <values>
          <value>
            <val>303.83999999999997</val>
          </value>
        </values>
      </ddeItem>
      <ddeItem name="3530.TW-OperatingProfitRatio" advise="1">
        <values>
          <value t="str">
            <val>23.50</val>
          </value>
        </values>
      </ddeItem>
      <ddeItem name="3530.TW-PBRatio" advise="1">
        <values>
          <value t="str">
            <val>3.97</val>
          </value>
        </values>
      </ddeItem>
      <ddeItem name="3530.TW-PERatio" advise="1">
        <values>
          <value t="str">
            <val>13.87</val>
          </value>
        </values>
      </ddeItem>
      <ddeItem name="3530.TW-PreTotalVolume" advise="1">
        <values>
          <value>
            <val>974</val>
          </value>
        </values>
      </ddeItem>
      <ddeItem name="3530.TW-Price" advise="1">
        <values>
          <value>
            <val>134</val>
          </value>
        </values>
      </ddeItem>
      <ddeItem name="3530.TW-Profit" advise="1">
        <values>
          <value t="str">
            <val>3.18</val>
          </value>
        </values>
      </ddeItem>
      <ddeItem name="3530.TW-ProfitFourSeason" advise="1">
        <values>
          <value t="str">
            <val>9.66</val>
          </value>
        </values>
      </ddeItem>
      <ddeItem name="3530.TW-ProfitMargin" advise="1">
        <values>
          <value t="str">
            <val>35.17</val>
          </value>
        </values>
      </ddeItem>
      <ddeItem name="3530.TW-QuarterReturn" advise="1">
        <values>
          <value t="str">
            <val>-14.10</val>
          </value>
        </values>
      </ddeItem>
      <ddeItem name="3530.TW-ReturnOnAssets" advise="1">
        <values>
          <value t="str">
            <val>18.44</val>
          </value>
        </values>
      </ddeItem>
      <ddeItem name="3530.TW-RevenuePerShare" advise="1">
        <values>
          <value t="str">
            <val>40.48</val>
          </value>
        </values>
      </ddeItem>
      <ddeItem name="3530.TW-ShortBalanceDif" advise="1">
        <values>
          <value>
            <val>-26</val>
          </value>
        </values>
      </ddeItem>
      <ddeItem name="3530.TW-ShortBuy" advise="1">
        <values>
          <value>
            <val>26</val>
          </value>
        </values>
      </ddeItem>
      <ddeItem name="3530.TW-ShortSaleFinalRecallDate" advise="1">
        <values>
          <value t="str">
            <val>2021/07/19</val>
          </value>
        </values>
      </ddeItem>
      <ddeItem name="3530.TW-ShortSell" advise="1">
        <values>
          <value>
            <val>0</val>
          </value>
        </values>
      </ddeItem>
      <ddeItem name="3530.TW-StockValueRatio" advise="1">
        <values>
          <value>
            <val>3.7499999999999999E-2</val>
          </value>
        </values>
      </ddeItem>
      <ddeItem name="3530.TW-TFXRatio" advise="1">
        <values>
          <value t="str">
            <val>9.53</val>
          </value>
        </values>
      </ddeItem>
      <ddeItem name="3530.TW-TurnoverRatio" advise="1">
        <values>
          <value t="str">
            <val>1.23</val>
          </value>
        </values>
      </ddeItem>
      <ddeItem name="3530.TW-WeekReturn" advise="1">
        <values>
          <value t="str">
            <val>-3.60</val>
          </value>
        </values>
      </ddeItem>
      <ddeItem name="3530.TW-YearReturn" advise="1">
        <values>
          <value t="str">
            <val>+9.89</val>
          </value>
        </values>
      </ddeItem>
      <ddeItem name="3530.TW-YTDReturn" advise="1">
        <values>
          <value t="str">
            <val>+12.16</val>
          </value>
        </values>
      </ddeItem>
      <ddeItem name="3701.TW-CashAndStockDividend" advise="1">
        <values>
          <value t="str">
            <val>0.00</val>
          </value>
        </values>
      </ddeItem>
      <ddeItem name="3701.TW-NetProfitMargin" advise="1">
        <values>
          <value t="str">
            <val>5.23</val>
          </value>
        </values>
      </ddeItem>
      <ddeItem name="3701.TW-OperatingProfitRatio" advise="1">
        <values>
          <value t="str">
            <val>2.83</val>
          </value>
        </values>
      </ddeItem>
      <ddeItem name="3701.TW-ProfitFourSeason" advise="1">
        <values>
          <value t="str">
            <val>1.06</val>
          </value>
        </values>
      </ddeItem>
      <ddeItem name="3701.TW-ReturnOnAssets" advise="1">
        <values>
          <value t="str">
            <val>4.73</val>
          </value>
        </values>
      </ddeItem>
      <ddeItem name="3701.TW-TurnoverRatio" advise="1">
        <values>
          <value t="str">
            <val>7.96</val>
          </value>
        </values>
      </ddeItem>
      <ddeItem name="3704.TW-NetProfitMargin,TFXRatio,MonthlyNetSalesYoY,ReturnOnAssets,DividendYear,TurnoverRatio,ProfitFourSeason,CashDividendYieldRate,StockNetValue,ExchangeIndustry" advise="1">
        <values cols="10">
          <value t="str">
            <val>4.77</val>
          </value>
          <value t="str">
            <val>-0.24</val>
          </value>
          <value t="str">
            <val>-2.94</val>
          </value>
          <value t="str">
            <val>4.72</val>
          </value>
          <value>
            <val>0.5</val>
          </value>
          <value t="str">
            <val>8.30</val>
          </value>
          <value t="str">
            <val>3.08</val>
          </value>
          <value>
            <val>1.44</val>
          </value>
          <value t="str">
            <val>20.33</val>
          </value>
          <value t="str">
            <val>上市通信網路</val>
          </value>
        </values>
      </ddeItem>
      <ddeItem name="3704.TW-OperatingProfitRatio" advise="1">
        <values>
          <value t="str">
            <val>6.32</val>
          </value>
        </values>
      </ddeItem>
      <ddeItem name="4721.TW-Amplitude" advise="1">
        <values>
          <value>
            <val>1.64</val>
          </value>
        </values>
      </ddeItem>
      <ddeItem name="4721.TW-Capital" advise="1">
        <values>
          <value t="str">
            <val>7.50</val>
          </value>
        </values>
      </ddeItem>
      <ddeItem name="4721.TW-CashAndStockDividend" advise="1">
        <values>
          <value t="str">
            <val>1.39</val>
          </value>
        </values>
      </ddeItem>
      <ddeItem name="4721.TW-CashDividendYield" advise="1">
        <values>
          <value>
            <val>0.93</val>
          </value>
        </values>
      </ddeItem>
      <ddeItem name="4721.TW-CashDividendYieldRate" advise="1">
        <values>
          <value>
            <val>0.93</val>
          </value>
        </values>
      </ddeItem>
      <ddeItem name="4721.TW-ChipsField1" advise="1">
        <values>
          <value>
            <val>49</val>
          </value>
        </values>
      </ddeItem>
      <ddeItem name="4721.TW-ChipsField10" advise="1">
        <values>
          <value>
            <val>-42</val>
          </value>
        </values>
      </ddeItem>
      <ddeItem name="4721.TW-ChipsField13" advise="1">
        <values>
          <value>
            <val>26</val>
          </value>
        </values>
      </ddeItem>
      <ddeItem name="4721.TW-ChipsField2" advise="1">
        <values>
          <value>
            <val>0</val>
          </value>
        </values>
      </ddeItem>
      <ddeItem name="4721.TW-ChipsField3" advise="1">
        <values>
          <value>
            <val>2</val>
          </value>
        </values>
      </ddeItem>
      <ddeItem name="4721.TW-ChipsField4" advise="1">
        <values>
          <value>
            <val>51</val>
          </value>
        </values>
      </ddeItem>
      <ddeItem name="4721.TW-ChipsField7" advise="1">
        <values>
          <value>
            <val>16</val>
          </value>
        </values>
      </ddeItem>
      <ddeItem name="4721.TW-CompanyNews" advise="1">
        <values>
          <value t="str">
            <val>--</val>
          </value>
        </values>
      </ddeItem>
      <ddeItem name="4721.TW-CompanyPos" advise="1">
        <values>
          <value t="str">
            <val>全球最大PTA氧化觸媒供應商，也生產正極材料</val>
          </value>
        </values>
      </ddeItem>
      <ddeItem name="4721.TW-DateofMeetingofShareHolders" advise="1">
        <values>
          <value t="str">
            <val>2021/07/07</val>
          </value>
        </values>
      </ddeItem>
      <ddeItem name="4721.TW-DetailIndustry" advise="1">
        <values>
          <value t="str">
            <val>電池材料相關,化學產品通路,正極材料,化學工業,其他化工產品</val>
          </value>
        </values>
      </ddeItem>
      <ddeItem name="4721.TW-ExchangeIndustry" advise="1">
        <values>
          <value t="str">
            <val>上櫃化工</val>
          </value>
        </values>
      </ddeItem>
      <ddeItem name="4721.TW-FinanceBalanceDif" advise="1">
        <values>
          <value>
            <val>-25</val>
          </value>
        </values>
      </ddeItem>
      <ddeItem name="4721.TW-FinanceBuy" advise="1">
        <values>
          <value>
            <val>118</val>
          </value>
        </values>
      </ddeItem>
      <ddeItem name="4721.TW-FinanceSell" advise="1">
        <values>
          <value>
            <val>143</val>
          </value>
        </values>
      </ddeItem>
      <ddeItem name="4721.TW-FinanceUsedRatio" advise="1">
        <values>
          <value>
            <val>32.43</val>
          </value>
        </values>
      </ddeItem>
      <ddeItem name="4721.TW-HalfYearReturn" advise="1">
        <values>
          <value t="str">
            <val>+144.40</val>
          </value>
        </values>
      </ddeItem>
      <ddeItem name="4721.TW-ID" advise="1">
        <values>
          <value t="str">
            <val>4721</val>
          </value>
        </values>
      </ddeItem>
      <ddeItem name="4721.TW-InvestorConferenceDate" advise="1">
        <values>
          <value t="str">
            <val>--</val>
          </value>
        </values>
      </ddeItem>
      <ddeItem name="4721.TW-MarketValue" advise="1">
        <values>
          <value t="str">
            <val>112.1</val>
          </value>
        </values>
      </ddeItem>
      <ddeItem name="4721.TW-MonthlyNetSalesYoY" advise="1">
        <values>
          <value t="str">
            <val>240.33</val>
          </value>
        </values>
      </ddeItem>
      <ddeItem name="4721.TW-MonthReturn" advise="1">
        <values>
          <value t="str">
            <val>-11.01</val>
          </value>
        </values>
      </ddeItem>
      <ddeItem name="4721.TW-Name" advise="1">
        <values>
          <value t="str">
            <val>美琪瑪</val>
          </value>
        </values>
      </ddeItem>
      <ddeItem name="4721.TW-NetIncomeGrowthRate" advise="1">
        <values>
          <value t="str">
            <val>148.04</val>
          </value>
        </values>
      </ddeItem>
      <ddeItem name="4721.TW-NetProfitMargin" advise="1">
        <values>
          <value t="str">
            <val>9.16</val>
          </value>
        </values>
      </ddeItem>
      <ddeItem name="4721.TW-NetSales" advise="1">
        <values>
          <value>
            <val>467.45</val>
          </value>
        </values>
      </ddeItem>
      <ddeItem name="4721.TW-OperatingProfitRatio" advise="1">
        <values>
          <value t="str">
            <val>10.91</val>
          </value>
        </values>
      </ddeItem>
      <ddeItem name="4721.TW-PBRatio" advise="1">
        <values>
          <value t="str">
            <val>8.77</val>
          </value>
        </values>
      </ddeItem>
      <ddeItem name="4721.TW-PERatio" advise="1">
        <values>
          <value t="str">
            <val>40.30</val>
          </value>
        </values>
      </ddeItem>
      <ddeItem name="4721.TW-PreTotalVolume" advise="1">
        <values>
          <value>
            <val>3357</val>
          </value>
        </values>
      </ddeItem>
      <ddeItem name="4721.TW-Price" advise="1">
        <values>
          <value>
            <val>149.5</val>
          </value>
        </values>
      </ddeItem>
      <ddeItem name="4721.TW-Profit" advise="1">
        <values>
          <value t="str">
            <val>1.58</val>
          </value>
        </values>
      </ddeItem>
      <ddeItem name="4721.TW-ProfitFourSeason" advise="1">
        <values>
          <value t="str">
            <val>3.71</val>
          </value>
        </values>
      </ddeItem>
      <ddeItem name="4721.TW-ProfitMargin" advise="1">
        <values>
          <value t="str">
            <val>14.62</val>
          </value>
        </values>
      </ddeItem>
      <ddeItem name="4721.TW-QuarterReturn" advise="1">
        <values>
          <value t="str">
            <val>+27.23</val>
          </value>
        </values>
      </ddeItem>
      <ddeItem name="4721.TW-ReturnOnAssets" advise="1">
        <values>
          <value t="str">
            <val>13.11</val>
          </value>
        </values>
      </ddeItem>
      <ddeItem name="4721.TW-RevenuePerShare" advise="1">
        <values>
          <value t="str">
            <val>37.71</val>
          </value>
        </values>
      </ddeItem>
      <ddeItem name="4721.TW-ShortBalanceDif" advise="1">
        <values>
          <value>
            <val>-21</val>
          </value>
        </values>
      </ddeItem>
      <ddeItem name="4721.TW-ShortBuy" advise="1">
        <values>
          <value>
            <val>30</val>
          </value>
        </values>
      </ddeItem>
      <ddeItem name="4721.TW-ShortSaleFinalRecallDate" advise="1">
        <values>
          <value t="str">
            <val>2021/07/19</val>
          </value>
        </values>
      </ddeItem>
      <ddeItem name="4721.TW-ShortSell" advise="1">
        <values>
          <value>
            <val>12</val>
          </value>
        </values>
      </ddeItem>
      <ddeItem name="4721.TW-StockValueRatio" advise="1">
        <values>
          <value>
            <val>0.20180000000000001</val>
          </value>
        </values>
      </ddeItem>
      <ddeItem name="4721.TW-TFXRatio" advise="1">
        <values>
          <value t="str">
            <val>2.44</val>
          </value>
        </values>
      </ddeItem>
      <ddeItem name="4721.TW-TurnoverRatio" advise="1">
        <values>
          <value t="str">
            <val>1.75</val>
          </value>
        </values>
      </ddeItem>
      <ddeItem name="4721.TW-WeekReturn" advise="1">
        <values>
          <value t="str">
            <val>-0.99</val>
          </value>
        </values>
      </ddeItem>
      <ddeItem name="4721.TW-YearReturn" advise="1">
        <values>
          <value t="str">
            <val>+152.12</val>
          </value>
        </values>
      </ddeItem>
      <ddeItem name="4721.TW-YTDReturn" advise="1">
        <values>
          <value t="str">
            <val>+126.19</val>
          </value>
        </values>
      </ddeItem>
      <ddeItem name="4739.TW-Amplitude" advise="1">
        <values>
          <value>
            <val>2.54</val>
          </value>
        </values>
      </ddeItem>
      <ddeItem name="4739.TW-Capital" advise="1">
        <values>
          <value t="str">
            <val>10.70</val>
          </value>
        </values>
      </ddeItem>
      <ddeItem name="4739.TW-CashAndStockDividend" advise="1">
        <values>
          <value t="str">
            <val>1.20</val>
          </value>
        </values>
      </ddeItem>
      <ddeItem name="4739.TW-CashDividendYield" advise="1">
        <values>
          <value>
            <val>0.89</val>
          </value>
        </values>
      </ddeItem>
      <ddeItem name="4739.TW-CashDividendYieldRate" advise="1">
        <values>
          <value>
            <val>0.89</val>
          </value>
        </values>
      </ddeItem>
      <ddeItem name="4739.TW-ChipsField1" advise="1">
        <values>
          <value>
            <val>-133</val>
          </value>
        </values>
      </ddeItem>
      <ddeItem name="4739.TW-ChipsField10" advise="1">
        <values>
          <value>
            <val>-25</val>
          </value>
        </values>
      </ddeItem>
      <ddeItem name="4739.TW-ChipsField13" advise="1">
        <values>
          <value>
            <val>-266</val>
          </value>
        </values>
      </ddeItem>
      <ddeItem name="4739.TW-ChipsField2" advise="1">
        <values>
          <value>
            <val>-31</val>
          </value>
        </values>
      </ddeItem>
      <ddeItem name="4739.TW-ChipsField3" advise="1">
        <values>
          <value>
            <val>-322</val>
          </value>
        </values>
      </ddeItem>
      <ddeItem name="4739.TW-ChipsField4" advise="1">
        <values>
          <value>
            <val>-486</val>
          </value>
        </values>
      </ddeItem>
      <ddeItem name="4739.TW-ChipsField7" advise="1">
        <values>
          <value>
            <val>291</val>
          </value>
        </values>
      </ddeItem>
      <ddeItem name="4739.TW-CompanyNews" advise="1">
        <values>
          <value t="str">
            <val>--</val>
          </value>
        </values>
      </ddeItem>
      <ddeItem name="4739.TW-CompanyPos" advise="1">
        <values>
          <value t="str">
            <val>台灣特用化學材、電池材料、PTA氧化觸媒大廠</val>
          </value>
        </values>
      </ddeItem>
      <ddeItem name="4739.TW-DateofMeetingofShareHolders" advise="1">
        <values>
          <value t="str">
            <val>2021/07/05</val>
          </value>
        </values>
      </ddeItem>
      <ddeItem name="4739.TW-DetailIndustry" advise="1">
        <values>
          <value t="str">
            <val>肥料,電池材料相關,強酸產品,正極材料,化學工業,其他化工產品,電子化工材料</val>
          </value>
        </values>
      </ddeItem>
      <ddeItem name="4739.TW-ExchangeIndustry" advise="1">
        <values>
          <value t="str">
            <val>上市化工</val>
          </value>
        </values>
      </ddeItem>
      <ddeItem name="4739.TW-FinanceBalanceDif" advise="1">
        <values>
          <value>
            <val>286</val>
          </value>
        </values>
      </ddeItem>
      <ddeItem name="4739.TW-FinanceBuy" advise="1">
        <values>
          <value>
            <val>464</val>
          </value>
        </values>
      </ddeItem>
      <ddeItem name="4739.TW-FinanceSell" advise="1">
        <values>
          <value>
            <val>176</val>
          </value>
        </values>
      </ddeItem>
      <ddeItem name="4739.TW-FinanceUsedRatio" advise="1">
        <values>
          <value>
            <val>35.07</val>
          </value>
        </values>
      </ddeItem>
      <ddeItem name="4739.TW-HalfYearReturn" advise="1">
        <values>
          <value t="str">
            <val>+72.12</val>
          </value>
        </values>
      </ddeItem>
      <ddeItem name="4739.TW-ID" advise="1">
        <values>
          <value t="str">
            <val>4739</val>
          </value>
        </values>
      </ddeItem>
      <ddeItem name="4739.TW-InvestorConferenceDate" advise="1">
        <values>
          <value t="str">
            <val>2021/06/24</val>
          </value>
        </values>
      </ddeItem>
      <ddeItem name="4739.TW-MarketValue" advise="1">
        <values>
          <value t="str">
            <val>144.5</val>
          </value>
        </values>
      </ddeItem>
      <ddeItem name="4739.TW-MonthlyNetSalesYoY" advise="1">
        <values>
          <value t="str">
            <val>59.99</val>
          </value>
        </values>
      </ddeItem>
      <ddeItem name="4739.TW-MonthReturn" advise="1">
        <values>
          <value t="str">
            <val>-12.90</val>
          </value>
        </values>
      </ddeItem>
      <ddeItem name="4739.TW-Name" advise="1">
        <values>
          <value t="str">
            <val>康普</val>
          </value>
        </values>
      </ddeItem>
      <ddeItem name="4739.TW-NetIncomeGrowthRate" advise="1">
        <values>
          <value t="str">
            <val>237.18</val>
          </value>
        </values>
      </ddeItem>
      <ddeItem name="4739.TW-NetProfitMargin" advise="1">
        <values>
          <value t="str">
            <val>6.27</val>
          </value>
        </values>
      </ddeItem>
      <ddeItem name="4739.TW-NetSales" advise="1">
        <values>
          <value>
            <val>664.07</val>
          </value>
        </values>
      </ddeItem>
      <ddeItem name="4739.TW-OperatingProfitRatio" advise="1">
        <values>
          <value t="str">
            <val>7.95</val>
          </value>
        </values>
      </ddeItem>
      <ddeItem name="4739.TW-PBRatio" advise="1">
        <values>
          <value t="str">
            <val>3.33</val>
          </value>
        </values>
      </ddeItem>
      <ddeItem name="4739.TW-PERatio" advise="1">
        <values>
          <value t="str">
            <val>31.03</val>
          </value>
        </values>
      </ddeItem>
      <ddeItem name="4739.TW-PreTotalVolume" advise="1">
        <values>
          <value>
            <val>2373</val>
          </value>
        </values>
      </ddeItem>
      <ddeItem name="4739.TW-Price" advise="1">
        <values>
          <value>
            <val>135</val>
          </value>
        </values>
      </ddeItem>
      <ddeItem name="4739.TW-Profit" advise="1">
        <values>
          <value t="str">
            <val>1.42</val>
          </value>
        </values>
      </ddeItem>
      <ddeItem name="4739.TW-ProfitFourSeason" advise="1">
        <values>
          <value t="str">
            <val>4.35</val>
          </value>
        </values>
      </ddeItem>
      <ddeItem name="4739.TW-ProfitMargin" advise="1">
        <values>
          <value t="str">
            <val>12.94</val>
          </value>
        </values>
      </ddeItem>
      <ddeItem name="4739.TW-QuarterReturn" advise="1">
        <values>
          <value t="str">
            <val>+20.54</val>
          </value>
        </values>
      </ddeItem>
      <ddeItem name="4739.TW-ReturnOnAssets" advise="1">
        <values>
          <value t="str">
            <val>4.31</val>
          </value>
        </values>
      </ddeItem>
      <ddeItem name="4739.TW-RevenuePerShare" advise="1">
        <values>
          <value t="str">
            <val>54.99</val>
          </value>
        </values>
      </ddeItem>
      <ddeItem name="4739.TW-ShortBalanceDif" advise="1">
        <values>
          <value>
            <val>-47</val>
          </value>
        </values>
      </ddeItem>
      <ddeItem name="4739.TW-ShortBuy" advise="1">
        <values>
          <value>
            <val>89</val>
          </value>
        </values>
      </ddeItem>
      <ddeItem name="4739.TW-ShortSaleFinalRecallDate" advise="1">
        <values>
          <value t="str">
            <val>2021/10/15</val>
          </value>
        </values>
      </ddeItem>
      <ddeItem name="4739.TW-ShortSell" advise="1">
        <values>
          <value>
            <val>42</val>
          </value>
        </values>
      </ddeItem>
      <ddeItem name="4739.TW-StockValueRatio" advise="1">
        <values>
          <value>
            <val>8.4199999999999997E-2</val>
          </value>
        </values>
      </ddeItem>
      <ddeItem name="4739.TW-TFXRatio" advise="1">
        <values>
          <value t="str">
            <val>8.22</val>
          </value>
        </values>
      </ddeItem>
      <ddeItem name="4739.TW-TurnoverRatio" advise="1">
        <values>
          <value t="str">
            <val>2.02</val>
          </value>
        </values>
      </ddeItem>
      <ddeItem name="4739.TW-WeekReturn" advise="1">
        <values>
          <value t="str">
            <val>-5.26</val>
          </value>
        </values>
      </ddeItem>
      <ddeItem name="4739.TW-YearReturn" advise="1">
        <values>
          <value t="str">
            <val>+121.66</val>
          </value>
        </values>
      </ddeItem>
      <ddeItem name="4739.TW-YTDReturn" advise="1">
        <values>
          <value t="str">
            <val>+94.74</val>
          </value>
        </values>
      </ddeItem>
      <ddeItem name="4919.TW-Amplitude" advise="1">
        <values>
          <value>
            <val>2.38</val>
          </value>
        </values>
      </ddeItem>
      <ddeItem name="4919.TW-Capital" advise="1">
        <values>
          <value t="str">
            <val>41.93</val>
          </value>
        </values>
      </ddeItem>
      <ddeItem name="4919.TW-CashAndStockDividend" advise="1">
        <values>
          <value t="str">
            <val>0.76</val>
          </value>
        </values>
      </ddeItem>
      <ddeItem name="4919.TW-CashDividendYield" advise="1">
        <values>
          <value>
            <val>0.53</val>
          </value>
        </values>
      </ddeItem>
      <ddeItem name="4919.TW-CashDividendYieldRate" advise="1">
        <values>
          <value>
            <val>0.53</val>
          </value>
        </values>
      </ddeItem>
      <ddeItem name="4919.TW-ChipsField1" advise="1">
        <values>
          <value>
            <val>4</val>
          </value>
        </values>
      </ddeItem>
      <ddeItem name="4919.TW-ChipsField10" advise="1">
        <values>
          <value>
            <val>90</val>
          </value>
        </values>
      </ddeItem>
      <ddeItem name="4919.TW-ChipsField13" advise="1">
        <values>
          <value>
            <val>-912</val>
          </value>
        </values>
      </ddeItem>
      <ddeItem name="4919.TW-ChipsField2" advise="1">
        <values>
          <value>
            <val>3</val>
          </value>
        </values>
      </ddeItem>
      <ddeItem name="4919.TW-ChipsField3" advise="1">
        <values>
          <value>
            <val>-313</val>
          </value>
        </values>
      </ddeItem>
      <ddeItem name="4919.TW-ChipsField4" advise="1">
        <values>
          <value>
            <val>-306</val>
          </value>
        </values>
      </ddeItem>
      <ddeItem name="4919.TW-ChipsField7" advise="1">
        <values>
          <value>
            <val>823</val>
          </value>
        </values>
      </ddeItem>
      <ddeItem name="4919.TW-CompanyNews" advise="1">
        <values>
          <value t="str">
            <val>--</val>
          </value>
        </values>
      </ddeItem>
      <ddeItem name="4919.TW-CompanyPos" advise="1">
        <values>
          <value t="str">
            <val>華邦旗下整合元件製造(IDM)廠，並提供晶圓代工服務</val>
          </value>
        </values>
      </ddeItem>
      <ddeItem name="4919.TW-DateofMeetingofShareHolders" advise="1">
        <values>
          <value t="str">
            <val>2021/08/20</val>
          </value>
        </values>
      </ddeItem>
      <ddeItem name="4919.TW-DetailIndustry" advise="1">
        <values>
          <value t="str">
            <val>IC生產,專業晶圓代工,類比IC,IO控制IC,IC設計,消費性IC,PC週邊IC,MCU,影音IC,CMOS晶片,IC製造</val>
          </value>
        </values>
      </ddeItem>
      <ddeItem name="4919.TW-ExchangeIndustry" advise="1">
        <values>
          <value t="str">
            <val>上市半導體</val>
          </value>
        </values>
      </ddeItem>
      <ddeItem name="4919.TW-FinanceBalanceDif" advise="1">
        <values>
          <value>
            <val>-333</val>
          </value>
        </values>
      </ddeItem>
      <ddeItem name="4919.TW-FinanceBuy" advise="1">
        <values>
          <value>
            <val>820</val>
          </value>
        </values>
      </ddeItem>
      <ddeItem name="4919.TW-FinanceSell" advise="1">
        <values>
          <value>
            <val>1152</val>
          </value>
        </values>
      </ddeItem>
      <ddeItem name="4919.TW-FinanceUsedRatio" advise="1">
        <values>
          <value>
            <val>27.14</val>
          </value>
        </values>
      </ddeItem>
      <ddeItem name="4919.TW-HalfYearReturn" advise="1">
        <values>
          <value t="str">
            <val>+78.34</val>
          </value>
        </values>
      </ddeItem>
      <ddeItem name="4919.TW-ID" advise="1">
        <values>
          <value t="str">
            <val>4919</val>
          </value>
        </values>
      </ddeItem>
      <ddeItem name="4919.TW-InvestorConferenceDate" advise="1">
        <values>
          <value t="str">
            <val>2021/11/05</val>
          </value>
        </values>
      </ddeItem>
      <ddeItem name="4919.TW-MarketValue" advise="1">
        <values>
          <value t="str">
            <val>592.5</val>
          </value>
        </values>
      </ddeItem>
      <ddeItem name="4919.TW-MonthlyNetSalesYoY" advise="1">
        <values>
          <value t="str">
            <val>8.95</val>
          </value>
        </values>
      </ddeItem>
      <ddeItem name="4919.TW-MonthReturn" advise="1">
        <values>
          <value t="str">
            <val>+1.05</val>
          </value>
        </values>
      </ddeItem>
      <ddeItem name="4919.TW-Name" advise="1">
        <values>
          <value t="str">
            <val>新唐</val>
          </value>
        </values>
      </ddeItem>
      <ddeItem name="4919.TW-NetIncomeGrowthRate" advise="1">
        <values>
          <value t="str">
            <val>299.81</val>
          </value>
        </values>
      </ddeItem>
      <ddeItem name="4919.TW-NetProfitMargin" advise="1">
        <values>
          <value t="str">
            <val>5.96</val>
          </value>
        </values>
      </ddeItem>
      <ddeItem name="4919.TW-NetSales" advise="1">
        <values>
          <value>
            <val>3479.94</val>
          </value>
        </values>
      </ddeItem>
      <ddeItem name="4919.TW-OperatingProfitRatio" advise="1">
        <values>
          <value t="str">
            <val>6.80</val>
          </value>
        </values>
      </ddeItem>
      <ddeItem name="4919.TW-PBRatio" advise="1">
        <values>
          <value t="str">
            <val>4.15</val>
          </value>
        </values>
      </ddeItem>
      <ddeItem name="4919.TW-PERatio" advise="1">
        <values>
          <value t="str">
            <val>28.06</val>
          </value>
        </values>
      </ddeItem>
      <ddeItem name="4919.TW-PreTotalVolume" advise="1">
        <values>
          <value>
            <val>18928</val>
          </value>
        </values>
      </ddeItem>
      <ddeItem name="4919.TW-Price" advise="1">
        <values>
          <value>
            <val>144.5</val>
          </value>
        </values>
      </ddeItem>
      <ddeItem name="4919.TW-Profit" advise="1">
        <values>
          <value t="str">
            <val>1.56</val>
          </value>
        </values>
      </ddeItem>
      <ddeItem name="4919.TW-ProfitFourSeason" advise="1">
        <values>
          <value t="str">
            <val>5.15</val>
          </value>
        </values>
      </ddeItem>
      <ddeItem name="4919.TW-ProfitMargin" advise="1">
        <values>
          <value t="str">
            <val>40.33</val>
          </value>
        </values>
      </ddeItem>
      <ddeItem name="4919.TW-QuarterReturn" advise="1">
        <values>
          <value t="str">
            <val>+14.23</val>
          </value>
        </values>
      </ddeItem>
      <ddeItem name="4919.TW-ReturnOnAssets" advise="1">
        <values>
          <value t="str">
            <val>5.94</val>
          </value>
        </values>
      </ddeItem>
      <ddeItem name="4919.TW-RevenuePerShare" advise="1">
        <values>
          <value t="str">
            <val>75.77</val>
          </value>
        </values>
      </ddeItem>
      <ddeItem name="4919.TW-ShortBalanceDif" advise="1">
        <values>
          <value>
            <val>29</val>
          </value>
        </values>
      </ddeItem>
      <ddeItem name="4919.TW-ShortBuy" advise="1">
        <values>
          <value>
            <val>108</val>
          </value>
        </values>
      </ddeItem>
      <ddeItem name="4919.TW-ShortSaleFinalRecallDate" advise="1">
        <values>
          <value t="str">
            <val>2021/08/10</val>
          </value>
        </values>
      </ddeItem>
      <ddeItem name="4919.TW-ShortSell" advise="1">
        <values>
          <value>
            <val>148</val>
          </value>
        </values>
      </ddeItem>
      <ddeItem name="4919.TW-StockValueRatio" advise="1">
        <values>
          <value>
            <val>0.34200000000000003</val>
          </value>
        </values>
      </ddeItem>
      <ddeItem name="4919.TW-TFXRatio" advise="1">
        <values>
          <value t="str">
            <val>-1.02</val>
          </value>
        </values>
      </ddeItem>
      <ddeItem name="4919.TW-TurnoverRatio" advise="1">
        <values>
          <value t="str">
            <val>2.01</val>
          </value>
        </values>
      </ddeItem>
      <ddeItem name="4919.TW-WeekReturn" advise="1">
        <values>
          <value t="str">
            <val>+3.21</val>
          </value>
        </values>
      </ddeItem>
      <ddeItem name="4919.TW-YearReturn" advise="1">
        <values>
          <value t="str">
            <val>+222.98</val>
          </value>
        </values>
      </ddeItem>
      <ddeItem name="4919.TW-YTDReturn" advise="1">
        <values>
          <value t="str">
            <val>+206.31</val>
          </value>
        </values>
      </ddeItem>
      <ddeItem name="6531.TW-Amplitude" advise="1">
        <values>
          <value>
            <val>1.81</val>
          </value>
        </values>
      </ddeItem>
      <ddeItem name="6531.TW-Capital" advise="1">
        <values>
          <value t="str">
            <val>7.43</val>
          </value>
        </values>
      </ddeItem>
      <ddeItem name="6531.TW-CashAndStockDividend" advise="1">
        <values>
          <value t="str">
            <val>5.00</val>
          </value>
        </values>
      </ddeItem>
      <ddeItem name="6531.TW-CashDividendYield" advise="1">
        <values>
          <value>
            <val>1.04</val>
          </value>
        </values>
      </ddeItem>
      <ddeItem name="6531.TW-CashDividendYieldRate" advise="1">
        <values>
          <value>
            <val>1.04</val>
          </value>
        </values>
      </ddeItem>
      <ddeItem name="6531.TW-ChipsField1" advise="1">
        <values>
          <value>
            <val>-349</val>
          </value>
        </values>
      </ddeItem>
      <ddeItem name="6531.TW-ChipsField10" advise="1">
        <values>
          <value>
            <val>227</val>
          </value>
        </values>
      </ddeItem>
      <ddeItem name="6531.TW-ChipsField13" advise="1">
        <values>
          <value>
            <val>-703</val>
          </value>
        </values>
      </ddeItem>
      <ddeItem name="6531.TW-ChipsField2" advise="1">
        <values>
          <value>
            <val>-1</val>
          </value>
        </values>
      </ddeItem>
      <ddeItem name="6531.TW-ChipsField3" advise="1">
        <values>
          <value>
            <val>-32</val>
          </value>
        </values>
      </ddeItem>
      <ddeItem name="6531.TW-ChipsField4" advise="1">
        <values>
          <value>
            <val>-382</val>
          </value>
        </values>
      </ddeItem>
      <ddeItem name="6531.TW-ChipsField7" advise="1">
        <values>
          <value>
            <val>477</val>
          </value>
        </values>
      </ddeItem>
      <ddeItem name="6531.TW-CompanyNews" advise="1">
        <values>
          <value t="str">
            <val>--</val>
          </value>
        </values>
      </ddeItem>
      <ddeItem name="6531.TW-CompanyPos" advise="1">
        <values>
          <value t="str">
            <val>從事行動記憶體IC設計的公司</val>
          </value>
        </values>
      </ddeItem>
      <ddeItem name="6531.TW-DateofMeetingofShareHolders" advise="1">
        <values>
          <value t="str">
            <val>2021/12/06</val>
          </value>
        </values>
      </ddeItem>
      <ddeItem name="6531.TW-DetailIndustry" advise="1">
        <values>
          <value t="str">
            <val>DRAM記憶體IC,SRAM記憶體IC,IC設計,設計IP</val>
          </value>
        </values>
      </ddeItem>
      <ddeItem name="6531.TW-ExchangeIndustry" advise="1">
        <values>
          <value t="str">
            <val>上市半導體</val>
          </value>
        </values>
      </ddeItem>
      <ddeItem name="6531.TW-FinanceBalanceDif" advise="1">
        <values>
          <value>
            <val>83</val>
          </value>
        </values>
      </ddeItem>
      <ddeItem name="6531.TW-FinanceBuy" advise="1">
        <values>
          <value>
            <val>394</val>
          </value>
        </values>
      </ddeItem>
      <ddeItem name="6531.TW-FinanceSell" advise="1">
        <values>
          <value>
            <val>310</val>
          </value>
        </values>
      </ddeItem>
      <ddeItem name="6531.TW-FinanceUsedRatio" advise="1">
        <values>
          <value>
            <val>42.68</val>
          </value>
        </values>
      </ddeItem>
      <ddeItem name="6531.TW-HalfYearReturn" advise="1">
        <values>
          <value t="str">
            <val>+43.50</val>
          </value>
        </values>
      </ddeItem>
      <ddeItem name="6531.TW-ID" advise="1">
        <values>
          <value t="str">
            <val>6531</val>
          </value>
        </values>
      </ddeItem>
      <ddeItem name="6531.TW-InvestorConferenceDate" advise="1">
        <values>
          <value t="str">
            <val>2021/11/02</val>
          </value>
        </values>
      </ddeItem>
      <ddeItem name="6531.TW-MarketValue" advise="1">
        <values>
          <value t="str">
            <val>714.4</val>
          </value>
        </values>
      </ddeItem>
      <ddeItem name="6531.TW-MonthlyNetSalesYoY" advise="1">
        <values>
          <value t="str">
            <val>73.93</val>
          </value>
        </values>
      </ddeItem>
      <ddeItem name="6531.TW-MonthReturn" advise="1">
        <values>
          <value t="str">
            <val>-9.68</val>
          </value>
        </values>
      </ddeItem>
      <ddeItem name="6531.TW-Name" advise="1">
        <values>
          <value t="str">
            <val>愛普*</val>
          </value>
        </values>
      </ddeItem>
      <ddeItem name="6531.TW-NetIncomeGrowthRate" advise="1">
        <values>
          <value t="str">
            <val>509.21</val>
          </value>
        </values>
      </ddeItem>
      <ddeItem name="6531.TW-NetProfitMargin" advise="1">
        <values>
          <value t="str">
            <val>30.38</val>
          </value>
        </values>
      </ddeItem>
      <ddeItem name="6531.TW-NetSales" advise="1">
        <values>
          <value>
            <val>558.34</val>
          </value>
        </values>
      </ddeItem>
      <ddeItem name="6531.TW-OperatingProfitRatio" advise="1">
        <values>
          <value t="str">
            <val>35.78</val>
          </value>
        </values>
      </ddeItem>
      <ddeItem name="6531.TW-PBRatio" advise="1">
        <values>
          <value t="str">
            <val>16.79</val>
          </value>
        </values>
      </ddeItem>
      <ddeItem name="6531.TW-PERatio" advise="1">
        <values>
          <value t="str">
            <val>43.21</val>
          </value>
        </values>
      </ddeItem>
      <ddeItem name="6531.TW-PreTotalVolume" advise="1">
        <values>
          <value>
            <val>2655</val>
          </value>
        </values>
      </ddeItem>
      <ddeItem name="6531.TW-Price" advise="1">
        <values>
          <value>
            <val>480.5</val>
          </value>
        </values>
      </ddeItem>
      <ddeItem name="6531.TW-Profit" advise="1">
        <values>
          <value t="str">
            <val>4.56</val>
          </value>
        </values>
      </ddeItem>
      <ddeItem name="6531.TW-ProfitFourSeason" advise="1">
        <values>
          <value t="str">
            <val>11.12</val>
          </value>
        </values>
      </ddeItem>
      <ddeItem name="6531.TW-ProfitMargin" advise="1">
        <values>
          <value t="str">
            <val>45.75</val>
          </value>
        </values>
      </ddeItem>
      <ddeItem name="6531.TW-QuarterReturn" advise="1">
        <values>
          <value t="str">
            <val>+26.78</val>
          </value>
        </values>
      </ddeItem>
      <ddeItem name="6531.TW-ReturnOnAssets" advise="1">
        <values>
          <value t="str">
            <val>30.94</val>
          </value>
        </values>
      </ddeItem>
      <ddeItem name="6531.TW-RevenuePerShare" advise="1">
        <values>
          <value t="str">
            <val>65.87</val>
          </value>
        </values>
      </ddeItem>
      <ddeItem name="6531.TW-ShortBalanceDif" advise="1">
        <values>
          <value>
            <val>-70</val>
          </value>
        </values>
      </ddeItem>
      <ddeItem name="6531.TW-ShortBuy" advise="1">
        <values>
          <value>
            <val>79</val>
          </value>
        </values>
      </ddeItem>
      <ddeItem name="6531.TW-ShortSaleFinalRecallDate" advise="1">
        <values>
          <value t="str">
            <val>2021/08/10</val>
          </value>
        </values>
      </ddeItem>
      <ddeItem name="6531.TW-ShortSell" advise="1">
        <values>
          <value>
            <val>9</val>
          </value>
        </values>
      </ddeItem>
      <ddeItem name="6531.TW-StockValueRatio" advise="1">
        <values>
          <value>
            <val>0.41399999999999998</val>
          </value>
        </values>
      </ddeItem>
      <ddeItem name="6531.TW-TFXRatio" advise="1">
        <values>
          <value t="str">
            <val>-4.56</val>
          </value>
        </values>
      </ddeItem>
      <ddeItem name="6531.TW-TurnoverRatio" advise="1">
        <values>
          <value t="str">
            <val>2.00</val>
          </value>
        </values>
      </ddeItem>
      <ddeItem name="6531.TW-WeekReturn" advise="1">
        <values>
          <value t="str">
            <val>-6.34</val>
          </value>
        </values>
      </ddeItem>
      <ddeItem name="6531.TW-YearReturn" advise="1">
        <values>
          <value t="str">
            <val>+143.68</val>
          </value>
        </values>
      </ddeItem>
      <ddeItem name="6531.TW-YTDReturn" advise="1">
        <values>
          <value t="str">
            <val>+127.65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3291-F28E-4D3C-9825-88B772028C7C}">
  <sheetPr codeName="工作表1"/>
  <dimension ref="A1:AZ14"/>
  <sheetViews>
    <sheetView tabSelected="1" workbookViewId="0">
      <pane xSplit="2" topLeftCell="C1" activePane="topRight" state="frozen"/>
      <selection pane="topRight" activeCell="S19" sqref="S19:T19"/>
    </sheetView>
  </sheetViews>
  <sheetFormatPr defaultRowHeight="16.2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tr">
        <f>[1]!'4739.TW-ID'</f>
        <v>4739</v>
      </c>
      <c r="B2" t="str">
        <f>[1]!'4739.TW-Name'</f>
        <v>康普</v>
      </c>
      <c r="C2">
        <f>[1]!'4739.TW-PreTotalVolume'</f>
        <v>2373</v>
      </c>
      <c r="D2">
        <f>[1]!'4739.TW-Price'</f>
        <v>135</v>
      </c>
      <c r="E2" t="str">
        <f>[1]!'4739.TW-Capital'</f>
        <v>10.70</v>
      </c>
      <c r="F2" t="str">
        <f>[1]!'4739.TW-Profit'</f>
        <v>1.42</v>
      </c>
      <c r="G2" t="str">
        <f>[1]!'4739.TW-MarketValue'</f>
        <v>144.5</v>
      </c>
      <c r="H2" t="str">
        <f>[1]!'4739.TW-CompanyNews'</f>
        <v>--</v>
      </c>
      <c r="I2" t="str">
        <f>[1]!'4739.TW-CompanyPos'</f>
        <v>台灣特用化學材、電池材料、PTA氧化觸媒大廠</v>
      </c>
      <c r="J2">
        <f>[1]!'4739.TW-NetSales'</f>
        <v>664.07</v>
      </c>
      <c r="K2" t="str">
        <f>[1]!'4739.TW-MonthlyNetSalesYoY'</f>
        <v>59.99</v>
      </c>
      <c r="L2">
        <f>[1]!'4739.TW-StockValueRatio'</f>
        <v>8.4199999999999997E-2</v>
      </c>
      <c r="M2" t="str">
        <f>[1]!'4739.TW-TFXRatio'</f>
        <v>8.22</v>
      </c>
      <c r="N2" t="str">
        <f>[1]!'4739.TW-WeekReturn'</f>
        <v>-5.26</v>
      </c>
      <c r="O2" t="str">
        <f>[1]!'4739.TW-MonthReturn'</f>
        <v>-12.90</v>
      </c>
      <c r="P2" t="str">
        <f>[1]!'4739.TW-QuarterReturn'</f>
        <v>+20.54</v>
      </c>
      <c r="Q2" t="str">
        <f>[1]!'4739.TW-HalfYearReturn'</f>
        <v>+72.12</v>
      </c>
      <c r="R2" t="str">
        <f>[1]!'4739.TW-YearReturn'</f>
        <v>+121.66</v>
      </c>
      <c r="S2" t="str">
        <f>[1]!'4739.TW-YTDReturn'</f>
        <v>+94.74</v>
      </c>
      <c r="T2" t="str">
        <f>[1]!'4739.TW-PBRatio'</f>
        <v>3.33</v>
      </c>
      <c r="U2" t="str">
        <f>[1]!'4739.TW-PERatio'</f>
        <v>31.03</v>
      </c>
      <c r="V2">
        <f>[1]!'4739.TW-Amplitude'</f>
        <v>2.54</v>
      </c>
      <c r="W2" t="str">
        <f>[1]!'4739.TW-ProfitMargin'</f>
        <v>12.94</v>
      </c>
      <c r="X2" s="11" t="str">
        <f>[1]!'4739.TW-OperatingProfitRatio'</f>
        <v>7.95</v>
      </c>
      <c r="Y2" s="11" t="str">
        <f>[1]!'4739.TW-NetProfitMargin'</f>
        <v>6.27</v>
      </c>
      <c r="Z2" s="11" t="str">
        <f>[1]!'4739.TW-RevenuePerShare'</f>
        <v>54.99</v>
      </c>
      <c r="AA2" s="11" t="str">
        <f>[1]!'4739.TW-NetIncomeGrowthRate'</f>
        <v>237.18</v>
      </c>
      <c r="AB2" s="11" t="str">
        <f>[1]!'4739.TW-ReturnOnAssets'</f>
        <v>4.31</v>
      </c>
      <c r="AC2" s="11" t="str">
        <f>[1]!'4739.TW-CashAndStockDividend'</f>
        <v>1.20</v>
      </c>
      <c r="AD2" s="11" t="str">
        <f>[1]!'4739.TW-TurnoverRatio'</f>
        <v>2.02</v>
      </c>
      <c r="AE2" s="11" t="str">
        <f>[1]!'4739.TW-ProfitFourSeason'</f>
        <v>4.35</v>
      </c>
      <c r="AF2">
        <f>[1]!'4739.TW-ChipsField1'</f>
        <v>-133</v>
      </c>
      <c r="AG2">
        <f>[1]!'4739.TW-ChipsField2'</f>
        <v>-31</v>
      </c>
      <c r="AH2">
        <f>[1]!'4739.TW-ChipsField3'</f>
        <v>-322</v>
      </c>
      <c r="AI2">
        <f>[1]!'4739.TW-ChipsField4'</f>
        <v>-486</v>
      </c>
      <c r="AJ2">
        <f>[1]!'4739.TW-ChipsField7'</f>
        <v>291</v>
      </c>
      <c r="AK2">
        <f>[1]!'4739.TW-ChipsField10'</f>
        <v>-25</v>
      </c>
      <c r="AL2">
        <f>[1]!'4739.TW-ChipsField13'</f>
        <v>-266</v>
      </c>
      <c r="AM2">
        <f>[1]!'4739.TW-CashDividendYieldRate'</f>
        <v>0.89</v>
      </c>
      <c r="AN2" t="str">
        <f>[1]!'4739.TW-DateofMeetingofShareHolders'</f>
        <v>2021/07/05</v>
      </c>
      <c r="AO2" t="str">
        <f>[1]!'4739.TW-InvestorConferenceDate'</f>
        <v>2021/06/24</v>
      </c>
      <c r="AP2" t="str">
        <f>[1]!'4739.TW-ShortSaleFinalRecallDate'</f>
        <v>2021/10/15</v>
      </c>
      <c r="AQ2">
        <f>[1]!'4739.TW-CashDividendYield'</f>
        <v>0.89</v>
      </c>
      <c r="AR2">
        <f>[1]!'4739.TW-FinanceBuy'</f>
        <v>464</v>
      </c>
      <c r="AS2">
        <f>[1]!'4739.TW-FinanceSell'</f>
        <v>176</v>
      </c>
      <c r="AT2">
        <f>[1]!'4739.TW-FinanceBalanceDif'</f>
        <v>286</v>
      </c>
      <c r="AU2">
        <f>[1]!'4739.TW-FinanceUsedRatio'</f>
        <v>35.07</v>
      </c>
      <c r="AV2">
        <f>[1]!'4739.TW-ShortBuy'</f>
        <v>89</v>
      </c>
      <c r="AW2">
        <f>[1]!'4739.TW-ShortSell'</f>
        <v>42</v>
      </c>
      <c r="AX2">
        <f>[1]!'4739.TW-ShortBalanceDif'</f>
        <v>-47</v>
      </c>
      <c r="AY2" t="str">
        <f>[1]!'4739.TW-ExchangeIndustry'</f>
        <v>上市化工</v>
      </c>
      <c r="AZ2" t="str">
        <f>[1]!'4739.TW-DetailIndustry'</f>
        <v>肥料,電池材料相關,強酸產品,正極材料,化學工業,其他化工產品,電子化工材料</v>
      </c>
    </row>
    <row r="3" spans="1:52">
      <c r="A3" t="str">
        <f>[1]!'4721.TW-ID'</f>
        <v>4721</v>
      </c>
      <c r="B3" t="str">
        <f>[1]!'4721.TW-Name'</f>
        <v>美琪瑪</v>
      </c>
      <c r="C3">
        <f>[1]!'4721.TW-PreTotalVolume'</f>
        <v>3357</v>
      </c>
      <c r="D3">
        <f>[1]!'4721.TW-Price'</f>
        <v>149.5</v>
      </c>
      <c r="E3" t="str">
        <f>[1]!'4721.TW-Capital'</f>
        <v>7.50</v>
      </c>
      <c r="F3" t="str">
        <f>[1]!'4721.TW-Profit'</f>
        <v>1.58</v>
      </c>
      <c r="G3" t="str">
        <f>[1]!'4721.TW-MarketValue'</f>
        <v>112.1</v>
      </c>
      <c r="H3" t="str">
        <f>[1]!'4721.TW-CompanyNews'</f>
        <v>--</v>
      </c>
      <c r="I3" t="str">
        <f>[1]!'4721.TW-CompanyPos'</f>
        <v>全球最大PTA氧化觸媒供應商，也生產正極材料</v>
      </c>
      <c r="J3">
        <f>[1]!'4721.TW-NetSales'</f>
        <v>467.45</v>
      </c>
      <c r="K3" t="str">
        <f>[1]!'4721.TW-MonthlyNetSalesYoY'</f>
        <v>240.33</v>
      </c>
      <c r="L3">
        <f>[1]!'4721.TW-StockValueRatio'</f>
        <v>0.20180000000000001</v>
      </c>
      <c r="M3" t="str">
        <f>[1]!'4721.TW-TFXRatio'</f>
        <v>2.44</v>
      </c>
      <c r="N3" t="str">
        <f>[1]!'4721.TW-WeekReturn'</f>
        <v>-0.99</v>
      </c>
      <c r="O3" t="str">
        <f>[1]!'4721.TW-MonthReturn'</f>
        <v>-11.01</v>
      </c>
      <c r="P3" t="str">
        <f>[1]!'4721.TW-QuarterReturn'</f>
        <v>+27.23</v>
      </c>
      <c r="Q3" t="str">
        <f>[1]!'4721.TW-HalfYearReturn'</f>
        <v>+144.40</v>
      </c>
      <c r="R3" t="str">
        <f>[1]!'4721.TW-YearReturn'</f>
        <v>+152.12</v>
      </c>
      <c r="S3" t="str">
        <f>[1]!'4721.TW-YTDReturn'</f>
        <v>+126.19</v>
      </c>
      <c r="T3" t="str">
        <f>[1]!'4721.TW-PBRatio'</f>
        <v>8.77</v>
      </c>
      <c r="U3" t="str">
        <f>[1]!'4721.TW-PERatio'</f>
        <v>40.30</v>
      </c>
      <c r="V3">
        <f>[1]!'4721.TW-Amplitude'</f>
        <v>1.64</v>
      </c>
      <c r="W3" t="str">
        <f>[1]!'4721.TW-ProfitMargin'</f>
        <v>14.62</v>
      </c>
      <c r="X3" s="11" t="str">
        <f>[1]!'4721.TW-OperatingProfitRatio'</f>
        <v>10.91</v>
      </c>
      <c r="Y3" s="11" t="str">
        <f>[1]!'4721.TW-NetProfitMargin'</f>
        <v>9.16</v>
      </c>
      <c r="Z3" s="11" t="str">
        <f>[1]!'4721.TW-RevenuePerShare'</f>
        <v>37.71</v>
      </c>
      <c r="AA3" s="11" t="str">
        <f>[1]!'4721.TW-NetIncomeGrowthRate'</f>
        <v>148.04</v>
      </c>
      <c r="AB3" s="11" t="str">
        <f>[1]!'4721.TW-ReturnOnAssets'</f>
        <v>13.11</v>
      </c>
      <c r="AC3" s="11" t="str">
        <f>[1]!'4721.TW-CashAndStockDividend'</f>
        <v>1.39</v>
      </c>
      <c r="AD3" s="11" t="str">
        <f>[1]!'4721.TW-TurnoverRatio'</f>
        <v>1.75</v>
      </c>
      <c r="AE3" s="11" t="str">
        <f>[1]!'4721.TW-ProfitFourSeason'</f>
        <v>3.71</v>
      </c>
      <c r="AF3">
        <f>[1]!'4721.TW-ChipsField1'</f>
        <v>49</v>
      </c>
      <c r="AG3">
        <f>[1]!'4721.TW-ChipsField2'</f>
        <v>0</v>
      </c>
      <c r="AH3">
        <f>[1]!'4721.TW-ChipsField3'</f>
        <v>2</v>
      </c>
      <c r="AI3">
        <f>[1]!'4721.TW-ChipsField4'</f>
        <v>51</v>
      </c>
      <c r="AJ3">
        <f>[1]!'4721.TW-ChipsField7'</f>
        <v>16</v>
      </c>
      <c r="AK3">
        <f>[1]!'4721.TW-ChipsField10'</f>
        <v>-42</v>
      </c>
      <c r="AL3">
        <f>[1]!'4721.TW-ChipsField13'</f>
        <v>26</v>
      </c>
      <c r="AM3">
        <f>[1]!'4721.TW-CashDividendYieldRate'</f>
        <v>0.93</v>
      </c>
      <c r="AN3" t="str">
        <f>[1]!'4721.TW-DateofMeetingofShareHolders'</f>
        <v>2021/07/07</v>
      </c>
      <c r="AO3" t="str">
        <f>[1]!'4721.TW-InvestorConferenceDate'</f>
        <v>--</v>
      </c>
      <c r="AP3" t="str">
        <f>[1]!'4721.TW-ShortSaleFinalRecallDate'</f>
        <v>2021/07/19</v>
      </c>
      <c r="AQ3">
        <f>[1]!'4721.TW-CashDividendYield'</f>
        <v>0.93</v>
      </c>
      <c r="AR3">
        <f>[1]!'4721.TW-FinanceBuy'</f>
        <v>118</v>
      </c>
      <c r="AS3">
        <f>[1]!'4721.TW-FinanceSell'</f>
        <v>143</v>
      </c>
      <c r="AT3">
        <f>[1]!'4721.TW-FinanceBalanceDif'</f>
        <v>-25</v>
      </c>
      <c r="AU3">
        <f>[1]!'4721.TW-FinanceUsedRatio'</f>
        <v>32.43</v>
      </c>
      <c r="AV3">
        <f>[1]!'4721.TW-ShortBuy'</f>
        <v>30</v>
      </c>
      <c r="AW3">
        <f>[1]!'4721.TW-ShortSell'</f>
        <v>12</v>
      </c>
      <c r="AX3">
        <f>[1]!'4721.TW-ShortBalanceDif'</f>
        <v>-21</v>
      </c>
      <c r="AY3" t="str">
        <f>[1]!'4721.TW-ExchangeIndustry'</f>
        <v>上櫃化工</v>
      </c>
      <c r="AZ3" t="str">
        <f>[1]!'4721.TW-DetailIndustry'</f>
        <v>電池材料相關,化學產品通路,正極材料,化學工業,其他化工產品</v>
      </c>
    </row>
    <row r="4" spans="1:52">
      <c r="A4" t="str">
        <f>[1]!'2388.TW-ID'</f>
        <v>2388</v>
      </c>
      <c r="B4" t="str">
        <f>[1]!'2388.TW-Name'</f>
        <v>威盛</v>
      </c>
      <c r="C4">
        <f>[1]!'2388.TW-PreTotalVolume'</f>
        <v>26195</v>
      </c>
      <c r="D4">
        <f>[1]!'2388.TW-Price'</f>
        <v>86.3</v>
      </c>
      <c r="E4" t="str">
        <f>[1]!'2388.TW-Capital'</f>
        <v>49.53</v>
      </c>
      <c r="F4" t="str">
        <f>[1]!'2388.TW-Profit'</f>
        <v>-0.70</v>
      </c>
      <c r="G4" t="str">
        <f>[1]!'2388.TW-MarketValue'</f>
        <v>426.7</v>
      </c>
      <c r="H4" t="str">
        <f>[1]!'2388.TW-CompanyNews'</f>
        <v>--</v>
      </c>
      <c r="I4" t="str">
        <f>[1]!'2388.TW-CompanyPos'</f>
        <v>支援x86平台之IC解決方案廠商</v>
      </c>
      <c r="J4">
        <f>[1]!'2388.TW-NetSales'</f>
        <v>615.65</v>
      </c>
      <c r="K4" t="str">
        <f>[1]!'2388.TW-MonthlyNetSalesYoY'</f>
        <v>-0.67</v>
      </c>
      <c r="L4">
        <f>[1]!'2388.TW-StockValueRatio'</f>
        <v>0.57389999999999997</v>
      </c>
      <c r="M4" t="str">
        <f>[1]!'2388.TW-TFXRatio'</f>
        <v>-0.23</v>
      </c>
      <c r="N4" t="str">
        <f>[1]!'2388.TW-WeekReturn'</f>
        <v>+0.12</v>
      </c>
      <c r="O4" t="str">
        <f>[1]!'2388.TW-MonthReturn'</f>
        <v>-7.00</v>
      </c>
      <c r="P4" t="str">
        <f>[1]!'2388.TW-QuarterReturn'</f>
        <v>+82.26</v>
      </c>
      <c r="Q4" t="str">
        <f>[1]!'2388.TW-HalfYearReturn'</f>
        <v>+63.37</v>
      </c>
      <c r="R4" t="str">
        <f>[1]!'2388.TW-YearReturn'</f>
        <v>+54.18</v>
      </c>
      <c r="S4" t="str">
        <f>[1]!'2388.TW-YTDReturn'</f>
        <v>+64.29</v>
      </c>
      <c r="T4" t="str">
        <f>[1]!'2388.TW-PBRatio'</f>
        <v>4.49</v>
      </c>
      <c r="U4" t="str">
        <f>[1]!'2388.TW-PERatio'</f>
        <v>7.47</v>
      </c>
      <c r="V4">
        <f>[1]!'2388.TW-Amplitude'</f>
        <v>7.02</v>
      </c>
      <c r="W4" t="str">
        <f>[1]!'2388.TW-ProfitMargin'</f>
        <v>35.75</v>
      </c>
      <c r="X4" s="11" t="str">
        <f>[1]!'2388.TW-OperatingProfitRatio'</f>
        <v>-19.16</v>
      </c>
      <c r="Y4" s="11" t="str">
        <f>[1]!'2388.TW-NetProfitMargin'</f>
        <v>22.16</v>
      </c>
      <c r="Z4" s="11" t="str">
        <f>[1]!'2388.TW-RevenuePerShare'</f>
        <v>10.24</v>
      </c>
      <c r="AA4" s="11" t="str">
        <f>[1]!'2388.TW-NetIncomeGrowthRate'</f>
        <v>2084.06</v>
      </c>
      <c r="AB4" s="11" t="str">
        <f>[1]!'2388.TW-ReturnOnAssets'</f>
        <v>6.29</v>
      </c>
      <c r="AC4" s="11" t="str">
        <f>[1]!'2388.TW-CashAndStockDividend'</f>
        <v>0.80</v>
      </c>
      <c r="AD4" s="11" t="str">
        <f>[1]!'2388.TW-TurnoverRatio'</f>
        <v>4.64</v>
      </c>
      <c r="AE4" s="11" t="str">
        <f>[1]!'2388.TW-ProfitFourSeason'</f>
        <v>11.55</v>
      </c>
      <c r="AF4">
        <f>[1]!'2388.TW-ChipsField1'</f>
        <v>-5975</v>
      </c>
      <c r="AG4">
        <f>[1]!'2388.TW-ChipsField2'</f>
        <v>4</v>
      </c>
      <c r="AH4">
        <f>[1]!'2388.TW-ChipsField3'</f>
        <v>-285</v>
      </c>
      <c r="AI4">
        <f>[1]!'2388.TW-ChipsField4'</f>
        <v>-6256</v>
      </c>
      <c r="AJ4">
        <f>[1]!'2388.TW-ChipsField7'</f>
        <v>5443</v>
      </c>
      <c r="AK4">
        <f>[1]!'2388.TW-ChipsField10'</f>
        <v>1516</v>
      </c>
      <c r="AL4">
        <f>[1]!'2388.TW-ChipsField13'</f>
        <v>-6959</v>
      </c>
      <c r="AM4">
        <f>[1]!'2388.TW-CashDividendYieldRate'</f>
        <v>0.93</v>
      </c>
      <c r="AN4" t="str">
        <f>[1]!'2388.TW-DateofMeetingofShareHolders'</f>
        <v>2021/07/20</v>
      </c>
      <c r="AO4" t="str">
        <f>[1]!'2388.TW-InvestorConferenceDate'</f>
        <v>2021/11/26</v>
      </c>
      <c r="AP4" t="str">
        <f>[1]!'2388.TW-ShortSaleFinalRecallDate'</f>
        <v>2021/08/13</v>
      </c>
      <c r="AQ4">
        <f>[1]!'2388.TW-CashDividendYield'</f>
        <v>0.93</v>
      </c>
      <c r="AR4">
        <f>[1]!'2388.TW-FinanceBuy'</f>
        <v>1943</v>
      </c>
      <c r="AS4">
        <f>[1]!'2388.TW-FinanceSell'</f>
        <v>2034</v>
      </c>
      <c r="AT4">
        <f>[1]!'2388.TW-FinanceBalanceDif'</f>
        <v>-91</v>
      </c>
      <c r="AU4">
        <f>[1]!'2388.TW-FinanceUsedRatio'</f>
        <v>12.38</v>
      </c>
      <c r="AV4">
        <f>[1]!'2388.TW-ShortBuy'</f>
        <v>867</v>
      </c>
      <c r="AW4">
        <f>[1]!'2388.TW-ShortSell'</f>
        <v>172</v>
      </c>
      <c r="AX4">
        <f>[1]!'2388.TW-ShortBalanceDif'</f>
        <v>-695</v>
      </c>
      <c r="AY4" t="str">
        <f>[1]!'2388.TW-ExchangeIndustry'</f>
        <v>上市半導體</v>
      </c>
      <c r="AZ4" t="str">
        <f>[1]!'2388.TW-DetailIndustry'</f>
        <v>CPU,其他IC,IC設計,晶片組,網路通訊IC,嵌入式晶片,顯示器,數位看板</v>
      </c>
    </row>
    <row r="5" spans="1:52">
      <c r="A5" t="str">
        <f>[1]!'3006.TW-ID'</f>
        <v>3006</v>
      </c>
      <c r="B5" t="str">
        <f>[1]!'3006.TW-Name'</f>
        <v>晶豪科</v>
      </c>
      <c r="C5">
        <f>[1]!'3006.TW-PreTotalVolume'</f>
        <v>11766</v>
      </c>
      <c r="D5">
        <f>[1]!'3006.TW-Price'</f>
        <v>163.5</v>
      </c>
      <c r="E5" t="str">
        <f>[1]!'3006.TW-Capital'</f>
        <v>28.62</v>
      </c>
      <c r="F5" t="str">
        <f>[1]!'3006.TW-Profit'</f>
        <v>6.80</v>
      </c>
      <c r="G5" t="str">
        <f>[1]!'3006.TW-MarketValue'</f>
        <v>467.9</v>
      </c>
      <c r="H5" t="str">
        <f>[1]!'3006.TW-CompanyNews'</f>
        <v>--</v>
      </c>
      <c r="I5" t="str">
        <f>[1]!'3006.TW-CompanyPos'</f>
        <v>台灣利基型記憶體IC設計廠商</v>
      </c>
      <c r="J5">
        <f>[1]!'3006.TW-NetSales'</f>
        <v>1940.9</v>
      </c>
      <c r="K5" t="str">
        <f>[1]!'3006.TW-MonthlyNetSalesYoY'</f>
        <v>30.80</v>
      </c>
      <c r="L5">
        <f>[1]!'3006.TW-StockValueRatio'</f>
        <v>0.3039</v>
      </c>
      <c r="M5" t="str">
        <f>[1]!'3006.TW-TFXRatio'</f>
        <v>-1.25</v>
      </c>
      <c r="N5" t="str">
        <f>[1]!'3006.TW-WeekReturn'</f>
        <v>+2.83</v>
      </c>
      <c r="O5" t="str">
        <f>[1]!'3006.TW-MonthReturn'</f>
        <v>-0.91</v>
      </c>
      <c r="P5" t="str">
        <f>[1]!'3006.TW-QuarterReturn'</f>
        <v>+22.93</v>
      </c>
      <c r="Q5" t="str">
        <f>[1]!'3006.TW-HalfYearReturn'</f>
        <v>+25.69</v>
      </c>
      <c r="R5" t="str">
        <f>[1]!'3006.TW-YearReturn'</f>
        <v>+193.57</v>
      </c>
      <c r="S5" t="str">
        <f>[1]!'3006.TW-YTDReturn'</f>
        <v>+155.46</v>
      </c>
      <c r="T5" t="str">
        <f>[1]!'3006.TW-PBRatio'</f>
        <v>3.85</v>
      </c>
      <c r="U5" t="str">
        <f>[1]!'3006.TW-PERatio'</f>
        <v>11.19</v>
      </c>
      <c r="V5">
        <f>[1]!'3006.TW-Amplitude'</f>
        <v>2.39</v>
      </c>
      <c r="W5" t="str">
        <f>[1]!'3006.TW-ProfitMargin'</f>
        <v>35.78</v>
      </c>
      <c r="X5" s="11" t="str">
        <f>[1]!'3006.TW-OperatingProfitRatio'</f>
        <v>24.55</v>
      </c>
      <c r="Y5" s="11" t="str">
        <f>[1]!'3006.TW-NetProfitMargin'</f>
        <v>21.64</v>
      </c>
      <c r="Z5" s="11" t="str">
        <f>[1]!'3006.TW-RevenuePerShare'</f>
        <v>66.02</v>
      </c>
      <c r="AA5" s="11" t="str">
        <f>[1]!'3006.TW-NetIncomeGrowthRate'</f>
        <v>364.95</v>
      </c>
      <c r="AB5" s="11" t="str">
        <f>[1]!'3006.TW-ReturnOnAssets'</f>
        <v>24.67</v>
      </c>
      <c r="AC5" s="11" t="str">
        <f>[1]!'3006.TW-CashAndStockDividend'</f>
        <v>2.00</v>
      </c>
      <c r="AD5" s="11" t="str">
        <f>[1]!'3006.TW-TurnoverRatio'</f>
        <v>2.25</v>
      </c>
      <c r="AE5" s="11" t="str">
        <f>[1]!'3006.TW-ProfitFourSeason'</f>
        <v>14.61</v>
      </c>
      <c r="AF5">
        <f>[1]!'3006.TW-ChipsField1'</f>
        <v>-1498</v>
      </c>
      <c r="AG5">
        <f>[1]!'3006.TW-ChipsField2'</f>
        <v>32</v>
      </c>
      <c r="AH5">
        <f>[1]!'3006.TW-ChipsField3'</f>
        <v>-173</v>
      </c>
      <c r="AI5">
        <f>[1]!'3006.TW-ChipsField4'</f>
        <v>-1639</v>
      </c>
      <c r="AJ5">
        <f>[1]!'3006.TW-ChipsField7'</f>
        <v>961</v>
      </c>
      <c r="AK5">
        <f>[1]!'3006.TW-ChipsField10'</f>
        <v>407</v>
      </c>
      <c r="AL5">
        <f>[1]!'3006.TW-ChipsField13'</f>
        <v>-1368</v>
      </c>
      <c r="AM5">
        <f>[1]!'3006.TW-CashDividendYieldRate'</f>
        <v>1.22</v>
      </c>
      <c r="AN5" t="str">
        <f>[1]!'3006.TW-DateofMeetingofShareHolders'</f>
        <v>2021/07/12</v>
      </c>
      <c r="AO5" t="str">
        <f>[1]!'3006.TW-InvestorConferenceDate'</f>
        <v>2021/11/01</v>
      </c>
      <c r="AP5" t="str">
        <f>[1]!'3006.TW-ShortSaleFinalRecallDate'</f>
        <v>2021/07/29</v>
      </c>
      <c r="AQ5">
        <f>[1]!'3006.TW-CashDividendYield'</f>
        <v>1.22</v>
      </c>
      <c r="AR5">
        <f>[1]!'3006.TW-FinanceBuy'</f>
        <v>580</v>
      </c>
      <c r="AS5">
        <f>[1]!'3006.TW-FinanceSell'</f>
        <v>307</v>
      </c>
      <c r="AT5">
        <f>[1]!'3006.TW-FinanceBalanceDif'</f>
        <v>273</v>
      </c>
      <c r="AU5">
        <f>[1]!'3006.TW-FinanceUsedRatio'</f>
        <v>56.29</v>
      </c>
      <c r="AV5">
        <f>[1]!'3006.TW-ShortBuy'</f>
        <v>171</v>
      </c>
      <c r="AW5">
        <f>[1]!'3006.TW-ShortSell'</f>
        <v>36</v>
      </c>
      <c r="AX5">
        <f>[1]!'3006.TW-ShortBalanceDif'</f>
        <v>-135</v>
      </c>
      <c r="AY5" t="str">
        <f>[1]!'3006.TW-ExchangeIndustry'</f>
        <v>上市半導體</v>
      </c>
      <c r="AZ5" t="str">
        <f>[1]!'3006.TW-DetailIndustry'</f>
        <v>DRAM記憶體IC,FLASH記憶體IC,類比IC,IC設計</v>
      </c>
    </row>
    <row r="6" spans="1:52">
      <c r="A6" t="str">
        <f>[1]!'3141.TW-ID'</f>
        <v>3141</v>
      </c>
      <c r="B6" t="str">
        <f>[1]!'3141.TW-Name'</f>
        <v>晶宏</v>
      </c>
      <c r="C6">
        <f>[1]!'3141.TW-PreTotalVolume'</f>
        <v>17726</v>
      </c>
      <c r="D6">
        <f>[1]!'3141.TW-Price'</f>
        <v>273.5</v>
      </c>
      <c r="E6" t="str">
        <f>[1]!'3141.TW-Capital'</f>
        <v>7.56</v>
      </c>
      <c r="F6" t="str">
        <f>[1]!'3141.TW-Profit'</f>
        <v>3.61</v>
      </c>
      <c r="G6" t="str">
        <f>[1]!'3141.TW-MarketValue'</f>
        <v>204.3</v>
      </c>
      <c r="H6" t="str">
        <f>[1]!'3141.TW-CompanyNews'</f>
        <v>11月營收2.72億元</v>
      </c>
      <c r="I6" t="str">
        <f>[1]!'3141.TW-CompanyPos'</f>
        <v>元太轉投資STN驅動IC廠</v>
      </c>
      <c r="J6">
        <f>[1]!'3141.TW-NetSales'</f>
        <v>271.69</v>
      </c>
      <c r="K6" t="str">
        <f>[1]!'3141.TW-MonthlyNetSalesYoY'</f>
        <v>72.19</v>
      </c>
      <c r="L6">
        <f>[1]!'3141.TW-StockValueRatio'</f>
        <v>4.3489000000000004</v>
      </c>
      <c r="M6" t="str">
        <f>[1]!'3141.TW-TFXRatio'</f>
        <v>-0.97</v>
      </c>
      <c r="N6" t="str">
        <f>[1]!'3141.TW-WeekReturn'</f>
        <v>+0.92</v>
      </c>
      <c r="O6" t="str">
        <f>[1]!'3141.TW-MonthReturn'</f>
        <v>+10.73</v>
      </c>
      <c r="P6" t="str">
        <f>[1]!'3141.TW-QuarterReturn'</f>
        <v>+62.50</v>
      </c>
      <c r="Q6" t="str">
        <f>[1]!'3141.TW-HalfYearReturn'</f>
        <v>+184.59</v>
      </c>
      <c r="R6" t="str">
        <f>[1]!'3141.TW-YearReturn'</f>
        <v>+531.32</v>
      </c>
      <c r="S6" t="str">
        <f>[1]!'3141.TW-YTDReturn'</f>
        <v>+560.95</v>
      </c>
      <c r="T6" t="str">
        <f>[1]!'3141.TW-PBRatio'</f>
        <v>10.34</v>
      </c>
      <c r="U6" t="str">
        <f>[1]!'3141.TW-PERatio'</f>
        <v>36.96</v>
      </c>
      <c r="V6">
        <f>[1]!'3141.TW-Amplitude'</f>
        <v>5.47</v>
      </c>
      <c r="W6" t="str">
        <f>[1]!'3141.TW-ProfitMargin'</f>
        <v>49.74</v>
      </c>
      <c r="X6" s="11" t="str">
        <f>[1]!'3141.TW-OperatingProfitRatio'</f>
        <v>27.14</v>
      </c>
      <c r="Y6" s="11" t="str">
        <f>[1]!'3141.TW-NetProfitMargin'</f>
        <v>22.99</v>
      </c>
      <c r="Z6" s="11" t="str">
        <f>[1]!'3141.TW-RevenuePerShare'</f>
        <v>26.10</v>
      </c>
      <c r="AA6" s="11" t="str">
        <f>[1]!'3141.TW-NetIncomeGrowthRate'</f>
        <v>605.25</v>
      </c>
      <c r="AB6" s="11" t="str">
        <f>[1]!'3141.TW-ReturnOnAssets'</f>
        <v>18.10</v>
      </c>
      <c r="AC6" s="11" t="str">
        <f>[1]!'3141.TW-CashAndStockDividend'</f>
        <v>0.62</v>
      </c>
      <c r="AD6" s="11" t="str">
        <f>[1]!'3141.TW-TurnoverRatio'</f>
        <v>20.43</v>
      </c>
      <c r="AE6" s="11" t="str">
        <f>[1]!'3141.TW-ProfitFourSeason'</f>
        <v>7.40</v>
      </c>
      <c r="AF6">
        <f>[1]!'3141.TW-ChipsField1'</f>
        <v>-874</v>
      </c>
      <c r="AG6">
        <f>[1]!'3141.TW-ChipsField2'</f>
        <v>-854</v>
      </c>
      <c r="AH6">
        <f>[1]!'3141.TW-ChipsField3'</f>
        <v>118</v>
      </c>
      <c r="AI6">
        <f>[1]!'3141.TW-ChipsField4'</f>
        <v>-1610</v>
      </c>
      <c r="AJ6">
        <f>[1]!'3141.TW-ChipsField7'</f>
        <v>1357</v>
      </c>
      <c r="AK6">
        <f>[1]!'3141.TW-ChipsField10'</f>
        <v>827</v>
      </c>
      <c r="AL6">
        <f>[1]!'3141.TW-ChipsField13'</f>
        <v>-2185</v>
      </c>
      <c r="AM6">
        <f>[1]!'3141.TW-CashDividendYieldRate'</f>
        <v>0.23</v>
      </c>
      <c r="AN6" t="str">
        <f>[1]!'3141.TW-DateofMeetingofShareHolders'</f>
        <v>2021/08/06</v>
      </c>
      <c r="AO6" t="str">
        <f>[1]!'3141.TW-InvestorConferenceDate'</f>
        <v>2021/07/23</v>
      </c>
      <c r="AP6" t="str">
        <f>[1]!'3141.TW-ShortSaleFinalRecallDate'</f>
        <v>2021/09/24</v>
      </c>
      <c r="AQ6">
        <f>[1]!'3141.TW-CashDividendYield'</f>
        <v>0.23</v>
      </c>
      <c r="AR6">
        <f>[1]!'3141.TW-FinanceBuy'</f>
        <v>1278</v>
      </c>
      <c r="AS6">
        <f>[1]!'3141.TW-FinanceSell'</f>
        <v>1197</v>
      </c>
      <c r="AT6">
        <f>[1]!'3141.TW-FinanceBalanceDif'</f>
        <v>81</v>
      </c>
      <c r="AU6">
        <f>[1]!'3141.TW-FinanceUsedRatio'</f>
        <v>84.14</v>
      </c>
      <c r="AV6">
        <f>[1]!'3141.TW-ShortBuy'</f>
        <v>653</v>
      </c>
      <c r="AW6">
        <f>[1]!'3141.TW-ShortSell'</f>
        <v>21</v>
      </c>
      <c r="AX6">
        <f>[1]!'3141.TW-ShortBalanceDif'</f>
        <v>-634</v>
      </c>
      <c r="AY6" t="str">
        <f>[1]!'3141.TW-ExchangeIndustry'</f>
        <v>上櫃半導體</v>
      </c>
      <c r="AZ6" t="str">
        <f>[1]!'3141.TW-DetailIndustry'</f>
        <v>馬達IC,IC設計,LCD驅動IC,觸控IC</v>
      </c>
    </row>
    <row r="7" spans="1:52">
      <c r="A7" t="str">
        <f>[1]!'6531.TW-ID'</f>
        <v>6531</v>
      </c>
      <c r="B7" t="str">
        <f>[1]!'6531.TW-Name'</f>
        <v>愛普*</v>
      </c>
      <c r="C7">
        <f>[1]!'6531.TW-PreTotalVolume'</f>
        <v>2655</v>
      </c>
      <c r="D7">
        <f>[1]!'6531.TW-Price'</f>
        <v>480.5</v>
      </c>
      <c r="E7" t="str">
        <f>[1]!'6531.TW-Capital'</f>
        <v>7.43</v>
      </c>
      <c r="F7" t="str">
        <f>[1]!'6531.TW-Profit'</f>
        <v>4.56</v>
      </c>
      <c r="G7" t="str">
        <f>[1]!'6531.TW-MarketValue'</f>
        <v>714.4</v>
      </c>
      <c r="H7" t="str">
        <f>[1]!'6531.TW-CompanyNews'</f>
        <v>--</v>
      </c>
      <c r="I7" t="str">
        <f>[1]!'6531.TW-CompanyPos'</f>
        <v>從事行動記憶體IC設計的公司</v>
      </c>
      <c r="J7">
        <f>[1]!'6531.TW-NetSales'</f>
        <v>558.34</v>
      </c>
      <c r="K7" t="str">
        <f>[1]!'6531.TW-MonthlyNetSalesYoY'</f>
        <v>73.93</v>
      </c>
      <c r="L7">
        <f>[1]!'6531.TW-StockValueRatio'</f>
        <v>0.41399999999999998</v>
      </c>
      <c r="M7" t="str">
        <f>[1]!'6531.TW-TFXRatio'</f>
        <v>-4.56</v>
      </c>
      <c r="N7" t="str">
        <f>[1]!'6531.TW-WeekReturn'</f>
        <v>-6.34</v>
      </c>
      <c r="O7" t="str">
        <f>[1]!'6531.TW-MonthReturn'</f>
        <v>-9.68</v>
      </c>
      <c r="P7" t="str">
        <f>[1]!'6531.TW-QuarterReturn'</f>
        <v>+26.78</v>
      </c>
      <c r="Q7" t="str">
        <f>[1]!'6531.TW-HalfYearReturn'</f>
        <v>+43.50</v>
      </c>
      <c r="R7" t="str">
        <f>[1]!'6531.TW-YearReturn'</f>
        <v>+143.68</v>
      </c>
      <c r="S7" t="str">
        <f>[1]!'6531.TW-YTDReturn'</f>
        <v>+127.65</v>
      </c>
      <c r="T7" t="str">
        <f>[1]!'6531.TW-PBRatio'</f>
        <v>16.79</v>
      </c>
      <c r="U7" t="str">
        <f>[1]!'6531.TW-PERatio'</f>
        <v>43.21</v>
      </c>
      <c r="V7">
        <f>[1]!'6531.TW-Amplitude'</f>
        <v>1.81</v>
      </c>
      <c r="W7" t="str">
        <f>[1]!'6531.TW-ProfitMargin'</f>
        <v>45.75</v>
      </c>
      <c r="X7" s="11" t="str">
        <f>[1]!'6531.TW-OperatingProfitRatio'</f>
        <v>35.78</v>
      </c>
      <c r="Y7" s="11" t="str">
        <f>[1]!'6531.TW-NetProfitMargin'</f>
        <v>30.38</v>
      </c>
      <c r="Z7" s="11" t="str">
        <f>[1]!'6531.TW-RevenuePerShare'</f>
        <v>65.87</v>
      </c>
      <c r="AA7" s="11" t="str">
        <f>[1]!'6531.TW-NetIncomeGrowthRate'</f>
        <v>509.21</v>
      </c>
      <c r="AB7" s="11" t="str">
        <f>[1]!'6531.TW-ReturnOnAssets'</f>
        <v>30.94</v>
      </c>
      <c r="AC7" s="11" t="str">
        <f>[1]!'6531.TW-CashAndStockDividend'</f>
        <v>5.00</v>
      </c>
      <c r="AD7" s="11" t="str">
        <f>[1]!'6531.TW-TurnoverRatio'</f>
        <v>2.00</v>
      </c>
      <c r="AE7" s="11" t="str">
        <f>[1]!'6531.TW-ProfitFourSeason'</f>
        <v>11.12</v>
      </c>
      <c r="AF7">
        <f>[1]!'6531.TW-ChipsField1'</f>
        <v>-349</v>
      </c>
      <c r="AG7">
        <f>[1]!'6531.TW-ChipsField2'</f>
        <v>-1</v>
      </c>
      <c r="AH7">
        <f>[1]!'6531.TW-ChipsField3'</f>
        <v>-32</v>
      </c>
      <c r="AI7">
        <f>[1]!'6531.TW-ChipsField4'</f>
        <v>-382</v>
      </c>
      <c r="AJ7">
        <f>[1]!'6531.TW-ChipsField7'</f>
        <v>477</v>
      </c>
      <c r="AK7">
        <f>[1]!'6531.TW-ChipsField10'</f>
        <v>227</v>
      </c>
      <c r="AL7">
        <f>[1]!'6531.TW-ChipsField13'</f>
        <v>-703</v>
      </c>
      <c r="AM7">
        <f>[1]!'6531.TW-CashDividendYieldRate'</f>
        <v>1.04</v>
      </c>
      <c r="AN7" t="str">
        <f>[1]!'6531.TW-DateofMeetingofShareHolders'</f>
        <v>2021/12/06</v>
      </c>
      <c r="AO7" t="str">
        <f>[1]!'6531.TW-InvestorConferenceDate'</f>
        <v>2021/11/02</v>
      </c>
      <c r="AP7" t="str">
        <f>[1]!'6531.TW-ShortSaleFinalRecallDate'</f>
        <v>2021/08/10</v>
      </c>
      <c r="AQ7">
        <f>[1]!'6531.TW-CashDividendYield'</f>
        <v>1.04</v>
      </c>
      <c r="AR7">
        <f>[1]!'6531.TW-FinanceBuy'</f>
        <v>394</v>
      </c>
      <c r="AS7">
        <f>[1]!'6531.TW-FinanceSell'</f>
        <v>310</v>
      </c>
      <c r="AT7">
        <f>[1]!'6531.TW-FinanceBalanceDif'</f>
        <v>83</v>
      </c>
      <c r="AU7">
        <f>[1]!'6531.TW-FinanceUsedRatio'</f>
        <v>42.68</v>
      </c>
      <c r="AV7">
        <f>[1]!'6531.TW-ShortBuy'</f>
        <v>79</v>
      </c>
      <c r="AW7">
        <f>[1]!'6531.TW-ShortSell'</f>
        <v>9</v>
      </c>
      <c r="AX7">
        <f>[1]!'6531.TW-ShortBalanceDif'</f>
        <v>-70</v>
      </c>
      <c r="AY7" t="str">
        <f>[1]!'6531.TW-ExchangeIndustry'</f>
        <v>上市半導體</v>
      </c>
      <c r="AZ7" t="str">
        <f>[1]!'6531.TW-DetailIndustry'</f>
        <v>DRAM記憶體IC,SRAM記憶體IC,IC設計,設計IP</v>
      </c>
    </row>
    <row r="8" spans="1:52">
      <c r="A8" t="str">
        <f>[1]!'2498.TW-ID'</f>
        <v>2498</v>
      </c>
      <c r="B8" t="str">
        <f>[1]!'2498.TW-Name'</f>
        <v>宏達電</v>
      </c>
      <c r="C8">
        <f>[1]!'2498.TW-PreTotalVolume'</f>
        <v>71766</v>
      </c>
      <c r="D8">
        <f>[1]!'2498.TW-Price'</f>
        <v>80.8</v>
      </c>
      <c r="E8" t="str">
        <f>[1]!'2498.TW-Capital'</f>
        <v>82.40</v>
      </c>
      <c r="F8" t="str">
        <f>[1]!'2498.TW-Profit'</f>
        <v>-0.94</v>
      </c>
      <c r="G8" t="str">
        <f>[1]!'2498.TW-MarketValue'</f>
        <v>662.1</v>
      </c>
      <c r="H8" t="str">
        <f>[1]!'2498.TW-CompanyNews'</f>
        <v>--</v>
      </c>
      <c r="I8" t="str">
        <f>[1]!'2498.TW-CompanyPos'</f>
        <v>以HTC品牌行銷全球前十大智慧型手機廠商</v>
      </c>
      <c r="J8">
        <f>[1]!'2498.TW-NetSales'</f>
        <v>462.92</v>
      </c>
      <c r="K8" t="str">
        <f>[1]!'2498.TW-MonthlyNetSalesYoY'</f>
        <v>-16.63</v>
      </c>
      <c r="L8">
        <f>[1]!'2498.TW-StockValueRatio'</f>
        <v>1.4253</v>
      </c>
      <c r="M8" t="str">
        <f>[1]!'2498.TW-TFXRatio'</f>
        <v>32.42</v>
      </c>
      <c r="N8" t="str">
        <f>[1]!'2498.TW-WeekReturn'</f>
        <v>+0.12</v>
      </c>
      <c r="O8" t="str">
        <f>[1]!'2498.TW-MonthReturn'</f>
        <v>-7.66</v>
      </c>
      <c r="P8" t="str">
        <f>[1]!'2498.TW-QuarterReturn'</f>
        <v>+116.04</v>
      </c>
      <c r="Q8" t="str">
        <f>[1]!'2498.TW-HalfYearReturn'</f>
        <v>+99.01</v>
      </c>
      <c r="R8" t="str">
        <f>[1]!'2498.TW-YearReturn'</f>
        <v>+158.97</v>
      </c>
      <c r="S8" t="str">
        <f>[1]!'2498.TW-YTDReturn'</f>
        <v>+162.76</v>
      </c>
      <c r="T8" t="str">
        <f>[1]!'2498.TW-PBRatio'</f>
        <v>2.40</v>
      </c>
      <c r="U8" t="str">
        <f>[1]!'2498.TW-PERatio'</f>
        <v>--</v>
      </c>
      <c r="V8">
        <f>[1]!'2498.TW-Amplitude'</f>
        <v>3.96</v>
      </c>
      <c r="W8" t="str">
        <f>[1]!'2498.TW-ProfitMargin'</f>
        <v>30.21</v>
      </c>
      <c r="X8" s="11" t="str">
        <f>[1]!'2498.TW-OperatingProfitRatio'</f>
        <v>-83.06</v>
      </c>
      <c r="Y8" s="11" t="str">
        <f>[1]!'2498.TW-NetProfitMargin'</f>
        <v>-61.32</v>
      </c>
      <c r="Z8" s="11" t="str">
        <f>[1]!'2498.TW-RevenuePerShare'</f>
        <v>4.72</v>
      </c>
      <c r="AA8" s="11" t="str">
        <f>[1]!'2498.TW-NetIncomeGrowthRate'</f>
        <v>52.12</v>
      </c>
      <c r="AB8" s="11" t="str">
        <f>[1]!'2498.TW-ReturnOnAssets'</f>
        <v>-5.21</v>
      </c>
      <c r="AC8" s="11" t="str">
        <f>[1]!'2498.TW-CashAndStockDividend'</f>
        <v>0.00</v>
      </c>
      <c r="AD8" s="11" t="str">
        <f>[1]!'2498.TW-TurnoverRatio'</f>
        <v>7.41</v>
      </c>
      <c r="AE8" s="11" t="str">
        <f>[1]!'2498.TW-ProfitFourSeason'</f>
        <v>-4.14</v>
      </c>
      <c r="AF8">
        <f>[1]!'2498.TW-ChipsField1'</f>
        <v>-3305</v>
      </c>
      <c r="AG8">
        <f>[1]!'2498.TW-ChipsField2'</f>
        <v>83</v>
      </c>
      <c r="AH8">
        <f>[1]!'2498.TW-ChipsField3'</f>
        <v>-913</v>
      </c>
      <c r="AI8">
        <f>[1]!'2498.TW-ChipsField4'</f>
        <v>-4135</v>
      </c>
      <c r="AJ8">
        <f>[1]!'2498.TW-ChipsField7'</f>
        <v>3275</v>
      </c>
      <c r="AK8">
        <f>[1]!'2498.TW-ChipsField10'</f>
        <v>800</v>
      </c>
      <c r="AL8">
        <f>[1]!'2498.TW-ChipsField13'</f>
        <v>-4075</v>
      </c>
      <c r="AM8">
        <f>[1]!'2498.TW-CashDividendYieldRate'</f>
        <v>0</v>
      </c>
      <c r="AN8" t="str">
        <f>[1]!'2498.TW-DateofMeetingofShareHolders'</f>
        <v>2021/07/20</v>
      </c>
      <c r="AO8" t="str">
        <f>[1]!'2498.TW-InvestorConferenceDate'</f>
        <v>2021/03/10</v>
      </c>
      <c r="AP8" t="str">
        <f>[1]!'2498.TW-ShortSaleFinalRecallDate'</f>
        <v>2021/04/12</v>
      </c>
      <c r="AQ8">
        <f>[1]!'2498.TW-CashDividendYield'</f>
        <v>0</v>
      </c>
      <c r="AR8">
        <f>[1]!'2498.TW-FinanceBuy'</f>
        <v>3793</v>
      </c>
      <c r="AS8">
        <f>[1]!'2498.TW-FinanceSell'</f>
        <v>3633</v>
      </c>
      <c r="AT8">
        <f>[1]!'2498.TW-FinanceBalanceDif'</f>
        <v>134</v>
      </c>
      <c r="AU8">
        <f>[1]!'2498.TW-FinanceUsedRatio'</f>
        <v>27.22</v>
      </c>
      <c r="AV8">
        <f>[1]!'2498.TW-ShortBuy'</f>
        <v>944</v>
      </c>
      <c r="AW8">
        <f>[1]!'2498.TW-ShortSell'</f>
        <v>1166</v>
      </c>
      <c r="AX8">
        <f>[1]!'2498.TW-ShortBalanceDif'</f>
        <v>221</v>
      </c>
      <c r="AY8" t="str">
        <f>[1]!'2498.TW-ExchangeIndustry'</f>
        <v>上市通信網路</v>
      </c>
      <c r="AZ8" t="str">
        <f>[1]!'2498.TW-DetailIndustry'</f>
        <v>手機,手機製造,軟體業,虛擬實境,智慧型手機,消費性電子產品,穿戴式裝置</v>
      </c>
    </row>
    <row r="9" spans="1:52">
      <c r="X9" s="11"/>
      <c r="Y9" s="11"/>
      <c r="Z9" s="11"/>
      <c r="AA9" s="11"/>
      <c r="AB9" s="11"/>
      <c r="AC9" s="11"/>
      <c r="AD9" s="11"/>
      <c r="AE9" s="11"/>
    </row>
    <row r="10" spans="1:52">
      <c r="X10" s="11"/>
      <c r="Y10" s="11"/>
      <c r="Z10" s="11"/>
      <c r="AA10" s="11"/>
      <c r="AB10" s="11"/>
      <c r="AC10" s="11"/>
      <c r="AD10" s="11"/>
      <c r="AE10" s="11"/>
    </row>
    <row r="11" spans="1:52">
      <c r="A11" t="str">
        <f>[1]!'4919.TW-ID'</f>
        <v>4919</v>
      </c>
      <c r="B11" t="str">
        <f>[1]!'4919.TW-Name'</f>
        <v>新唐</v>
      </c>
      <c r="C11">
        <f>[1]!'4919.TW-PreTotalVolume'</f>
        <v>18928</v>
      </c>
      <c r="D11">
        <f>[1]!'4919.TW-Price'</f>
        <v>144.5</v>
      </c>
      <c r="E11" t="str">
        <f>[1]!'4919.TW-Capital'</f>
        <v>41.93</v>
      </c>
      <c r="F11" t="str">
        <f>[1]!'4919.TW-Profit'</f>
        <v>1.56</v>
      </c>
      <c r="G11" t="str">
        <f>[1]!'4919.TW-MarketValue'</f>
        <v>592.5</v>
      </c>
      <c r="H11" t="str">
        <f>[1]!'4919.TW-CompanyNews'</f>
        <v>--</v>
      </c>
      <c r="I11" t="str">
        <f>[1]!'4919.TW-CompanyPos'</f>
        <v>華邦旗下整合元件製造(IDM)廠，並提供晶圓代工服務</v>
      </c>
      <c r="J11">
        <f>[1]!'4919.TW-NetSales'</f>
        <v>3479.94</v>
      </c>
      <c r="K11" t="str">
        <f>[1]!'4919.TW-MonthlyNetSalesYoY'</f>
        <v>8.95</v>
      </c>
      <c r="L11">
        <f>[1]!'4919.TW-StockValueRatio'</f>
        <v>0.34200000000000003</v>
      </c>
      <c r="M11" t="str">
        <f>[1]!'4919.TW-TFXRatio'</f>
        <v>-1.02</v>
      </c>
      <c r="N11" t="str">
        <f>[1]!'4919.TW-WeekReturn'</f>
        <v>+3.21</v>
      </c>
      <c r="O11" t="str">
        <f>[1]!'4919.TW-MonthReturn'</f>
        <v>+1.05</v>
      </c>
      <c r="P11" t="str">
        <f>[1]!'4919.TW-QuarterReturn'</f>
        <v>+14.23</v>
      </c>
      <c r="Q11" t="str">
        <f>[1]!'4919.TW-HalfYearReturn'</f>
        <v>+78.34</v>
      </c>
      <c r="R11" t="str">
        <f>[1]!'4919.TW-YearReturn'</f>
        <v>+222.98</v>
      </c>
      <c r="S11" t="str">
        <f>[1]!'4919.TW-YTDReturn'</f>
        <v>+206.31</v>
      </c>
      <c r="T11" t="str">
        <f>[1]!'4919.TW-PBRatio'</f>
        <v>4.15</v>
      </c>
      <c r="U11" t="str">
        <f>[1]!'4919.TW-PERatio'</f>
        <v>28.06</v>
      </c>
      <c r="V11">
        <f>[1]!'4919.TW-Amplitude'</f>
        <v>2.38</v>
      </c>
      <c r="W11" t="str">
        <f>[1]!'4919.TW-ProfitMargin'</f>
        <v>40.33</v>
      </c>
      <c r="X11" s="11" t="str">
        <f>[1]!'4919.TW-OperatingProfitRatio'</f>
        <v>6.80</v>
      </c>
      <c r="Y11" s="11" t="str">
        <f>[1]!'4919.TW-NetProfitMargin'</f>
        <v>5.96</v>
      </c>
      <c r="Z11" s="11" t="str">
        <f>[1]!'4919.TW-RevenuePerShare'</f>
        <v>75.77</v>
      </c>
      <c r="AA11" s="11" t="str">
        <f>[1]!'4919.TW-NetIncomeGrowthRate'</f>
        <v>299.81</v>
      </c>
      <c r="AB11" s="11" t="str">
        <f>[1]!'4919.TW-ReturnOnAssets'</f>
        <v>5.94</v>
      </c>
      <c r="AC11" s="11" t="str">
        <f>[1]!'4919.TW-CashAndStockDividend'</f>
        <v>0.76</v>
      </c>
      <c r="AD11" s="11" t="str">
        <f>[1]!'4919.TW-TurnoverRatio'</f>
        <v>2.01</v>
      </c>
      <c r="AE11" s="11" t="str">
        <f>[1]!'4919.TW-ProfitFourSeason'</f>
        <v>5.15</v>
      </c>
      <c r="AF11">
        <f>[1]!'4919.TW-ChipsField1'</f>
        <v>4</v>
      </c>
      <c r="AG11">
        <f>[1]!'4919.TW-ChipsField2'</f>
        <v>3</v>
      </c>
      <c r="AH11">
        <f>[1]!'4919.TW-ChipsField3'</f>
        <v>-313</v>
      </c>
      <c r="AI11">
        <f>[1]!'4919.TW-ChipsField4'</f>
        <v>-306</v>
      </c>
      <c r="AJ11">
        <f>[1]!'4919.TW-ChipsField7'</f>
        <v>823</v>
      </c>
      <c r="AK11">
        <f>[1]!'4919.TW-ChipsField10'</f>
        <v>90</v>
      </c>
      <c r="AL11">
        <f>[1]!'4919.TW-ChipsField13'</f>
        <v>-912</v>
      </c>
      <c r="AM11">
        <f>[1]!'4919.TW-CashDividendYieldRate'</f>
        <v>0.53</v>
      </c>
      <c r="AN11" t="str">
        <f>[1]!'4919.TW-DateofMeetingofShareHolders'</f>
        <v>2021/08/20</v>
      </c>
      <c r="AO11" t="str">
        <f>[1]!'4919.TW-InvestorConferenceDate'</f>
        <v>2021/11/05</v>
      </c>
      <c r="AP11" t="str">
        <f>[1]!'4919.TW-ShortSaleFinalRecallDate'</f>
        <v>2021/08/10</v>
      </c>
      <c r="AQ11">
        <f>[1]!'4919.TW-CashDividendYield'</f>
        <v>0.53</v>
      </c>
      <c r="AR11">
        <f>[1]!'4919.TW-FinanceBuy'</f>
        <v>820</v>
      </c>
      <c r="AS11">
        <f>[1]!'4919.TW-FinanceSell'</f>
        <v>1152</v>
      </c>
      <c r="AT11">
        <f>[1]!'4919.TW-FinanceBalanceDif'</f>
        <v>-333</v>
      </c>
      <c r="AU11">
        <f>[1]!'4919.TW-FinanceUsedRatio'</f>
        <v>27.14</v>
      </c>
      <c r="AV11">
        <f>[1]!'4919.TW-ShortBuy'</f>
        <v>108</v>
      </c>
      <c r="AW11">
        <f>[1]!'4919.TW-ShortSell'</f>
        <v>148</v>
      </c>
      <c r="AX11">
        <f>[1]!'4919.TW-ShortBalanceDif'</f>
        <v>29</v>
      </c>
      <c r="AY11" t="str">
        <f>[1]!'4919.TW-ExchangeIndustry'</f>
        <v>上市半導體</v>
      </c>
      <c r="AZ11" t="str">
        <f>[1]!'4919.TW-DetailIndustry'</f>
        <v>IC生產,專業晶圓代工,類比IC,IO控制IC,IC設計,消費性IC,PC週邊IC,MCU,影音IC,CMOS晶片,IC製造</v>
      </c>
    </row>
    <row r="12" spans="1:52">
      <c r="A12" t="str">
        <f>[1]!'3017.TW-ID'</f>
        <v>3017</v>
      </c>
      <c r="B12" t="str">
        <f>[1]!'3017.TW-Name'</f>
        <v>奇鋐</v>
      </c>
      <c r="C12">
        <f>[1]!'3017.TW-PreTotalVolume'</f>
        <v>6249</v>
      </c>
      <c r="D12">
        <f>[1]!'3017.TW-Price'</f>
        <v>86.9</v>
      </c>
      <c r="E12" t="str">
        <f>[1]!'3017.TW-Capital'</f>
        <v>35.33</v>
      </c>
      <c r="F12" t="str">
        <f>[1]!'3017.TW-Profit'</f>
        <v>2.42</v>
      </c>
      <c r="G12" t="str">
        <f>[1]!'3017.TW-MarketValue'</f>
        <v>307.0</v>
      </c>
      <c r="H12" t="str">
        <f>[1]!'3017.TW-CompanyNews'</f>
        <v>--</v>
      </c>
      <c r="I12" t="str">
        <f>[1]!'3017.TW-CompanyPos'</f>
        <v>全球最大PC散熱模組廠</v>
      </c>
      <c r="J12">
        <f>[1]!'3017.TW-NetSales'</f>
        <v>4130.5200000000004</v>
      </c>
      <c r="K12" t="str">
        <f>[1]!'3017.TW-MonthlyNetSalesYoY'</f>
        <v>17.98</v>
      </c>
      <c r="L12">
        <f>[1]!'3017.TW-StockValueRatio'</f>
        <v>9.9900000000000003E-2</v>
      </c>
      <c r="M12" t="str">
        <f>[1]!'3017.TW-TFXRatio'</f>
        <v>2.44</v>
      </c>
      <c r="N12" t="str">
        <f>[1]!'3017.TW-WeekReturn'</f>
        <v>-1.03</v>
      </c>
      <c r="O12" t="str">
        <f>[1]!'3017.TW-MonthReturn'</f>
        <v>+5.33</v>
      </c>
      <c r="P12" t="str">
        <f>[1]!'3017.TW-QuarterReturn'</f>
        <v>+10.28</v>
      </c>
      <c r="Q12" t="str">
        <f>[1]!'3017.TW-HalfYearReturn'</f>
        <v>+27.86</v>
      </c>
      <c r="R12" t="str">
        <f>[1]!'3017.TW-YearReturn'</f>
        <v>+32.74</v>
      </c>
      <c r="S12" t="str">
        <f>[1]!'3017.TW-YTDReturn'</f>
        <v>+36.76</v>
      </c>
      <c r="T12" t="str">
        <f>[1]!'3017.TW-PBRatio'</f>
        <v>2.65</v>
      </c>
      <c r="U12" t="str">
        <f>[1]!'3017.TW-PERatio'</f>
        <v>11.36</v>
      </c>
      <c r="V12">
        <f>[1]!'3017.TW-Amplitude'</f>
        <v>2.2400000000000002</v>
      </c>
      <c r="W12" t="str">
        <f>[1]!'3017.TW-ProfitMargin'</f>
        <v>17.41</v>
      </c>
      <c r="X12" s="11" t="str">
        <f>[1]!'3017.TW-OperatingProfitRatio'</f>
        <v>9.75</v>
      </c>
      <c r="Y12" s="11" t="str">
        <f>[1]!'3017.TW-NetProfitMargin'</f>
        <v>7.22</v>
      </c>
      <c r="Z12" s="11" t="str">
        <f>[1]!'3017.TW-RevenuePerShare'</f>
        <v>99.40</v>
      </c>
      <c r="AA12" s="11" t="str">
        <f>[1]!'3017.TW-NetIncomeGrowthRate'</f>
        <v>70.93</v>
      </c>
      <c r="AB12" s="11" t="str">
        <f>[1]!'3017.TW-ReturnOnAssets'</f>
        <v>6.07</v>
      </c>
      <c r="AC12" s="11" t="str">
        <f>[1]!'3017.TW-CashAndStockDividend'</f>
        <v>2.80</v>
      </c>
      <c r="AD12" s="11" t="str">
        <f>[1]!'3017.TW-TurnoverRatio'</f>
        <v>1.12</v>
      </c>
      <c r="AE12" s="11" t="str">
        <f>[1]!'3017.TW-ProfitFourSeason'</f>
        <v>7.65</v>
      </c>
      <c r="AF12">
        <f>[1]!'3017.TW-ChipsField1'</f>
        <v>-1240</v>
      </c>
      <c r="AG12">
        <f>[1]!'3017.TW-ChipsField2'</f>
        <v>-399</v>
      </c>
      <c r="AH12">
        <f>[1]!'3017.TW-ChipsField3'</f>
        <v>-95</v>
      </c>
      <c r="AI12">
        <f>[1]!'3017.TW-ChipsField4'</f>
        <v>-1734</v>
      </c>
      <c r="AJ12">
        <f>[1]!'3017.TW-ChipsField7'</f>
        <v>1179</v>
      </c>
      <c r="AK12">
        <f>[1]!'3017.TW-ChipsField10'</f>
        <v>241</v>
      </c>
      <c r="AL12">
        <f>[1]!'3017.TW-ChipsField13'</f>
        <v>-1420</v>
      </c>
      <c r="AM12">
        <f>[1]!'3017.TW-CashDividendYieldRate'</f>
        <v>3.22</v>
      </c>
      <c r="AN12" t="str">
        <f>[1]!'3017.TW-DateofMeetingofShareHolders'</f>
        <v>2021/08/06</v>
      </c>
      <c r="AO12" t="str">
        <f>[1]!'3017.TW-InvestorConferenceDate'</f>
        <v>2021/08/09</v>
      </c>
      <c r="AP12" t="str">
        <f>[1]!'3017.TW-ShortSaleFinalRecallDate'</f>
        <v>2021/08/18</v>
      </c>
      <c r="AQ12">
        <f>[1]!'3017.TW-CashDividendYield'</f>
        <v>3.22</v>
      </c>
      <c r="AR12">
        <f>[1]!'3017.TW-FinanceBuy'</f>
        <v>401</v>
      </c>
      <c r="AS12">
        <f>[1]!'3017.TW-FinanceSell'</f>
        <v>255</v>
      </c>
      <c r="AT12">
        <f>[1]!'3017.TW-FinanceBalanceDif'</f>
        <v>146</v>
      </c>
      <c r="AU12">
        <f>[1]!'3017.TW-FinanceUsedRatio'</f>
        <v>13.73</v>
      </c>
      <c r="AV12">
        <f>[1]!'3017.TW-ShortBuy'</f>
        <v>29</v>
      </c>
      <c r="AW12">
        <f>[1]!'3017.TW-ShortSell'</f>
        <v>1</v>
      </c>
      <c r="AX12">
        <f>[1]!'3017.TW-ShortBalanceDif'</f>
        <v>-28</v>
      </c>
      <c r="AY12" t="str">
        <f>[1]!'3017.TW-ExchangeIndustry'</f>
        <v>上市電腦及週邊設備</v>
      </c>
      <c r="AZ12" t="str">
        <f>[1]!'3017.TW-DetailIndustry'</f>
        <v>機殼,散熱風扇馬達,電子零件元件,散熱模組,熱導管</v>
      </c>
    </row>
    <row r="13" spans="1:52">
      <c r="A13" t="str">
        <f>[1]!'2312.TW-ID'</f>
        <v>2312</v>
      </c>
      <c r="B13" t="str">
        <f>[1]!'2312.TW-Name'</f>
        <v>金寶</v>
      </c>
      <c r="C13">
        <f>[1]!'2312.TW-PreTotalVolume'</f>
        <v>46968</v>
      </c>
      <c r="D13">
        <f>[1]!'2312.TW-Price'</f>
        <v>14.95</v>
      </c>
      <c r="E13" t="str">
        <f>[1]!'2312.TW-Capital'</f>
        <v>147.15</v>
      </c>
      <c r="F13" t="str">
        <f>[1]!'2312.TW-Profit'</f>
        <v>0.04</v>
      </c>
      <c r="G13" t="str">
        <f>[1]!'2312.TW-MarketValue'</f>
        <v>219.6</v>
      </c>
      <c r="H13" t="str">
        <f>[1]!'2312.TW-CompanyNews'</f>
        <v>--</v>
      </c>
      <c r="I13" t="str">
        <f>[1]!'2312.TW-CompanyPos'</f>
        <v>金仁寶集團旗下消費性電子代工廠</v>
      </c>
      <c r="J13">
        <f>[1]!'2312.TW-NetSales'</f>
        <v>11957.66</v>
      </c>
      <c r="K13" t="str">
        <f>[1]!'2312.TW-MonthlyNetSalesYoY'</f>
        <v>3.89</v>
      </c>
      <c r="L13">
        <f>[1]!'2312.TW-StockValueRatio'</f>
        <v>0.17749999999999999</v>
      </c>
      <c r="M13" t="str">
        <f>[1]!'2312.TW-TFXRatio'</f>
        <v>1.94</v>
      </c>
      <c r="N13" t="str">
        <f>[1]!'2312.TW-WeekReturn'</f>
        <v>+6.79</v>
      </c>
      <c r="O13" t="str">
        <f>[1]!'2312.TW-MonthReturn'</f>
        <v>+5.65</v>
      </c>
      <c r="P13" t="str">
        <f>[1]!'2312.TW-QuarterReturn'</f>
        <v>+15.89</v>
      </c>
      <c r="Q13" t="str">
        <f>[1]!'2312.TW-HalfYearReturn'</f>
        <v>+14.12</v>
      </c>
      <c r="R13" t="str">
        <f>[1]!'2312.TW-YearReturn'</f>
        <v>+30.70</v>
      </c>
      <c r="S13" t="str">
        <f>[1]!'2312.TW-YTDReturn'</f>
        <v>+25.86</v>
      </c>
      <c r="T13" t="str">
        <f>[1]!'2312.TW-PBRatio'</f>
        <v>1.34</v>
      </c>
      <c r="U13" t="str">
        <f>[1]!'2312.TW-PERatio'</f>
        <v>--</v>
      </c>
      <c r="V13">
        <f>[1]!'2312.TW-Amplitude'</f>
        <v>4.59</v>
      </c>
      <c r="W13" t="str">
        <f>[1]!'2312.TW-ProfitMargin'</f>
        <v>7.02</v>
      </c>
      <c r="X13" s="11" t="str">
        <f>[1]!'2312.TW-OperatingProfitRatio'</f>
        <v>1.34</v>
      </c>
      <c r="Y13" s="11" t="str">
        <f>[1]!'2312.TW-NetProfitMargin'</f>
        <v>0.57</v>
      </c>
      <c r="Z13" s="11" t="str">
        <f>[1]!'2312.TW-RevenuePerShare'</f>
        <v>70.33</v>
      </c>
      <c r="AA13" s="11" t="str">
        <f>[1]!'2312.TW-NetIncomeGrowthRate'</f>
        <v>-5.38</v>
      </c>
      <c r="AB13" s="11" t="str">
        <f>[1]!'2312.TW-ReturnOnAssets'</f>
        <v>1.07</v>
      </c>
      <c r="AC13" s="11" t="str">
        <f>[1]!'2312.TW-CashAndStockDividend'</f>
        <v>0.29</v>
      </c>
      <c r="AD13" s="11" t="str">
        <f>[1]!'2312.TW-TurnoverRatio'</f>
        <v>2.81</v>
      </c>
      <c r="AE13" s="11" t="str">
        <f>[1]!'2312.TW-ProfitFourSeason'</f>
        <v>-0.09</v>
      </c>
      <c r="AF13">
        <f>[1]!'2312.TW-ChipsField1'</f>
        <v>-2231</v>
      </c>
      <c r="AG13">
        <f>[1]!'2312.TW-ChipsField2'</f>
        <v>0</v>
      </c>
      <c r="AH13">
        <f>[1]!'2312.TW-ChipsField3'</f>
        <v>-143</v>
      </c>
      <c r="AI13">
        <f>[1]!'2312.TW-ChipsField4'</f>
        <v>-2374</v>
      </c>
      <c r="AJ13">
        <f>[1]!'2312.TW-ChipsField7'</f>
        <v>2910</v>
      </c>
      <c r="AK13">
        <f>[1]!'2312.TW-ChipsField10'</f>
        <v>-2588</v>
      </c>
      <c r="AL13">
        <f>[1]!'2312.TW-ChipsField13'</f>
        <v>-323</v>
      </c>
      <c r="AM13">
        <f>[1]!'2312.TW-CashDividendYieldRate'</f>
        <v>1.94</v>
      </c>
      <c r="AN13" t="str">
        <f>[1]!'2312.TW-DateofMeetingofShareHolders'</f>
        <v>2021/08/20</v>
      </c>
      <c r="AO13" t="str">
        <f>[1]!'2312.TW-InvestorConferenceDate'</f>
        <v>2021/12/01</v>
      </c>
      <c r="AP13" t="str">
        <f>[1]!'2312.TW-ShortSaleFinalRecallDate'</f>
        <v>2021/06/16</v>
      </c>
      <c r="AQ13">
        <f>[1]!'2312.TW-CashDividendYield'</f>
        <v>1.94</v>
      </c>
      <c r="AR13">
        <f>[1]!'2312.TW-FinanceBuy'</f>
        <v>2263</v>
      </c>
      <c r="AS13">
        <f>[1]!'2312.TW-FinanceSell'</f>
        <v>4719</v>
      </c>
      <c r="AT13">
        <f>[1]!'2312.TW-FinanceBalanceDif'</f>
        <v>-2458</v>
      </c>
      <c r="AU13">
        <f>[1]!'2312.TW-FinanceUsedRatio'</f>
        <v>13.74</v>
      </c>
      <c r="AV13">
        <f>[1]!'2312.TW-ShortBuy'</f>
        <v>179</v>
      </c>
      <c r="AW13">
        <f>[1]!'2312.TW-ShortSell'</f>
        <v>62</v>
      </c>
      <c r="AX13">
        <f>[1]!'2312.TW-ShortBalanceDif'</f>
        <v>-117</v>
      </c>
      <c r="AY13" t="str">
        <f>[1]!'2312.TW-ExchangeIndustry'</f>
        <v>上市其他電子</v>
      </c>
      <c r="AZ13" t="str">
        <f>[1]!'2312.TW-DetailIndustry'</f>
        <v>筆記型電腦製造,通訊設備,手機,手機製造,區域網路,視訊轉換相關,消費性電子產品,週邊產品,印表機,3D印表機,硬碟相關,電子製造服務,電腦系統業</v>
      </c>
    </row>
    <row r="14" spans="1:52">
      <c r="A14" t="str">
        <f>[1]!'3530.TW-ID'</f>
        <v>3530</v>
      </c>
      <c r="B14" t="str">
        <f>[1]!'3530.TW-Name'</f>
        <v>晶相光</v>
      </c>
      <c r="C14">
        <f>[1]!'3530.TW-PreTotalVolume'</f>
        <v>974</v>
      </c>
      <c r="D14">
        <f>[1]!'3530.TW-Price'</f>
        <v>134</v>
      </c>
      <c r="E14" t="str">
        <f>[1]!'3530.TW-Capital'</f>
        <v>7.82</v>
      </c>
      <c r="F14" t="str">
        <f>[1]!'3530.TW-Profit'</f>
        <v>3.18</v>
      </c>
      <c r="G14" t="str">
        <f>[1]!'3530.TW-MarketValue'</f>
        <v>104.7</v>
      </c>
      <c r="H14" t="str">
        <f>[1]!'3530.TW-CompanyNews'</f>
        <v>--</v>
      </c>
      <c r="I14" t="str">
        <f>[1]!'3530.TW-CompanyPos'</f>
        <v>力晶與OmniVision合資之CMOS影像感測元件廠</v>
      </c>
      <c r="J14">
        <f>[1]!'3530.TW-NetSales'</f>
        <v>303.83999999999997</v>
      </c>
      <c r="K14" t="str">
        <f>[1]!'3530.TW-MonthlyNetSalesYoY'</f>
        <v>-32.61</v>
      </c>
      <c r="L14">
        <f>[1]!'3530.TW-StockValueRatio'</f>
        <v>3.7499999999999999E-2</v>
      </c>
      <c r="M14" t="str">
        <f>[1]!'3530.TW-TFXRatio'</f>
        <v>9.53</v>
      </c>
      <c r="N14" t="str">
        <f>[1]!'3530.TW-WeekReturn'</f>
        <v>-3.60</v>
      </c>
      <c r="O14" t="str">
        <f>[1]!'3530.TW-MonthReturn'</f>
        <v>-10.67</v>
      </c>
      <c r="P14" t="str">
        <f>[1]!'3530.TW-QuarterReturn'</f>
        <v>-14.10</v>
      </c>
      <c r="Q14" t="str">
        <f>[1]!'3530.TW-HalfYearReturn'</f>
        <v>-25.23</v>
      </c>
      <c r="R14" t="str">
        <f>[1]!'3530.TW-YearReturn'</f>
        <v>+9.89</v>
      </c>
      <c r="S14" t="str">
        <f>[1]!'3530.TW-YTDReturn'</f>
        <v>+12.16</v>
      </c>
      <c r="T14" t="str">
        <f>[1]!'3530.TW-PBRatio'</f>
        <v>3.97</v>
      </c>
      <c r="U14" t="str">
        <f>[1]!'3530.TW-PERatio'</f>
        <v>13.87</v>
      </c>
      <c r="V14">
        <f>[1]!'3530.TW-Amplitude'</f>
        <v>3.65</v>
      </c>
      <c r="W14" t="str">
        <f>[1]!'3530.TW-ProfitMargin'</f>
        <v>35.17</v>
      </c>
      <c r="X14" s="11" t="str">
        <f>[1]!'3530.TW-OperatingProfitRatio'</f>
        <v>23.50</v>
      </c>
      <c r="Y14" s="11" t="str">
        <f>[1]!'3530.TW-NetProfitMargin'</f>
        <v>19.60</v>
      </c>
      <c r="Z14" s="11" t="str">
        <f>[1]!'3530.TW-RevenuePerShare'</f>
        <v>40.48</v>
      </c>
      <c r="AA14" s="11" t="str">
        <f>[1]!'3530.TW-NetIncomeGrowthRate'</f>
        <v>311.83</v>
      </c>
      <c r="AB14" s="11" t="str">
        <f>[1]!'3530.TW-ReturnOnAssets'</f>
        <v>18.44</v>
      </c>
      <c r="AC14" s="11" t="str">
        <f>[1]!'3530.TW-CashAndStockDividend'</f>
        <v>2.80</v>
      </c>
      <c r="AD14" s="11" t="str">
        <f>[1]!'3530.TW-TurnoverRatio'</f>
        <v>1.23</v>
      </c>
      <c r="AE14" s="11" t="str">
        <f>[1]!'3530.TW-ProfitFourSeason'</f>
        <v>9.66</v>
      </c>
      <c r="AF14">
        <f>[1]!'3530.TW-ChipsField1'</f>
        <v>-277</v>
      </c>
      <c r="AG14">
        <f>[1]!'3530.TW-ChipsField2'</f>
        <v>0</v>
      </c>
      <c r="AH14">
        <f>[1]!'3530.TW-ChipsField3'</f>
        <v>5</v>
      </c>
      <c r="AI14">
        <f>[1]!'3530.TW-ChipsField4'</f>
        <v>-272</v>
      </c>
      <c r="AJ14">
        <f>[1]!'3530.TW-ChipsField7'</f>
        <v>307</v>
      </c>
      <c r="AK14">
        <f>[1]!'3530.TW-ChipsField10'</f>
        <v>83</v>
      </c>
      <c r="AL14">
        <f>[1]!'3530.TW-ChipsField13'</f>
        <v>-390</v>
      </c>
      <c r="AM14">
        <f>[1]!'3530.TW-CashDividendYieldRate'</f>
        <v>2.09</v>
      </c>
      <c r="AN14" t="str">
        <f>[1]!'3530.TW-DateofMeetingofShareHolders'</f>
        <v>2021/07/01</v>
      </c>
      <c r="AO14" t="str">
        <f>[1]!'3530.TW-InvestorConferenceDate'</f>
        <v>2021/08/26</v>
      </c>
      <c r="AP14" t="str">
        <f>[1]!'3530.TW-ShortSaleFinalRecallDate'</f>
        <v>2021/07/19</v>
      </c>
      <c r="AQ14">
        <f>[1]!'3530.TW-CashDividendYield'</f>
        <v>2.09</v>
      </c>
      <c r="AR14">
        <f>[1]!'3530.TW-FinanceBuy'</f>
        <v>87</v>
      </c>
      <c r="AS14">
        <f>[1]!'3530.TW-FinanceSell'</f>
        <v>87</v>
      </c>
      <c r="AT14">
        <f>[1]!'3530.TW-FinanceBalanceDif'</f>
        <v>-2</v>
      </c>
      <c r="AU14">
        <f>[1]!'3530.TW-FinanceUsedRatio'</f>
        <v>29.61</v>
      </c>
      <c r="AV14">
        <f>[1]!'3530.TW-ShortBuy'</f>
        <v>26</v>
      </c>
      <c r="AW14">
        <f>[1]!'3530.TW-ShortSell'</f>
        <v>0</v>
      </c>
      <c r="AX14">
        <f>[1]!'3530.TW-ShortBalanceDif'</f>
        <v>-26</v>
      </c>
      <c r="AY14" t="str">
        <f>[1]!'3530.TW-ExchangeIndustry'</f>
        <v>上市半導體</v>
      </c>
      <c r="AZ14" t="str">
        <f>[1]!'3530.TW-DetailIndustry'</f>
        <v>IC設計,CMOS晶片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D632-F2D5-4DC5-B23F-F7DD710250F7}">
  <sheetPr codeName="工作表2"/>
  <dimension ref="A1:Z27"/>
  <sheetViews>
    <sheetView workbookViewId="0">
      <pane ySplit="1" topLeftCell="A2" activePane="bottomLeft" state="frozen"/>
      <selection pane="bottomLeft" activeCell="K35" sqref="K35"/>
    </sheetView>
  </sheetViews>
  <sheetFormatPr defaultRowHeight="16.2"/>
  <cols>
    <col min="1" max="1" width="6.77734375" style="1" customWidth="1"/>
    <col min="2" max="7" width="8.88671875" style="1"/>
    <col min="8" max="8" width="8.88671875" style="28"/>
    <col min="9" max="10" width="8.88671875" style="1"/>
    <col min="11" max="11" width="8.21875" style="28" bestFit="1" customWidth="1"/>
    <col min="12" max="12" width="10.6640625" style="1" bestFit="1" customWidth="1"/>
    <col min="13" max="14" width="9.77734375" style="13" customWidth="1"/>
    <col min="15" max="15" width="8.88671875" style="1"/>
    <col min="16" max="16" width="11.6640625" style="1" customWidth="1"/>
    <col min="17" max="17" width="8.88671875" style="1"/>
    <col min="18" max="18" width="9.33203125" style="1" customWidth="1"/>
    <col min="19" max="19" width="9.44140625" style="1" customWidth="1"/>
    <col min="20" max="20" width="11.6640625" style="1" customWidth="1"/>
    <col min="21" max="21" width="11.5546875" style="1" customWidth="1"/>
    <col min="22" max="22" width="8.88671875" style="6"/>
    <col min="23" max="23" width="9.33203125" style="1" customWidth="1"/>
    <col min="24" max="24" width="11.5546875" style="1" customWidth="1"/>
    <col min="25" max="25" width="9.5546875" style="1" customWidth="1"/>
    <col min="26" max="16384" width="8.88671875" style="1"/>
  </cols>
  <sheetData>
    <row r="1" spans="1:26">
      <c r="A1" s="1" t="s">
        <v>0</v>
      </c>
      <c r="B1" s="1" t="s">
        <v>1</v>
      </c>
      <c r="C1" t="s">
        <v>23</v>
      </c>
      <c r="D1" t="s">
        <v>24</v>
      </c>
      <c r="E1" s="23" t="s">
        <v>12</v>
      </c>
      <c r="F1" s="24" t="s">
        <v>10</v>
      </c>
      <c r="G1" t="s">
        <v>27</v>
      </c>
      <c r="H1" s="22" t="s">
        <v>28</v>
      </c>
      <c r="I1" t="s">
        <v>29</v>
      </c>
      <c r="J1" t="s">
        <v>30</v>
      </c>
      <c r="K1" s="25" t="s">
        <v>101</v>
      </c>
      <c r="L1" s="5" t="s">
        <v>52</v>
      </c>
      <c r="M1" s="12" t="s">
        <v>73</v>
      </c>
      <c r="N1" s="12" t="s">
        <v>74</v>
      </c>
      <c r="O1" s="1" t="s">
        <v>54</v>
      </c>
      <c r="P1" s="1" t="s">
        <v>58</v>
      </c>
      <c r="Q1" s="1" t="s">
        <v>55</v>
      </c>
      <c r="R1" s="1" t="s">
        <v>56</v>
      </c>
      <c r="S1" s="1" t="s">
        <v>57</v>
      </c>
      <c r="T1" s="1" t="s">
        <v>59</v>
      </c>
      <c r="U1" s="1" t="s">
        <v>60</v>
      </c>
      <c r="V1" s="6" t="s">
        <v>53</v>
      </c>
      <c r="W1" s="1" t="s">
        <v>61</v>
      </c>
      <c r="X1" s="1" t="s">
        <v>62</v>
      </c>
      <c r="Y1" s="1" t="s">
        <v>70</v>
      </c>
      <c r="Z1" s="1" t="s">
        <v>71</v>
      </c>
    </row>
    <row r="2" spans="1:26">
      <c r="A2" s="1">
        <v>4739</v>
      </c>
      <c r="B2" s="1" t="s">
        <v>63</v>
      </c>
      <c r="C2" s="11" t="str">
        <f>[1]!'4739.TW-OperatingProfitRatio'</f>
        <v>7.95</v>
      </c>
      <c r="D2" s="11" t="str">
        <f>[1]!'4739.TW-NetProfitMargin'</f>
        <v>6.27</v>
      </c>
      <c r="E2" s="11"/>
      <c r="F2" s="11"/>
      <c r="G2" s="11" t="str">
        <f>[1]!'4739.TW-ReturnOnAssets'</f>
        <v>4.31</v>
      </c>
      <c r="H2" s="25" t="str">
        <f>[1]!'4739.TW-CashAndStockDividend'</f>
        <v>1.20</v>
      </c>
      <c r="I2" s="11" t="str">
        <f>[1]!'4739.TW-TurnoverRatio'</f>
        <v>2.02</v>
      </c>
      <c r="J2" s="11" t="str">
        <f>[1]!'4739.TW-ProfitFourSeason'</f>
        <v>4.35</v>
      </c>
      <c r="K2" s="25" t="str" cm="1">
        <f t="array" ref="K2">[1]!'4739.TW-NetProfitMargin'</f>
        <v>6.27</v>
      </c>
      <c r="L2" s="8">
        <v>44476</v>
      </c>
      <c r="M2" s="13">
        <v>9369</v>
      </c>
      <c r="O2" s="2">
        <v>0.27829999999999999</v>
      </c>
      <c r="P2" s="2">
        <v>2.0500000000000001E-2</v>
      </c>
      <c r="Q2" s="2">
        <v>3.7400000000000003E-2</v>
      </c>
      <c r="R2" s="2">
        <v>1.06E-2</v>
      </c>
      <c r="S2" s="2">
        <v>2.64E-2</v>
      </c>
      <c r="T2" s="3">
        <v>0.42270000000000002</v>
      </c>
      <c r="U2" s="3">
        <v>7.4399999999999994E-2</v>
      </c>
      <c r="V2" s="7">
        <v>6.6</v>
      </c>
      <c r="W2" s="4">
        <v>0.27710000000000001</v>
      </c>
      <c r="X2" s="4">
        <v>0.57730000000000004</v>
      </c>
      <c r="Y2" s="1" t="str">
        <f>[1]!'4739.TW-ExchangeIndustry'</f>
        <v>上市化工</v>
      </c>
      <c r="Z2" s="1" t="str">
        <f>[1]!'4739.TW-DetailIndustry'</f>
        <v>肥料,電池材料相關,強酸產品,正極材料,化學工業,其他化工產品,電子化工材料</v>
      </c>
    </row>
    <row r="3" spans="1:26">
      <c r="A3" s="1">
        <v>4721</v>
      </c>
      <c r="B3" s="1" t="s">
        <v>64</v>
      </c>
      <c r="C3" s="11" t="str">
        <f>[1]!'4721.TW-OperatingProfitRatio'</f>
        <v>10.91</v>
      </c>
      <c r="D3" s="11" t="str">
        <f>[1]!'4721.TW-NetProfitMargin'</f>
        <v>9.16</v>
      </c>
      <c r="E3" s="11"/>
      <c r="F3" s="11"/>
      <c r="G3" s="11" t="str">
        <f>[1]!'4721.TW-ReturnOnAssets'</f>
        <v>13.11</v>
      </c>
      <c r="H3" s="25" t="str">
        <f>[1]!'4721.TW-CashAndStockDividend'</f>
        <v>1.39</v>
      </c>
      <c r="I3" s="11" t="str">
        <f>[1]!'4721.TW-TurnoverRatio'</f>
        <v>1.75</v>
      </c>
      <c r="J3" s="11" t="str">
        <f>[1]!'4721.TW-ProfitFourSeason'</f>
        <v>3.71</v>
      </c>
      <c r="K3" s="25" t="str" cm="1">
        <f t="array" ref="K3">[1]!'4721.TW-NetProfitMargin'</f>
        <v>9.16</v>
      </c>
      <c r="L3" s="8">
        <v>44474</v>
      </c>
      <c r="O3" s="2">
        <v>0.51859999999999995</v>
      </c>
      <c r="P3" s="2">
        <v>0.113</v>
      </c>
      <c r="Q3" s="2">
        <v>5.4399999999999997E-2</v>
      </c>
      <c r="R3" s="2">
        <v>1.3100000000000001E-2</v>
      </c>
      <c r="S3" s="2">
        <v>0</v>
      </c>
      <c r="T3" s="3">
        <v>0.4007</v>
      </c>
      <c r="U3" s="3">
        <v>6.7500000000000004E-2</v>
      </c>
      <c r="V3" s="7">
        <v>4.83</v>
      </c>
      <c r="W3" s="4">
        <v>9.5600000000000004E-2</v>
      </c>
      <c r="X3" s="4">
        <v>0.59930000000000005</v>
      </c>
      <c r="Y3" s="1" t="str">
        <f>[1]!'4721.TW-ExchangeIndustry'</f>
        <v>上櫃化工</v>
      </c>
      <c r="Z3" s="1" t="str">
        <f>[1]!'4721.TW-DetailIndustry'</f>
        <v>電池材料相關,化學產品通路,正極材料,化學工業,其他化工產品</v>
      </c>
    </row>
    <row r="4" spans="1:26">
      <c r="A4" s="1">
        <v>2388</v>
      </c>
      <c r="B4" s="1" t="s">
        <v>65</v>
      </c>
      <c r="C4" s="11" t="str">
        <f>[1]!'2388.TW-OperatingProfitRatio'</f>
        <v>-19.16</v>
      </c>
      <c r="D4" s="11" t="str">
        <f>[1]!'2388.TW-NetProfitMargin'</f>
        <v>22.16</v>
      </c>
      <c r="E4" s="11"/>
      <c r="F4" s="11"/>
      <c r="G4" s="11" t="str">
        <f>[1]!'2388.TW-ReturnOnAssets'</f>
        <v>6.29</v>
      </c>
      <c r="H4" s="25" t="str">
        <f>[1]!'2388.TW-CashAndStockDividend'</f>
        <v>0.80</v>
      </c>
      <c r="I4" s="11" t="str">
        <f>[1]!'2388.TW-TurnoverRatio'</f>
        <v>4.64</v>
      </c>
      <c r="J4" s="11" t="str">
        <f>[1]!'2388.TW-ProfitFourSeason'</f>
        <v>11.55</v>
      </c>
      <c r="K4" s="25" t="str" cm="1">
        <f t="array" ref="K4">[1]!'2388.TW-NetProfitMargin'</f>
        <v>22.16</v>
      </c>
      <c r="L4" s="8">
        <v>44489</v>
      </c>
      <c r="O4" s="2">
        <v>5.0099999999999999E-2</v>
      </c>
      <c r="P4" s="2">
        <v>8.9999999999999998E-4</v>
      </c>
      <c r="Q4" s="2">
        <v>8.2500000000000004E-2</v>
      </c>
      <c r="R4" s="2">
        <v>1.4E-3</v>
      </c>
      <c r="S4" s="2">
        <v>0</v>
      </c>
      <c r="T4" s="3">
        <v>0.73909999999999998</v>
      </c>
      <c r="U4" s="3">
        <v>8.4000000000000005E-2</v>
      </c>
      <c r="V4" s="7">
        <v>6.5</v>
      </c>
      <c r="W4" s="4">
        <v>9.4899999999999998E-2</v>
      </c>
      <c r="X4" s="4">
        <v>0.26090000000000002</v>
      </c>
      <c r="Y4" s="1" t="str">
        <f>[1]!'2388.TW-ExchangeIndustry'</f>
        <v>上市半導體</v>
      </c>
      <c r="Z4" s="1" t="str">
        <f>[1]!'2388.TW-DetailIndustry'</f>
        <v>CPU,其他IC,IC設計,晶片組,網路通訊IC,嵌入式晶片,顯示器,數位看板</v>
      </c>
    </row>
    <row r="5" spans="1:26">
      <c r="A5" s="1">
        <v>2436</v>
      </c>
      <c r="B5" s="1" t="s">
        <v>72</v>
      </c>
      <c r="C5" s="11" t="str">
        <f>[1]!'2436.TW-OperatingProfitRatio'</f>
        <v>10.58</v>
      </c>
      <c r="D5" s="11" t="str">
        <f>[1]!'2436.TW-NetProfitMargin'</f>
        <v>21.52</v>
      </c>
      <c r="E5" s="11"/>
      <c r="F5" s="11"/>
      <c r="G5" s="11" t="str">
        <f>[1]!'2436.TW-ReturnOnAssets'</f>
        <v>12.16</v>
      </c>
      <c r="H5" s="25" t="str">
        <f>[1]!'2436.TW-CashAndStockDividend'</f>
        <v>1.60</v>
      </c>
      <c r="I5" s="11" t="str">
        <f>[1]!'2436.TW-TurnoverRatio'</f>
        <v>8.27</v>
      </c>
      <c r="J5" s="11" t="str">
        <f>[1]!'2436.TW-ProfitFourSeason'</f>
        <v>4.16</v>
      </c>
      <c r="K5" s="25" t="str" cm="1">
        <f t="array" ref="K5">[1]!'2436.TW-NetProfitMargin'</f>
        <v>21.52</v>
      </c>
      <c r="L5" s="8">
        <v>44502</v>
      </c>
      <c r="M5" s="13">
        <v>32584</v>
      </c>
      <c r="O5" s="2">
        <v>0.40660000000000002</v>
      </c>
      <c r="P5" s="2">
        <v>4.2000000000000003E-2</v>
      </c>
      <c r="Q5" s="2">
        <v>0.1197</v>
      </c>
      <c r="R5" s="2">
        <v>1.21E-2</v>
      </c>
      <c r="S5" s="2">
        <v>2.1700000000000001E-2</v>
      </c>
      <c r="T5" s="3">
        <v>0.31169999999999998</v>
      </c>
      <c r="U5" s="3">
        <v>0.15359999999999999</v>
      </c>
      <c r="V5" s="10">
        <v>3.16</v>
      </c>
      <c r="W5" s="4">
        <v>8.2699999999999996E-2</v>
      </c>
      <c r="X5" s="4">
        <v>0.68830000000000002</v>
      </c>
      <c r="Y5" s="1" t="str">
        <f>[1]!'2436.TW-ExchangeIndustry'</f>
        <v>上市半導體</v>
      </c>
      <c r="Z5" s="1" t="str">
        <f>[1]!'2436.TW-DetailIndustry'</f>
        <v>馬達IC,類比IC,IC設計,消費性IC,PC週邊IC,MCU,LED驅動IC,IC零組件通路商,電子通路</v>
      </c>
    </row>
    <row r="6" spans="1:26">
      <c r="A6" s="16">
        <v>3701</v>
      </c>
      <c r="B6" s="1" t="s">
        <v>75</v>
      </c>
      <c r="C6" s="11" t="str">
        <f>[1]!'3701.TW-OperatingProfitRatio'</f>
        <v>2.83</v>
      </c>
      <c r="D6" s="11" t="str">
        <f>[1]!'3701.TW-NetProfitMargin'</f>
        <v>5.23</v>
      </c>
      <c r="E6" s="11"/>
      <c r="F6" s="11"/>
      <c r="G6" s="11" t="str">
        <f>[1]!'3701.TW-ReturnOnAssets'</f>
        <v>4.73</v>
      </c>
      <c r="H6" s="25" t="str">
        <f>[1]!'3701.TW-CashAndStockDividend'</f>
        <v>0.00</v>
      </c>
      <c r="I6" s="11" t="str">
        <f>[1]!'3701.TW-TurnoverRatio'</f>
        <v>7.96</v>
      </c>
      <c r="J6" s="11" t="str">
        <f>[1]!'3701.TW-ProfitFourSeason'</f>
        <v>1.06</v>
      </c>
      <c r="K6" s="25" t="str" cm="1">
        <f t="array" ref="K6">[1]!'3701.TW-NetProfitMargin'</f>
        <v>5.23</v>
      </c>
      <c r="L6" s="8"/>
      <c r="O6" s="2"/>
      <c r="P6" s="2"/>
      <c r="Q6" s="2"/>
      <c r="R6" s="2"/>
      <c r="S6" s="2"/>
      <c r="T6" s="3"/>
      <c r="U6" s="3"/>
      <c r="V6" s="10"/>
      <c r="W6" s="4"/>
      <c r="X6" s="4"/>
    </row>
    <row r="8" spans="1:26">
      <c r="A8" s="1">
        <v>4739</v>
      </c>
      <c r="B8" s="1" t="s">
        <v>63</v>
      </c>
      <c r="C8" s="5" t="str">
        <f>[1]!'4739.TW-OperatingProfitRatio'</f>
        <v>7.95</v>
      </c>
      <c r="D8" s="5" t="str">
        <f>[1]!'4739.TW-NetProfitMargin'</f>
        <v>6.27</v>
      </c>
      <c r="E8" s="5"/>
      <c r="F8" s="5"/>
      <c r="G8" s="5" t="str">
        <f>[1]!'4739.TW-ReturnOnAssets'</f>
        <v>4.31</v>
      </c>
      <c r="H8" s="26" t="str">
        <f>[1]!'4739.TW-CashAndStockDividend'</f>
        <v>1.20</v>
      </c>
      <c r="I8" s="5" t="str">
        <f>[1]!'4739.TW-TurnoverRatio'</f>
        <v>2.02</v>
      </c>
      <c r="J8" s="5" t="str">
        <f>[1]!'4739.TW-ProfitFourSeason'</f>
        <v>4.35</v>
      </c>
      <c r="K8" s="25" t="str" cm="1">
        <f t="array" ref="K8">[1]!'4739.TW-NetProfitMargin'</f>
        <v>6.27</v>
      </c>
      <c r="L8" s="8">
        <v>44497</v>
      </c>
      <c r="M8" s="13">
        <v>20097</v>
      </c>
      <c r="O8" s="2">
        <v>0.3926</v>
      </c>
      <c r="P8" s="2">
        <v>6.4799999999999996E-2</v>
      </c>
      <c r="Q8" s="2">
        <v>8.8499999999999995E-2</v>
      </c>
      <c r="R8" s="2">
        <v>1.61E-2</v>
      </c>
      <c r="S8" s="2">
        <v>2.76E-2</v>
      </c>
      <c r="T8" s="3">
        <v>0.51039999999999996</v>
      </c>
      <c r="U8" s="3">
        <v>0.13220000000000001</v>
      </c>
      <c r="V8" s="7">
        <v>6.6</v>
      </c>
      <c r="W8" s="4">
        <v>0.27710000000000001</v>
      </c>
      <c r="X8" s="4">
        <v>0.48959999999999998</v>
      </c>
      <c r="Y8" s="1" t="str">
        <f>[1]!'4739.TW-ExchangeIndustry'</f>
        <v>上市化工</v>
      </c>
      <c r="Z8" s="1" t="str">
        <f>[1]!'4739.TW-DetailIndustry'</f>
        <v>肥料,電池材料相關,強酸產品,正極材料,化學工業,其他化工產品,電子化工材料</v>
      </c>
    </row>
    <row r="9" spans="1:26">
      <c r="A9" s="1">
        <v>4739</v>
      </c>
      <c r="B9" s="1" t="s">
        <v>63</v>
      </c>
      <c r="C9" s="5" t="str">
        <f>[1]!'4739.TW-OperatingProfitRatio'</f>
        <v>7.95</v>
      </c>
      <c r="D9" s="5" t="str">
        <f>[1]!'4739.TW-NetProfitMargin'</f>
        <v>6.27</v>
      </c>
      <c r="E9" s="5"/>
      <c r="F9" s="5"/>
      <c r="G9" s="5" t="str">
        <f>[1]!'4739.TW-ReturnOnAssets'</f>
        <v>4.31</v>
      </c>
      <c r="H9" s="26" t="str">
        <f>[1]!'4739.TW-CashAndStockDividend'</f>
        <v>1.20</v>
      </c>
      <c r="I9" s="5" t="str">
        <f>[1]!'4739.TW-TurnoverRatio'</f>
        <v>2.02</v>
      </c>
      <c r="J9" s="5" t="str">
        <f>[1]!'4739.TW-ProfitFourSeason'</f>
        <v>4.35</v>
      </c>
      <c r="K9" s="25" t="str" cm="1">
        <f t="array" ref="K9">[1]!'4739.TW-NetProfitMargin'</f>
        <v>6.27</v>
      </c>
      <c r="L9" s="8">
        <v>44498</v>
      </c>
      <c r="M9" s="13">
        <v>34542</v>
      </c>
      <c r="O9" s="2">
        <v>0.43790000000000001</v>
      </c>
      <c r="P9" s="2">
        <v>0.1031</v>
      </c>
      <c r="Q9" s="2">
        <v>7.6200000000000004E-2</v>
      </c>
      <c r="R9" s="2">
        <v>1.1299999999999999E-2</v>
      </c>
      <c r="S9" s="2">
        <v>2.6599999999999999E-2</v>
      </c>
      <c r="T9" s="3">
        <v>0.51039999999999996</v>
      </c>
      <c r="U9" s="3">
        <v>0.11409999999999999</v>
      </c>
      <c r="V9" s="7">
        <v>6.6</v>
      </c>
      <c r="W9" s="4">
        <v>0.27710000000000001</v>
      </c>
      <c r="X9" s="4">
        <v>0.48959999999999998</v>
      </c>
      <c r="Y9" s="1" t="str">
        <f>[1]!'4739.TW-ExchangeIndustry'</f>
        <v>上市化工</v>
      </c>
      <c r="Z9" s="1" t="str">
        <f>[1]!'4739.TW-DetailIndustry'</f>
        <v>肥料,電池材料相關,強酸產品,正極材料,化學工業,其他化工產品,電子化工材料</v>
      </c>
    </row>
    <row r="10" spans="1:26">
      <c r="A10" s="1">
        <v>4739</v>
      </c>
      <c r="B10" s="1" t="s">
        <v>63</v>
      </c>
      <c r="C10" s="5" t="str">
        <f>[1]!'4739.TW-OperatingProfitRatio'</f>
        <v>7.95</v>
      </c>
      <c r="D10" s="5" t="str">
        <f>[1]!'4739.TW-NetProfitMargin'</f>
        <v>6.27</v>
      </c>
      <c r="E10" s="5"/>
      <c r="F10" s="5"/>
      <c r="G10" s="5" t="str">
        <f>[1]!'4739.TW-ReturnOnAssets'</f>
        <v>4.31</v>
      </c>
      <c r="H10" s="26" t="str">
        <f>[1]!'4739.TW-CashAndStockDividend'</f>
        <v>1.20</v>
      </c>
      <c r="I10" s="5" t="str">
        <f>[1]!'4739.TW-TurnoverRatio'</f>
        <v>2.02</v>
      </c>
      <c r="J10" s="5" t="str">
        <f>[1]!'4739.TW-ProfitFourSeason'</f>
        <v>4.35</v>
      </c>
      <c r="K10" s="25" t="str" cm="1">
        <f t="array" ref="K10">[1]!'4739.TW-NetProfitMargin'</f>
        <v>6.27</v>
      </c>
      <c r="L10" s="9">
        <v>44501</v>
      </c>
      <c r="M10" s="14">
        <v>48469</v>
      </c>
      <c r="O10" s="15">
        <v>0.38790000000000002</v>
      </c>
      <c r="P10" s="15">
        <v>8.3799999999999999E-2</v>
      </c>
      <c r="Q10" s="2">
        <v>8.7300000000000003E-2</v>
      </c>
      <c r="R10" s="2">
        <v>8.5000000000000006E-3</v>
      </c>
      <c r="S10" s="2">
        <v>2.6599999999999999E-2</v>
      </c>
      <c r="T10" s="3">
        <v>0.42270000000000002</v>
      </c>
      <c r="U10" s="3">
        <v>0.12239999999999999</v>
      </c>
      <c r="V10" s="7">
        <v>6.6</v>
      </c>
      <c r="W10" s="4">
        <v>0.27710000000000001</v>
      </c>
      <c r="X10" s="4">
        <v>0.48959999999999998</v>
      </c>
      <c r="Y10" s="1" t="str">
        <f>[1]!'4739.TW-ExchangeIndustry'</f>
        <v>上市化工</v>
      </c>
      <c r="Z10" s="1" t="str">
        <f>[1]!'4739.TW-DetailIndustry'</f>
        <v>肥料,電池材料相關,強酸產品,正極材料,化學工業,其他化工產品,電子化工材料</v>
      </c>
    </row>
    <row r="11" spans="1:26">
      <c r="A11" s="1">
        <v>4739</v>
      </c>
      <c r="B11" s="1" t="s">
        <v>63</v>
      </c>
      <c r="C11" s="5" t="str">
        <f>[1]!'4739.TW-OperatingProfitRatio'</f>
        <v>7.95</v>
      </c>
      <c r="D11" s="5" t="str">
        <f>[1]!'4739.TW-NetProfitMargin'</f>
        <v>6.27</v>
      </c>
      <c r="E11" s="5"/>
      <c r="F11" s="5"/>
      <c r="G11" s="5" t="str">
        <f>[1]!'4739.TW-ReturnOnAssets'</f>
        <v>4.31</v>
      </c>
      <c r="H11" s="26" t="str">
        <f>[1]!'4739.TW-CashAndStockDividend'</f>
        <v>1.20</v>
      </c>
      <c r="I11" s="5" t="str">
        <f>[1]!'4739.TW-TurnoverRatio'</f>
        <v>2.02</v>
      </c>
      <c r="J11" s="5" t="str">
        <f>[1]!'4739.TW-ProfitFourSeason'</f>
        <v>4.35</v>
      </c>
      <c r="K11" s="25" t="str" cm="1">
        <f t="array" ref="K11">[1]!'4739.TW-NetProfitMargin'</f>
        <v>6.27</v>
      </c>
      <c r="L11" s="9">
        <v>44502</v>
      </c>
      <c r="M11" s="13">
        <v>28915</v>
      </c>
      <c r="O11" s="2">
        <v>0.36380000000000001</v>
      </c>
      <c r="P11" s="2">
        <v>5.57E-2</v>
      </c>
      <c r="Q11" s="2">
        <v>9.4500000000000001E-2</v>
      </c>
      <c r="R11" s="2">
        <v>4.7000000000000002E-3</v>
      </c>
      <c r="S11" s="2">
        <v>2.6599999999999999E-2</v>
      </c>
      <c r="T11" s="3">
        <v>0.42270000000000002</v>
      </c>
      <c r="U11" s="3">
        <v>0.1258</v>
      </c>
      <c r="V11" s="7">
        <v>6.6</v>
      </c>
      <c r="W11" s="4">
        <v>0.27710000000000001</v>
      </c>
      <c r="X11" s="4">
        <v>0.48959999999999998</v>
      </c>
      <c r="Y11" s="1" t="str">
        <f>[1]!'4739.TW-ExchangeIndustry'</f>
        <v>上市化工</v>
      </c>
      <c r="Z11" s="1" t="str">
        <f>[1]!'4739.TW-DetailIndustry'</f>
        <v>肥料,電池材料相關,強酸產品,正極材料,化學工業,其他化工產品,電子化工材料</v>
      </c>
    </row>
    <row r="12" spans="1:26">
      <c r="C12" s="11"/>
      <c r="D12" s="11"/>
      <c r="E12" s="11"/>
      <c r="F12" s="11"/>
      <c r="G12" s="11"/>
      <c r="H12" s="25"/>
      <c r="I12" s="11"/>
      <c r="J12" s="11"/>
      <c r="K12" s="25"/>
      <c r="L12" s="8"/>
      <c r="O12" s="2"/>
      <c r="P12" s="2"/>
      <c r="Q12" s="2"/>
      <c r="R12" s="2"/>
      <c r="S12" s="2"/>
      <c r="T12" s="3"/>
      <c r="U12" s="3"/>
      <c r="V12" s="7"/>
      <c r="W12" s="4"/>
      <c r="X12" s="4"/>
    </row>
    <row r="13" spans="1:26">
      <c r="A13" s="1">
        <v>4919</v>
      </c>
      <c r="B13" s="1" t="s">
        <v>66</v>
      </c>
      <c r="C13" s="11" t="str">
        <f>[1]!'4919.TW-OperatingProfitRatio'</f>
        <v>6.80</v>
      </c>
      <c r="D13" s="11" t="str">
        <f>[1]!'4919.TW-NetProfitMargin'</f>
        <v>5.96</v>
      </c>
      <c r="E13" s="11"/>
      <c r="F13" s="11"/>
      <c r="G13" s="11" t="str">
        <f>[1]!'4919.TW-ReturnOnAssets'</f>
        <v>5.94</v>
      </c>
      <c r="H13" s="25" t="str">
        <f>[1]!'4919.TW-CashAndStockDividend'</f>
        <v>0.76</v>
      </c>
      <c r="I13" s="11" t="str">
        <f>[1]!'4919.TW-TurnoverRatio'</f>
        <v>2.01</v>
      </c>
      <c r="J13" s="11" t="str">
        <f>[1]!'4919.TW-ProfitFourSeason'</f>
        <v>5.15</v>
      </c>
      <c r="K13" s="25" t="str" cm="1">
        <f t="array" ref="K13">[1]!'4919.TW-NetProfitMargin'</f>
        <v>5.96</v>
      </c>
      <c r="L13" s="9">
        <v>44494</v>
      </c>
      <c r="O13" s="2">
        <v>0.20150000000000001</v>
      </c>
      <c r="P13" s="2">
        <v>3.2099999999999997E-2</v>
      </c>
      <c r="Q13" s="2">
        <v>6.2799999999999995E-2</v>
      </c>
      <c r="R13" s="2">
        <v>5.1000000000000004E-3</v>
      </c>
      <c r="S13" s="2">
        <v>5.3199999999999997E-2</v>
      </c>
      <c r="T13" s="4">
        <v>0.70199999999999996</v>
      </c>
      <c r="U13" s="4">
        <v>0.1212</v>
      </c>
      <c r="V13" s="7">
        <v>36.36</v>
      </c>
      <c r="W13" s="4">
        <v>0.53</v>
      </c>
      <c r="X13" s="3">
        <v>0.29799999999999999</v>
      </c>
      <c r="Y13" s="1" t="str">
        <f>[1]!'4919.TW-ExchangeIndustry'</f>
        <v>上市半導體</v>
      </c>
      <c r="Z13" s="1" t="str">
        <f>[1]!'4919.TW-DetailIndustry'</f>
        <v>IC生產,專業晶圓代工,類比IC,IO控制IC,IC設計,消費性IC,PC週邊IC,MCU,影音IC,CMOS晶片,IC製造</v>
      </c>
    </row>
    <row r="14" spans="1:26">
      <c r="A14" s="1">
        <v>3017</v>
      </c>
      <c r="B14" s="1" t="s">
        <v>69</v>
      </c>
      <c r="C14" s="11" t="str">
        <f>[1]!'3017.TW-OperatingProfitRatio'</f>
        <v>9.75</v>
      </c>
      <c r="D14" s="11" t="str">
        <f>[1]!'3017.TW-NetProfitMargin'</f>
        <v>7.22</v>
      </c>
      <c r="E14" s="11"/>
      <c r="F14" s="11"/>
      <c r="G14" s="11" t="str">
        <f>[1]!'3017.TW-ReturnOnAssets'</f>
        <v>6.07</v>
      </c>
      <c r="H14" s="25" t="str">
        <f>[1]!'3017.TW-CashAndStockDividend'</f>
        <v>2.80</v>
      </c>
      <c r="I14" s="11" t="str">
        <f>[1]!'3017.TW-TurnoverRatio'</f>
        <v>1.12</v>
      </c>
      <c r="J14" s="11" t="str">
        <f>[1]!'3017.TW-ProfitFourSeason'</f>
        <v>7.65</v>
      </c>
      <c r="K14" s="25" t="str" cm="1">
        <f t="array" ref="K14">[1]!'3017.TW-NetProfitMargin'</f>
        <v>7.22</v>
      </c>
      <c r="L14" s="9">
        <v>44494</v>
      </c>
      <c r="O14" s="2">
        <v>0.20669999999999999</v>
      </c>
      <c r="P14" s="2">
        <v>1.0200000000000001E-2</v>
      </c>
      <c r="Q14" s="2">
        <v>0.41649999999999998</v>
      </c>
      <c r="R14" s="2">
        <v>7.0000000000000001E-3</v>
      </c>
      <c r="S14" s="2">
        <v>7.0599999999999996E-2</v>
      </c>
      <c r="T14" s="3">
        <v>0.6774</v>
      </c>
      <c r="U14" s="4">
        <v>0.49399999999999999</v>
      </c>
      <c r="V14" s="7">
        <v>40.200000000000003</v>
      </c>
      <c r="W14" s="3">
        <v>0.1767</v>
      </c>
      <c r="X14" s="4">
        <v>0.3226</v>
      </c>
      <c r="Y14" s="1" t="str">
        <f>[1]!'3017.TW-ExchangeIndustry'</f>
        <v>上市電腦及週邊設備</v>
      </c>
      <c r="Z14" s="1" t="str">
        <f>[1]!'3017.TW-DetailIndustry'</f>
        <v>機殼,散熱風扇馬達,電子零件元件,散熱模組,熱導管</v>
      </c>
    </row>
    <row r="15" spans="1:26">
      <c r="A15" s="1">
        <v>2312</v>
      </c>
      <c r="B15" s="1" t="s">
        <v>67</v>
      </c>
      <c r="C15" s="11" t="str">
        <f>[1]!'2312.TW-OperatingProfitRatio'</f>
        <v>1.34</v>
      </c>
      <c r="D15" s="11" t="str">
        <f>[1]!'2312.TW-NetProfitMargin'</f>
        <v>0.57</v>
      </c>
      <c r="E15" s="11"/>
      <c r="F15" s="11"/>
      <c r="G15" s="11" t="str">
        <f>[1]!'2312.TW-ReturnOnAssets'</f>
        <v>1.07</v>
      </c>
      <c r="H15" s="25" t="str">
        <f>[1]!'2312.TW-CashAndStockDividend'</f>
        <v>0.29</v>
      </c>
      <c r="I15" s="11" t="str">
        <f>[1]!'2312.TW-TurnoverRatio'</f>
        <v>2.81</v>
      </c>
      <c r="J15" s="11" t="str">
        <f>[1]!'2312.TW-ProfitFourSeason'</f>
        <v>-0.09</v>
      </c>
      <c r="K15" s="25" t="str" cm="1">
        <f t="array" ref="K15">[1]!'2312.TW-NetProfitMargin'</f>
        <v>0.57</v>
      </c>
      <c r="L15" s="9">
        <v>44497</v>
      </c>
      <c r="O15" s="2">
        <v>0.1087</v>
      </c>
      <c r="P15" s="2">
        <v>5.0000000000000001E-4</v>
      </c>
      <c r="Q15" s="2">
        <v>9.1999999999999998E-2</v>
      </c>
      <c r="R15" s="2">
        <v>2.0000000000000001E-4</v>
      </c>
      <c r="S15" s="2">
        <v>2.0000000000000001E-4</v>
      </c>
      <c r="T15" s="4">
        <v>0.56710000000000005</v>
      </c>
      <c r="U15" s="4">
        <v>9.2399999999999996E-2</v>
      </c>
      <c r="V15" s="10">
        <v>115.26</v>
      </c>
      <c r="W15" s="3">
        <v>9.7699999999999995E-2</v>
      </c>
      <c r="X15" s="3">
        <v>0.43290000000000001</v>
      </c>
      <c r="Y15" s="1" t="str">
        <f>[1]!'2312.TW-ExchangeIndustry'</f>
        <v>上市其他電子</v>
      </c>
      <c r="Z15" s="1" t="str">
        <f>[1]!'2312.TW-DetailIndustry'</f>
        <v>筆記型電腦製造,通訊設備,手機,手機製造,區域網路,視訊轉換相關,消費性電子產品,週邊產品,印表機,3D印表機,硬碟相關,電子製造服務,電腦系統業</v>
      </c>
    </row>
    <row r="16" spans="1:26">
      <c r="A16" s="1">
        <v>3530</v>
      </c>
      <c r="B16" s="1" t="s">
        <v>68</v>
      </c>
      <c r="C16" s="11" t="str">
        <f>[1]!'3530.TW-OperatingProfitRatio'</f>
        <v>23.50</v>
      </c>
      <c r="D16" s="11" t="str">
        <f>[1]!'3530.TW-NetProfitMargin'</f>
        <v>19.60</v>
      </c>
      <c r="E16" s="11"/>
      <c r="F16" s="11"/>
      <c r="G16" s="11" t="str">
        <f>[1]!'3530.TW-ReturnOnAssets'</f>
        <v>18.44</v>
      </c>
      <c r="H16" s="25" t="str">
        <f>[1]!'3530.TW-CashAndStockDividend'</f>
        <v>2.80</v>
      </c>
      <c r="I16" s="11" t="str">
        <f>[1]!'3530.TW-TurnoverRatio'</f>
        <v>1.23</v>
      </c>
      <c r="J16" s="11" t="str">
        <f>[1]!'3530.TW-ProfitFourSeason'</f>
        <v>9.66</v>
      </c>
      <c r="K16" s="25" t="str" cm="1">
        <f t="array" ref="K16">[1]!'3530.TW-NetProfitMargin'</f>
        <v>19.60</v>
      </c>
      <c r="L16" s="9">
        <v>44496</v>
      </c>
      <c r="O16" s="2">
        <v>0.33119999999999999</v>
      </c>
      <c r="P16" s="2">
        <v>2.9899999999999999E-2</v>
      </c>
      <c r="Q16" s="2">
        <v>0.49519999999999997</v>
      </c>
      <c r="R16" s="2">
        <v>8.5000000000000006E-3</v>
      </c>
      <c r="S16" s="2">
        <v>2.5000000000000001E-3</v>
      </c>
      <c r="T16" s="4">
        <v>0.4914</v>
      </c>
      <c r="U16" s="4">
        <v>0.50619999999999998</v>
      </c>
      <c r="V16" s="10">
        <v>2.77</v>
      </c>
      <c r="W16" s="4">
        <v>0.311</v>
      </c>
      <c r="X16" s="3">
        <v>0.50860000000000005</v>
      </c>
      <c r="Y16" s="1" t="str">
        <f>[1]!'3530.TW-ExchangeIndustry'</f>
        <v>上市半導體</v>
      </c>
      <c r="Z16" s="1" t="str">
        <f>[1]!'3530.TW-DetailIndustry'</f>
        <v>IC設計,CMOS晶片</v>
      </c>
    </row>
    <row r="17" spans="1:26">
      <c r="A17" s="1">
        <v>2436</v>
      </c>
      <c r="B17" s="1" t="s">
        <v>72</v>
      </c>
      <c r="C17" s="11" t="str">
        <f>[1]!'2436.TW-OperatingProfitRatio'</f>
        <v>10.58</v>
      </c>
      <c r="D17" s="11" t="str">
        <f>[1]!'2436.TW-NetProfitMargin'</f>
        <v>21.52</v>
      </c>
      <c r="E17" s="11"/>
      <c r="F17" s="11"/>
      <c r="G17" s="11" t="str">
        <f>[1]!'2436.TW-ReturnOnAssets'</f>
        <v>12.16</v>
      </c>
      <c r="H17" s="25" t="str">
        <f>[1]!'2436.TW-CashAndStockDividend'</f>
        <v>1.60</v>
      </c>
      <c r="I17" s="11" t="str">
        <f>[1]!'2436.TW-TurnoverRatio'</f>
        <v>8.27</v>
      </c>
      <c r="J17" s="11" t="str">
        <f>[1]!'2436.TW-ProfitFourSeason'</f>
        <v>4.16</v>
      </c>
      <c r="K17" s="25" t="str" cm="1">
        <f t="array" ref="K17">[1]!'2436.TW-NetProfitMargin'</f>
        <v>21.52</v>
      </c>
      <c r="L17" s="9">
        <v>44503</v>
      </c>
      <c r="M17" s="13">
        <v>37412</v>
      </c>
      <c r="O17" s="2">
        <v>0.40639999999999998</v>
      </c>
      <c r="P17" s="2">
        <v>3.0899999999999997E-2</v>
      </c>
      <c r="Q17" s="2">
        <v>8.0500000000000002E-2</v>
      </c>
      <c r="R17" s="2">
        <v>9.9000000000000008E-3</v>
      </c>
      <c r="S17" s="2">
        <v>2.1700000000000001E-2</v>
      </c>
      <c r="T17" s="3">
        <v>0.31169999999999998</v>
      </c>
      <c r="U17" s="4">
        <v>0.11210000000000001</v>
      </c>
      <c r="V17" s="10">
        <v>3.16</v>
      </c>
      <c r="W17" s="4">
        <v>8.2699999999999996E-2</v>
      </c>
      <c r="X17" s="4">
        <v>0.68830000000000002</v>
      </c>
      <c r="Y17" s="1" t="str">
        <f>[1]!'2436.TW-ExchangeIndustry'</f>
        <v>上市半導體</v>
      </c>
      <c r="Z17" s="1" t="str">
        <f>[1]!'2436.TW-DetailIndustry'</f>
        <v>馬達IC,類比IC,IC設計,消費性IC,PC週邊IC,MCU,LED驅動IC,IC零組件通路商,電子通路</v>
      </c>
    </row>
    <row r="19" spans="1:26" s="17" customFormat="1">
      <c r="A19" s="31">
        <v>44504</v>
      </c>
      <c r="B19" s="31"/>
      <c r="H19" s="27"/>
      <c r="K19" s="27"/>
      <c r="M19" s="18"/>
      <c r="N19" s="18"/>
      <c r="V19" s="19"/>
    </row>
    <row r="20" spans="1:26">
      <c r="A20" s="20">
        <v>2614</v>
      </c>
      <c r="B20" s="21" t="s">
        <v>76</v>
      </c>
      <c r="C20" s="11" t="str">
        <f t="array" ref="C20">[1]!'2614.TW-OperatingProfitRatio'</f>
        <v>2.74</v>
      </c>
      <c r="D20" s="11" t="str">
        <f t="array" ref="D20:K20">[1]!'2614.TW-NetProfitMargin,TFXRatio,MonthlyNetSalesYoY,ReturnOnAssets,DividendYear,TurnoverRatio,ProfitFourSeason,CashDividendYieldRate,StockNetValue,ExchangeIndustry'</f>
        <v>16.27</v>
      </c>
      <c r="E20" s="11" t="str">
        <v>2.56</v>
      </c>
      <c r="F20" s="11" t="str">
        <v>19.42</v>
      </c>
      <c r="G20" s="11" t="str">
        <v>4.92</v>
      </c>
      <c r="H20" s="25">
        <v>0.8</v>
      </c>
      <c r="I20" s="11" t="str">
        <v>0.95</v>
      </c>
      <c r="J20" s="11" t="str">
        <v>1.46</v>
      </c>
      <c r="K20" s="25">
        <v>2.5</v>
      </c>
      <c r="M20" s="1">
        <f>VLOOKUP($A20,'選股資料（日）'!$B$6:$M$32,6,0)</f>
        <v>94939</v>
      </c>
      <c r="O20" s="1">
        <f>VLOOKUP($A20,'選股資料（日）'!$B$6:$M$32,7,0)</f>
        <v>18.989999999999998</v>
      </c>
      <c r="P20" s="1">
        <f>VLOOKUP($A20,'選股資料（日）'!$B$6:$M$32,8,0)</f>
        <v>3.54</v>
      </c>
      <c r="Q20" s="1">
        <f>VLOOKUP($A20,'選股資料（日）'!$B$6:$M$32,9,0)</f>
        <v>3.96</v>
      </c>
      <c r="R20" s="1">
        <f>VLOOKUP($A20,'選股資料（日）'!$B$6:$M$32,10,0)</f>
        <v>1.36</v>
      </c>
      <c r="S20" s="1">
        <f>VLOOKUP($A20,'選股資料（日）'!$B$6:$M$32,11,0)</f>
        <v>0</v>
      </c>
      <c r="T20" s="1">
        <f>VLOOKUP($A20,'選股資料（週）'!$B$6:$M$32,7,0)</f>
        <v>43.06</v>
      </c>
      <c r="U20" s="1">
        <f>VLOOKUP($A20,'選股資料（日）'!$B$6:$M$32,12,0)</f>
        <v>5.33</v>
      </c>
      <c r="V20" s="10">
        <v>4.75</v>
      </c>
      <c r="W20" s="29">
        <v>5.58</v>
      </c>
      <c r="X20" s="1">
        <f>VLOOKUP($A20,'選股資料（週）'!$B$6:$M$32,8,0)</f>
        <v>56.94</v>
      </c>
    </row>
    <row r="21" spans="1:26">
      <c r="A21" s="20">
        <v>2312</v>
      </c>
      <c r="B21" s="21" t="s">
        <v>67</v>
      </c>
      <c r="C21" s="11" t="str">
        <f t="array" ref="C21">[1]!'2312.TW-OperatingProfitRatio'</f>
        <v>1.34</v>
      </c>
      <c r="D21" s="11" t="str">
        <f t="array" ref="D21:K21">[1]!'2312.TW-NetProfitMargin,TFXRatio,MonthlyNetSalesYoY,ReturnOnAssets,DividendYear,TurnoverRatio,ProfitFourSeason,CashDividendYieldRate,StockNetValue,ExchangeIndustry'</f>
        <v>0.57</v>
      </c>
      <c r="E21" s="11" t="str">
        <v>1.94</v>
      </c>
      <c r="F21" s="11" t="str">
        <v>3.89</v>
      </c>
      <c r="G21" s="11" t="str">
        <v>1.07</v>
      </c>
      <c r="H21" s="25">
        <v>0.28999999999999998</v>
      </c>
      <c r="I21" s="11" t="str">
        <v>2.81</v>
      </c>
      <c r="J21" s="11" t="str">
        <v>-0.09</v>
      </c>
      <c r="K21" s="25">
        <v>1.94</v>
      </c>
      <c r="M21" s="1">
        <f>VLOOKUP($A21,'選股資料（日）'!$B$6:$M$32,6,0)</f>
        <v>97417</v>
      </c>
      <c r="O21" s="1">
        <f>VLOOKUP($A21,'選股資料（日）'!$B$6:$M$32,7,0)</f>
        <v>12.65</v>
      </c>
      <c r="P21" s="1">
        <f>VLOOKUP($A21,'選股資料（日）'!$B$6:$M$32,8,0)</f>
        <v>0.15</v>
      </c>
      <c r="Q21" s="1">
        <f>VLOOKUP($A21,'選股資料（日）'!$B$6:$M$32,9,0)</f>
        <v>8.85</v>
      </c>
      <c r="R21" s="1">
        <f>VLOOKUP($A21,'選股資料（日）'!$B$6:$M$32,10,0)</f>
        <v>0.11</v>
      </c>
      <c r="S21" s="1">
        <f>VLOOKUP($A21,'選股資料（日）'!$B$6:$M$32,11,0)</f>
        <v>0.02</v>
      </c>
      <c r="T21" s="1">
        <f>VLOOKUP($A21,'選股資料（週）'!$B$6:$M$32,7,0)</f>
        <v>56.71</v>
      </c>
      <c r="U21" s="1">
        <f>VLOOKUP($A21,'選股資料（日）'!$B$6:$M$32,12,0)</f>
        <v>8.9700000000000006</v>
      </c>
      <c r="V21" s="10">
        <v>115.26</v>
      </c>
      <c r="W21" s="29">
        <v>9.77</v>
      </c>
      <c r="X21" s="1">
        <f>VLOOKUP($A21,'選股資料（週）'!$B$6:$M$32,8,0)</f>
        <v>43.29</v>
      </c>
    </row>
    <row r="22" spans="1:26">
      <c r="A22" s="20">
        <v>1710</v>
      </c>
      <c r="B22" s="21" t="s">
        <v>82</v>
      </c>
      <c r="C22" s="11" t="str">
        <f t="array" ref="C22">[1]!'1710.TW-OperatingProfitRatio'</f>
        <v>5.89</v>
      </c>
      <c r="D22" s="11" t="str">
        <f t="array" ref="D22:K22">[1]!'1710.TW-NetProfitMargin,TFXRatio,MonthlyNetSalesYoY,ReturnOnAssets,DividendYear,TurnoverRatio,ProfitFourSeason,CashDividendYieldRate,StockNetValue,ExchangeIndustry'</f>
        <v>5.75</v>
      </c>
      <c r="E22" s="11" t="str">
        <v>-17.26</v>
      </c>
      <c r="F22" s="11" t="str">
        <v>14.10</v>
      </c>
      <c r="G22" s="11" t="str">
        <v>3.97</v>
      </c>
      <c r="H22" s="25">
        <v>0</v>
      </c>
      <c r="I22" s="11" t="str">
        <v>0.63</v>
      </c>
      <c r="J22" s="11" t="str">
        <v>0.41</v>
      </c>
      <c r="K22" s="25">
        <v>0</v>
      </c>
      <c r="M22" s="1">
        <f>VLOOKUP($A22,'選股資料（日）'!$B$6:$M$32,6,0)</f>
        <v>26575</v>
      </c>
      <c r="O22" s="1">
        <f>VLOOKUP($A22,'選股資料（日）'!$B$6:$M$32,7,0)</f>
        <v>10.81</v>
      </c>
      <c r="P22" s="1">
        <f>VLOOKUP($A22,'選股資料（日）'!$B$6:$M$32,8,0)</f>
        <v>0.38</v>
      </c>
      <c r="Q22" s="1">
        <f>VLOOKUP($A22,'選股資料（日）'!$B$6:$M$32,9,0)</f>
        <v>7.62</v>
      </c>
      <c r="R22" s="1">
        <f>VLOOKUP($A22,'選股資料（日）'!$B$6:$M$32,10,0)</f>
        <v>0.96</v>
      </c>
      <c r="S22" s="1">
        <f>VLOOKUP($A22,'選股資料（日）'!$B$6:$M$32,11,0)</f>
        <v>0.1</v>
      </c>
      <c r="T22" s="1">
        <f>VLOOKUP($A22,'選股資料（週）'!$B$6:$M$32,7,0)</f>
        <v>66.5</v>
      </c>
      <c r="U22" s="1">
        <f>VLOOKUP($A22,'選股資料（日）'!$B$6:$M$32,12,0)</f>
        <v>8.68</v>
      </c>
      <c r="V22" s="10">
        <v>21.73</v>
      </c>
      <c r="W22" s="29">
        <v>9.3800000000000008</v>
      </c>
      <c r="X22" s="1">
        <f>VLOOKUP($A22,'選股資料（週）'!$B$6:$M$32,8,0)</f>
        <v>33.5</v>
      </c>
    </row>
    <row r="23" spans="1:26">
      <c r="A23" s="20">
        <v>3704</v>
      </c>
      <c r="B23" s="21" t="s">
        <v>89</v>
      </c>
      <c r="C23" s="11" t="str">
        <f t="array" ref="C23">[1]!'3704.TW-OperatingProfitRatio'</f>
        <v>6.32</v>
      </c>
      <c r="D23" s="11" t="str">
        <f t="array" ref="D23:K23">[1]!'3704.TW-NetProfitMargin,TFXRatio,MonthlyNetSalesYoY,ReturnOnAssets,DividendYear,TurnoverRatio,ProfitFourSeason,CashDividendYieldRate,StockNetValue,ExchangeIndustry'</f>
        <v>4.77</v>
      </c>
      <c r="E23" s="11" t="str">
        <v>-0.24</v>
      </c>
      <c r="F23" s="11" t="str">
        <v>-2.94</v>
      </c>
      <c r="G23" s="11" t="str">
        <v>4.72</v>
      </c>
      <c r="H23" s="25">
        <v>0.5</v>
      </c>
      <c r="I23" s="11" t="str">
        <v>8.30</v>
      </c>
      <c r="J23" s="11" t="str">
        <v>3.08</v>
      </c>
      <c r="K23" s="25">
        <v>1.44</v>
      </c>
      <c r="M23" s="1">
        <f>VLOOKUP($A23,'選股資料（日）'!$B$6:$M$32,6,0)</f>
        <v>41935</v>
      </c>
      <c r="O23" s="1">
        <f>VLOOKUP($A23,'選股資料（日）'!$B$6:$M$32,7,0)</f>
        <v>18.63</v>
      </c>
      <c r="P23" s="1">
        <f>VLOOKUP($A23,'選股資料（日）'!$B$6:$M$32,8,0)</f>
        <v>0.43</v>
      </c>
      <c r="Q23" s="1">
        <f>VLOOKUP($A23,'選股資料（日）'!$B$6:$M$32,9,0)</f>
        <v>7.76</v>
      </c>
      <c r="R23" s="1">
        <f>VLOOKUP($A23,'選股資料（日）'!$B$6:$M$32,10,0)</f>
        <v>0.63</v>
      </c>
      <c r="S23" s="1">
        <f>VLOOKUP($A23,'選股資料（日）'!$B$6:$M$32,11,0)</f>
        <v>0.95</v>
      </c>
      <c r="T23" s="1">
        <f>VLOOKUP($A23,'選股資料（週）'!$B$6:$M$32,7,0)</f>
        <v>56.94</v>
      </c>
      <c r="U23" s="1">
        <f>VLOOKUP($A23,'選股資料（日）'!$B$6:$M$32,12,0)</f>
        <v>9.34</v>
      </c>
      <c r="V23" s="7">
        <v>22.67</v>
      </c>
      <c r="W23" s="30">
        <v>29.84</v>
      </c>
      <c r="X23" s="1">
        <f>VLOOKUP($A23,'選股資料（週）'!$B$6:$M$32,8,0)</f>
        <v>43.06</v>
      </c>
    </row>
    <row r="24" spans="1:26">
      <c r="A24" s="20">
        <v>1440</v>
      </c>
      <c r="B24" s="21" t="s">
        <v>91</v>
      </c>
      <c r="C24" s="11" t="str">
        <f t="array" ref="C24">[1]!'1440.TW-OperatingProfitRatio'</f>
        <v>6.43</v>
      </c>
      <c r="D24" s="11" t="str">
        <f t="array" ref="D24:K24">[1]!'1440.TW-NetProfitMargin,TFXRatio,MonthlyNetSalesYoY,ReturnOnAssets,DividendYear,TurnoverRatio,ProfitFourSeason,CashDividendYieldRate,StockNetValue,ExchangeIndustry'</f>
        <v>17.38</v>
      </c>
      <c r="E24" s="11" t="str">
        <v>13.17</v>
      </c>
      <c r="F24" s="11" t="str">
        <v>6.67</v>
      </c>
      <c r="G24" s="11" t="str">
        <v>5.57</v>
      </c>
      <c r="H24" s="25">
        <v>0.35</v>
      </c>
      <c r="I24" s="11" t="str">
        <v>9.30</v>
      </c>
      <c r="J24" s="11" t="str">
        <v>1.97</v>
      </c>
      <c r="K24" s="25">
        <v>1.33</v>
      </c>
      <c r="M24" s="1">
        <f>VLOOKUP($A24,'選股資料（日）'!$B$6:$M$32,6,0)</f>
        <v>24959</v>
      </c>
      <c r="O24" s="1">
        <f>VLOOKUP($A24,'選股資料（日）'!$B$6:$M$32,7,0)</f>
        <v>7.38</v>
      </c>
      <c r="P24" s="1">
        <f>VLOOKUP($A24,'選股資料（日）'!$B$6:$M$32,8,0)</f>
        <v>0.28999999999999998</v>
      </c>
      <c r="Q24" s="1">
        <f>VLOOKUP($A24,'選股資料（日）'!$B$6:$M$32,9,0)</f>
        <v>6.22</v>
      </c>
      <c r="R24" s="1">
        <f>VLOOKUP($A24,'選股資料（日）'!$B$6:$M$32,10,0)</f>
        <v>0.23</v>
      </c>
      <c r="S24" s="1">
        <f>VLOOKUP($A24,'選股資料（日）'!$B$6:$M$32,11,0)</f>
        <v>0.08</v>
      </c>
      <c r="T24" s="1">
        <f>VLOOKUP($A24,'選股資料（週）'!$B$6:$M$32,7,0)</f>
        <v>75.739999999999995</v>
      </c>
      <c r="U24" s="1">
        <f>VLOOKUP($A24,'選股資料（日）'!$B$6:$M$32,12,0)</f>
        <v>6.54</v>
      </c>
      <c r="V24" s="10">
        <v>12.34</v>
      </c>
      <c r="W24" s="29">
        <v>32.61</v>
      </c>
      <c r="X24" s="1">
        <f>VLOOKUP($A24,'選股資料（週）'!$B$6:$M$32,8,0)</f>
        <v>24.26</v>
      </c>
    </row>
    <row r="25" spans="1:26">
      <c r="A25" s="20">
        <v>2419</v>
      </c>
      <c r="B25" s="21" t="s">
        <v>95</v>
      </c>
      <c r="C25" s="11" t="str">
        <f t="array" ref="C25">[1]!'2419.TW-OperatingProfitRatio'</f>
        <v>2.56</v>
      </c>
      <c r="D25" s="11" t="str">
        <f t="array" ref="D25:K25">[1]!'2419.TW-NetProfitMargin,TFXRatio,MonthlyNetSalesYoY,ReturnOnAssets,DividendYear,TurnoverRatio,ProfitFourSeason,CashDividendYieldRate,StockNetValue,ExchangeIndustry'</f>
        <v>1.84</v>
      </c>
      <c r="E25" s="11" t="str">
        <v>-14.72</v>
      </c>
      <c r="F25" s="11" t="str">
        <v>-50.19</v>
      </c>
      <c r="G25" s="11" t="str">
        <v>1.37</v>
      </c>
      <c r="H25" s="25">
        <v>1</v>
      </c>
      <c r="I25" s="11" t="str">
        <v>1.22</v>
      </c>
      <c r="J25" s="11" t="str">
        <v>0.49</v>
      </c>
      <c r="K25" s="25">
        <v>4.1399999999999997</v>
      </c>
      <c r="M25" s="1">
        <f>VLOOKUP($A25,'選股資料（日）'!$B$6:$M$32,6,0)</f>
        <v>13835</v>
      </c>
      <c r="O25" s="1">
        <f>VLOOKUP($A25,'選股資料（日）'!$B$6:$M$32,7,0)</f>
        <v>6.92</v>
      </c>
      <c r="P25" s="1">
        <f>VLOOKUP($A25,'選股資料（日）'!$B$6:$M$32,8,0)</f>
        <v>0.16</v>
      </c>
      <c r="Q25" s="1">
        <f>VLOOKUP($A25,'選股資料（日）'!$B$6:$M$32,9,0)</f>
        <v>3.78</v>
      </c>
      <c r="R25" s="1">
        <f>VLOOKUP($A25,'選股資料（日）'!$B$6:$M$32,10,0)</f>
        <v>0.09</v>
      </c>
      <c r="S25" s="1">
        <f>VLOOKUP($A25,'選股資料（日）'!$B$6:$M$32,11,0)</f>
        <v>0</v>
      </c>
      <c r="T25" s="1">
        <f>VLOOKUP($A25,'選股資料（週）'!$B$6:$M$32,7,0)</f>
        <v>70.16</v>
      </c>
      <c r="U25" s="1">
        <f>VLOOKUP($A25,'選股資料（日）'!$B$6:$M$32,12,0)</f>
        <v>3.87</v>
      </c>
      <c r="V25" s="7">
        <v>7.25</v>
      </c>
      <c r="W25" s="29">
        <v>61.14</v>
      </c>
      <c r="X25" s="1">
        <f>VLOOKUP($A25,'選股資料（週）'!$B$6:$M$32,8,0)</f>
        <v>29.84</v>
      </c>
    </row>
    <row r="26" spans="1:26">
      <c r="A26" s="20">
        <v>2023</v>
      </c>
      <c r="B26" s="21" t="s">
        <v>100</v>
      </c>
      <c r="C26" s="11" t="str">
        <f t="array" ref="C26">[1]!'2023.TW-OperatingProfitRatio'</f>
        <v>6.04</v>
      </c>
      <c r="D26" s="11" t="str">
        <f t="array" ref="D26:K26">[1]!'2023.TW-NetProfitMargin,TFXRatio,MonthlyNetSalesYoY,ReturnOnAssets,DividendYear,TurnoverRatio,ProfitFourSeason,CashDividendYieldRate,StockNetValue,ExchangeIndustry'</f>
        <v>6.22</v>
      </c>
      <c r="E26" s="11" t="str">
        <v>5.25</v>
      </c>
      <c r="F26" s="11" t="str">
        <v>43.97</v>
      </c>
      <c r="G26" s="11" t="str">
        <v>5.45</v>
      </c>
      <c r="H26" s="25">
        <v>0</v>
      </c>
      <c r="I26" s="11" t="str">
        <v>1.13</v>
      </c>
      <c r="J26" s="11" t="str">
        <v>2.39</v>
      </c>
      <c r="K26" s="25">
        <v>0</v>
      </c>
      <c r="M26" s="1">
        <f>VLOOKUP($A26,'選股資料（日）'!$B$6:$M$32,6,0)</f>
        <v>15465</v>
      </c>
      <c r="O26" s="1">
        <f>VLOOKUP($A26,'選股資料（日）'!$B$6:$M$32,7,0)</f>
        <v>6.92</v>
      </c>
      <c r="P26" s="1">
        <f>VLOOKUP($A26,'選股資料（日）'!$B$6:$M$32,8,0)</f>
        <v>0.94</v>
      </c>
      <c r="Q26" s="1">
        <f>VLOOKUP($A26,'選股資料（日）'!$B$6:$M$32,9,0)</f>
        <v>7.55</v>
      </c>
      <c r="R26" s="1">
        <f>VLOOKUP($A26,'選股資料（日）'!$B$6:$M$32,10,0)</f>
        <v>0.14000000000000001</v>
      </c>
      <c r="S26" s="1">
        <f>VLOOKUP($A26,'選股資料（日）'!$B$6:$M$32,11,0)</f>
        <v>0.23</v>
      </c>
      <c r="T26" s="1">
        <f>VLOOKUP($A26,'選股資料（週）'!$B$6:$M$32,7,0)</f>
        <v>72.25</v>
      </c>
      <c r="U26" s="1">
        <f>VLOOKUP($A26,'選股資料（日）'!$B$6:$M$32,12,0)</f>
        <v>7.92</v>
      </c>
      <c r="V26" s="7">
        <v>79.72</v>
      </c>
      <c r="W26" s="29">
        <v>3.31</v>
      </c>
      <c r="X26" s="1">
        <f>VLOOKUP($A26,'選股資料（週）'!$B$6:$M$32,8,0)</f>
        <v>27.75</v>
      </c>
    </row>
    <row r="27" spans="1:26">
      <c r="A27" s="20">
        <v>5351</v>
      </c>
      <c r="B27" s="24" t="s">
        <v>151</v>
      </c>
      <c r="C27" s="11" t="str">
        <f t="array" ref="C27">[1]!'2023.TW-OperatingProfitRatio'</f>
        <v>6.04</v>
      </c>
      <c r="D27" s="11" t="str">
        <f t="array" ref="D27:K27">[1]!'2023.TW-NetProfitMargin,TFXRatio,MonthlyNetSalesYoY,ReturnOnAssets,DividendYear,TurnoverRatio,ProfitFourSeason,CashDividendYieldRate,StockNetValue,ExchangeIndustry'</f>
        <v>6.22</v>
      </c>
      <c r="E27" s="11" t="str">
        <v>5.25</v>
      </c>
      <c r="F27" s="11" t="str">
        <v>43.97</v>
      </c>
      <c r="G27" s="11" t="str">
        <v>5.45</v>
      </c>
      <c r="H27" s="25">
        <v>0</v>
      </c>
      <c r="I27" s="11" t="str">
        <v>1.13</v>
      </c>
      <c r="J27" s="11" t="str">
        <v>2.39</v>
      </c>
      <c r="K27" s="25">
        <v>0</v>
      </c>
      <c r="M27" s="1">
        <f>VLOOKUP($A27,'選股資料（日）'!$B$6:$M$32,6,0)</f>
        <v>134030</v>
      </c>
      <c r="O27" s="1">
        <f>VLOOKUP($A27,'選股資料（日）'!$B$6:$M$32,7,0)</f>
        <v>54.49</v>
      </c>
      <c r="P27" s="1">
        <f>VLOOKUP($A27,'選股資料（日）'!$B$6:$M$32,8,0)</f>
        <v>16.510000000000002</v>
      </c>
      <c r="Q27" s="1">
        <f>VLOOKUP($A27,'選股資料（日）'!$B$6:$M$32,9,0)</f>
        <v>11.56</v>
      </c>
      <c r="R27" s="1">
        <f>VLOOKUP($A27,'選股資料（日）'!$B$6:$M$32,10,0)</f>
        <v>2</v>
      </c>
      <c r="S27" s="1">
        <f>VLOOKUP($A27,'選股資料（日）'!$B$6:$M$32,11,0)</f>
        <v>1.04</v>
      </c>
      <c r="T27" s="1">
        <f>VLOOKUP($A27,'選股資料（週）'!$B$6:$M$32,7,0)</f>
        <v>34.229999999999997</v>
      </c>
      <c r="U27" s="1">
        <f>VLOOKUP($A27,'選股資料（日）'!$B$6:$M$32,12,0)</f>
        <v>14.6</v>
      </c>
      <c r="V27" s="7">
        <v>79.72</v>
      </c>
      <c r="W27" s="29">
        <v>3.31</v>
      </c>
      <c r="X27" s="1">
        <f>VLOOKUP($A27,'選股資料（週）'!$B$6:$M$32,8,0)</f>
        <v>65.77</v>
      </c>
    </row>
  </sheetData>
  <mergeCells count="1"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409A-5130-46EE-A434-ABFC9B4FE58F}">
  <sheetPr codeName="工作表3"/>
  <dimension ref="A1:M32"/>
  <sheetViews>
    <sheetView workbookViewId="0">
      <selection activeCell="B6" sqref="B6:B32"/>
    </sheetView>
  </sheetViews>
  <sheetFormatPr defaultRowHeight="16.2"/>
  <sheetData>
    <row r="1" spans="1:13">
      <c r="A1" s="24" t="s">
        <v>102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24" t="s">
        <v>103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>
      <c r="A3" s="24" t="s">
        <v>104</v>
      </c>
      <c r="B3" s="24" t="s">
        <v>105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>
      <c r="A4" s="24" t="s">
        <v>106</v>
      </c>
      <c r="B4" s="24" t="s">
        <v>107</v>
      </c>
      <c r="C4" s="24" t="s">
        <v>108</v>
      </c>
      <c r="D4" s="24" t="s">
        <v>109</v>
      </c>
      <c r="E4" s="24" t="s">
        <v>110</v>
      </c>
      <c r="F4" s="24" t="s">
        <v>111</v>
      </c>
      <c r="G4" s="24" t="s">
        <v>112</v>
      </c>
      <c r="H4" s="24" t="s">
        <v>113</v>
      </c>
      <c r="I4" s="24" t="s">
        <v>114</v>
      </c>
      <c r="J4" s="24" t="s">
        <v>115</v>
      </c>
      <c r="K4" s="24" t="s">
        <v>116</v>
      </c>
      <c r="L4" s="24" t="s">
        <v>117</v>
      </c>
      <c r="M4" s="24" t="s">
        <v>118</v>
      </c>
    </row>
    <row r="5" spans="1:13">
      <c r="A5" s="24" t="s">
        <v>119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>
      <c r="A6" s="24" t="s">
        <v>120</v>
      </c>
      <c r="B6" s="24">
        <v>1440</v>
      </c>
      <c r="C6" s="24" t="s">
        <v>91</v>
      </c>
      <c r="D6" s="24">
        <v>23.7</v>
      </c>
      <c r="E6" s="24">
        <v>4.6399999999999997</v>
      </c>
      <c r="F6" s="24">
        <v>24959</v>
      </c>
      <c r="G6" s="24">
        <v>24959</v>
      </c>
      <c r="H6" s="24">
        <v>7.38</v>
      </c>
      <c r="I6" s="24">
        <v>0.28999999999999998</v>
      </c>
      <c r="J6" s="24">
        <v>6.22</v>
      </c>
      <c r="K6" s="24">
        <v>0.23</v>
      </c>
      <c r="L6" s="24">
        <v>0.08</v>
      </c>
      <c r="M6" s="24">
        <v>6.54</v>
      </c>
    </row>
    <row r="7" spans="1:13">
      <c r="A7" s="24" t="s">
        <v>121</v>
      </c>
      <c r="B7" s="24">
        <v>1611</v>
      </c>
      <c r="C7" s="24" t="s">
        <v>90</v>
      </c>
      <c r="D7" s="24">
        <v>14.6</v>
      </c>
      <c r="E7" s="24">
        <v>4.66</v>
      </c>
      <c r="F7" s="24">
        <v>42725</v>
      </c>
      <c r="G7" s="24">
        <v>42725</v>
      </c>
      <c r="H7" s="24">
        <v>6.16</v>
      </c>
      <c r="I7" s="24">
        <v>0.76</v>
      </c>
      <c r="J7" s="24">
        <v>10.27</v>
      </c>
      <c r="K7" s="24">
        <v>0.09</v>
      </c>
      <c r="L7" s="24">
        <v>0</v>
      </c>
      <c r="M7" s="24">
        <v>10.36</v>
      </c>
    </row>
    <row r="8" spans="1:13">
      <c r="A8" s="24" t="s">
        <v>122</v>
      </c>
      <c r="B8" s="24">
        <v>1710</v>
      </c>
      <c r="C8" s="24" t="s">
        <v>82</v>
      </c>
      <c r="D8" s="24">
        <v>24.8</v>
      </c>
      <c r="E8" s="24">
        <v>6.67</v>
      </c>
      <c r="F8" s="24">
        <v>26575</v>
      </c>
      <c r="G8" s="24">
        <v>26575</v>
      </c>
      <c r="H8" s="24">
        <v>10.81</v>
      </c>
      <c r="I8" s="24">
        <v>0.38</v>
      </c>
      <c r="J8" s="24">
        <v>7.62</v>
      </c>
      <c r="K8" s="24">
        <v>0.96</v>
      </c>
      <c r="L8" s="24">
        <v>0.1</v>
      </c>
      <c r="M8" s="24">
        <v>8.68</v>
      </c>
    </row>
    <row r="9" spans="1:13">
      <c r="A9" s="24" t="s">
        <v>123</v>
      </c>
      <c r="B9" s="24">
        <v>2023</v>
      </c>
      <c r="C9" s="24" t="s">
        <v>100</v>
      </c>
      <c r="D9" s="24">
        <v>25.35</v>
      </c>
      <c r="E9" s="24">
        <v>3.26</v>
      </c>
      <c r="F9" s="24">
        <v>15465</v>
      </c>
      <c r="G9" s="24">
        <v>15465</v>
      </c>
      <c r="H9" s="24">
        <v>6.92</v>
      </c>
      <c r="I9" s="24">
        <v>0.94</v>
      </c>
      <c r="J9" s="24">
        <v>7.55</v>
      </c>
      <c r="K9" s="24">
        <v>0.14000000000000001</v>
      </c>
      <c r="L9" s="24">
        <v>0.23</v>
      </c>
      <c r="M9" s="24">
        <v>7.92</v>
      </c>
    </row>
    <row r="10" spans="1:13">
      <c r="A10" s="24" t="s">
        <v>124</v>
      </c>
      <c r="B10" s="24">
        <v>2027</v>
      </c>
      <c r="C10" s="24" t="s">
        <v>99</v>
      </c>
      <c r="D10" s="24">
        <v>41.75</v>
      </c>
      <c r="E10" s="24">
        <v>3.6</v>
      </c>
      <c r="F10" s="24">
        <v>19902</v>
      </c>
      <c r="G10" s="24">
        <v>19902</v>
      </c>
      <c r="H10" s="24">
        <v>12.76</v>
      </c>
      <c r="I10" s="24">
        <v>0.71</v>
      </c>
      <c r="J10" s="24">
        <v>13.29</v>
      </c>
      <c r="K10" s="24">
        <v>2.56</v>
      </c>
      <c r="L10" s="24">
        <v>0.31</v>
      </c>
      <c r="M10" s="24">
        <v>16.170000000000002</v>
      </c>
    </row>
    <row r="11" spans="1:13">
      <c r="A11" s="24" t="s">
        <v>125</v>
      </c>
      <c r="B11" s="24">
        <v>2312</v>
      </c>
      <c r="C11" s="24" t="s">
        <v>67</v>
      </c>
      <c r="D11" s="24">
        <v>14.1</v>
      </c>
      <c r="E11" s="24">
        <v>7.22</v>
      </c>
      <c r="F11" s="24">
        <v>97417</v>
      </c>
      <c r="G11" s="24">
        <v>97417</v>
      </c>
      <c r="H11" s="24">
        <v>12.65</v>
      </c>
      <c r="I11" s="24">
        <v>0.15</v>
      </c>
      <c r="J11" s="24">
        <v>8.85</v>
      </c>
      <c r="K11" s="24">
        <v>0.11</v>
      </c>
      <c r="L11" s="24">
        <v>0.02</v>
      </c>
      <c r="M11" s="24">
        <v>8.9700000000000006</v>
      </c>
    </row>
    <row r="12" spans="1:13">
      <c r="A12" s="24" t="s">
        <v>126</v>
      </c>
      <c r="B12" s="24">
        <v>2344</v>
      </c>
      <c r="C12" s="24" t="s">
        <v>94</v>
      </c>
      <c r="D12" s="24">
        <v>27.25</v>
      </c>
      <c r="E12" s="24">
        <v>4.01</v>
      </c>
      <c r="F12" s="24">
        <v>46965</v>
      </c>
      <c r="G12" s="24">
        <v>46965</v>
      </c>
      <c r="H12" s="24">
        <v>7.97</v>
      </c>
      <c r="I12" s="24">
        <v>0.51</v>
      </c>
      <c r="J12" s="24">
        <v>20.23</v>
      </c>
      <c r="K12" s="24">
        <v>0.16</v>
      </c>
      <c r="L12" s="24">
        <v>1.27</v>
      </c>
      <c r="M12" s="24">
        <v>21.66</v>
      </c>
    </row>
    <row r="13" spans="1:13">
      <c r="A13" s="24" t="s">
        <v>127</v>
      </c>
      <c r="B13" s="24">
        <v>2376</v>
      </c>
      <c r="C13" s="24" t="s">
        <v>96</v>
      </c>
      <c r="D13" s="24">
        <v>123</v>
      </c>
      <c r="E13" s="24">
        <v>3.8</v>
      </c>
      <c r="F13" s="24">
        <v>37717</v>
      </c>
      <c r="G13" s="24">
        <v>37717</v>
      </c>
      <c r="H13" s="24">
        <v>15.4</v>
      </c>
      <c r="I13" s="24">
        <v>0.68</v>
      </c>
      <c r="J13" s="24">
        <v>24.6</v>
      </c>
      <c r="K13" s="24">
        <v>8.01</v>
      </c>
      <c r="L13" s="24">
        <v>6.91</v>
      </c>
      <c r="M13" s="24">
        <v>39.520000000000003</v>
      </c>
    </row>
    <row r="14" spans="1:13">
      <c r="A14" s="24" t="s">
        <v>128</v>
      </c>
      <c r="B14" s="24">
        <v>2409</v>
      </c>
      <c r="C14" s="24" t="s">
        <v>88</v>
      </c>
      <c r="D14" s="24">
        <v>19.95</v>
      </c>
      <c r="E14" s="24">
        <v>5</v>
      </c>
      <c r="F14" s="24">
        <v>177509</v>
      </c>
      <c r="G14" s="24">
        <v>177509</v>
      </c>
      <c r="H14" s="24">
        <v>12.73</v>
      </c>
      <c r="I14" s="24">
        <v>1.02</v>
      </c>
      <c r="J14" s="24">
        <v>26.22</v>
      </c>
      <c r="K14" s="24">
        <v>2.42</v>
      </c>
      <c r="L14" s="24">
        <v>4.0199999999999996</v>
      </c>
      <c r="M14" s="24">
        <v>32.65</v>
      </c>
    </row>
    <row r="15" spans="1:13">
      <c r="A15" s="24" t="s">
        <v>129</v>
      </c>
      <c r="B15" s="24">
        <v>2419</v>
      </c>
      <c r="C15" s="24" t="s">
        <v>95</v>
      </c>
      <c r="D15" s="24">
        <v>21.7</v>
      </c>
      <c r="E15" s="24">
        <v>3.83</v>
      </c>
      <c r="F15" s="24">
        <v>13835</v>
      </c>
      <c r="G15" s="24">
        <v>13835</v>
      </c>
      <c r="H15" s="24">
        <v>6.92</v>
      </c>
      <c r="I15" s="24">
        <v>0.16</v>
      </c>
      <c r="J15" s="24">
        <v>3.78</v>
      </c>
      <c r="K15" s="24">
        <v>0.09</v>
      </c>
      <c r="L15" s="24">
        <v>0</v>
      </c>
      <c r="M15" s="24">
        <v>3.87</v>
      </c>
    </row>
    <row r="16" spans="1:13">
      <c r="A16" s="24" t="s">
        <v>130</v>
      </c>
      <c r="B16" s="24">
        <v>2492</v>
      </c>
      <c r="C16" s="24" t="s">
        <v>79</v>
      </c>
      <c r="D16" s="24">
        <v>158</v>
      </c>
      <c r="E16" s="24">
        <v>9.7200000000000006</v>
      </c>
      <c r="F16" s="24">
        <v>13796</v>
      </c>
      <c r="G16" s="24">
        <v>13796</v>
      </c>
      <c r="H16" s="24">
        <v>11.35</v>
      </c>
      <c r="I16" s="24">
        <v>0.88</v>
      </c>
      <c r="J16" s="24">
        <v>19.84</v>
      </c>
      <c r="K16" s="24">
        <v>3.03</v>
      </c>
      <c r="L16" s="24">
        <v>0.38</v>
      </c>
      <c r="M16" s="24">
        <v>23.25</v>
      </c>
    </row>
    <row r="17" spans="1:13">
      <c r="A17" s="24" t="s">
        <v>131</v>
      </c>
      <c r="B17" s="24">
        <v>2498</v>
      </c>
      <c r="C17" s="24" t="s">
        <v>92</v>
      </c>
      <c r="D17" s="24">
        <v>71.2</v>
      </c>
      <c r="E17" s="24">
        <v>4.4000000000000004</v>
      </c>
      <c r="F17" s="24">
        <v>30558</v>
      </c>
      <c r="G17" s="24">
        <v>30558</v>
      </c>
      <c r="H17" s="24">
        <v>17.95</v>
      </c>
      <c r="I17" s="24">
        <v>4.84</v>
      </c>
      <c r="J17" s="24">
        <v>16.7</v>
      </c>
      <c r="K17" s="24">
        <v>6.13</v>
      </c>
      <c r="L17" s="24">
        <v>0</v>
      </c>
      <c r="M17" s="24">
        <v>22.83</v>
      </c>
    </row>
    <row r="18" spans="1:13">
      <c r="A18" s="24" t="s">
        <v>132</v>
      </c>
      <c r="B18" s="24">
        <v>2603</v>
      </c>
      <c r="C18" s="24" t="s">
        <v>83</v>
      </c>
      <c r="D18" s="24">
        <v>112</v>
      </c>
      <c r="E18" s="24">
        <v>6.67</v>
      </c>
      <c r="F18" s="24">
        <v>306738</v>
      </c>
      <c r="G18" s="24">
        <v>306738</v>
      </c>
      <c r="H18" s="24">
        <v>20.84</v>
      </c>
      <c r="I18" s="24">
        <v>0.74</v>
      </c>
      <c r="J18" s="24">
        <v>27.02</v>
      </c>
      <c r="K18" s="24">
        <v>1.58</v>
      </c>
      <c r="L18" s="24">
        <v>1.49</v>
      </c>
      <c r="M18" s="24">
        <v>30.09</v>
      </c>
    </row>
    <row r="19" spans="1:13">
      <c r="A19" s="24" t="s">
        <v>133</v>
      </c>
      <c r="B19" s="24">
        <v>2609</v>
      </c>
      <c r="C19" s="24" t="s">
        <v>81</v>
      </c>
      <c r="D19" s="24">
        <v>108.5</v>
      </c>
      <c r="E19" s="24">
        <v>6.9</v>
      </c>
      <c r="F19" s="24">
        <v>168913</v>
      </c>
      <c r="G19" s="24">
        <v>168913</v>
      </c>
      <c r="H19" s="24">
        <v>26.18</v>
      </c>
      <c r="I19" s="24">
        <v>1.87</v>
      </c>
      <c r="J19" s="24">
        <v>14.5</v>
      </c>
      <c r="K19" s="24">
        <v>0.05</v>
      </c>
      <c r="L19" s="24">
        <v>0.4</v>
      </c>
      <c r="M19" s="24">
        <v>14.95</v>
      </c>
    </row>
    <row r="20" spans="1:13">
      <c r="A20" s="24" t="s">
        <v>134</v>
      </c>
      <c r="B20" s="24">
        <v>2614</v>
      </c>
      <c r="C20" s="24" t="s">
        <v>76</v>
      </c>
      <c r="D20" s="24">
        <v>38.950000000000003</v>
      </c>
      <c r="E20" s="24">
        <v>9.8699999999999992</v>
      </c>
      <c r="F20" s="24">
        <v>94939</v>
      </c>
      <c r="G20" s="24">
        <v>94939</v>
      </c>
      <c r="H20" s="24">
        <v>18.989999999999998</v>
      </c>
      <c r="I20" s="24">
        <v>3.54</v>
      </c>
      <c r="J20" s="24">
        <v>3.96</v>
      </c>
      <c r="K20" s="24">
        <v>1.36</v>
      </c>
      <c r="L20" s="24">
        <v>0</v>
      </c>
      <c r="M20" s="24">
        <v>5.33</v>
      </c>
    </row>
    <row r="21" spans="1:13">
      <c r="A21" s="24" t="s">
        <v>135</v>
      </c>
      <c r="B21" s="24">
        <v>2615</v>
      </c>
      <c r="C21" s="24" t="s">
        <v>84</v>
      </c>
      <c r="D21" s="24">
        <v>171.5</v>
      </c>
      <c r="E21" s="24">
        <v>6.52</v>
      </c>
      <c r="F21" s="24">
        <v>99592</v>
      </c>
      <c r="G21" s="24">
        <v>99592</v>
      </c>
      <c r="H21" s="24">
        <v>6.95</v>
      </c>
      <c r="I21" s="24">
        <v>0.72</v>
      </c>
      <c r="J21" s="24">
        <v>43.76</v>
      </c>
      <c r="K21" s="24">
        <v>0.25</v>
      </c>
      <c r="L21" s="24">
        <v>0.39</v>
      </c>
      <c r="M21" s="24">
        <v>44.39</v>
      </c>
    </row>
    <row r="22" spans="1:13">
      <c r="A22" s="24" t="s">
        <v>136</v>
      </c>
      <c r="B22" s="24">
        <v>2636</v>
      </c>
      <c r="C22" s="24" t="s">
        <v>77</v>
      </c>
      <c r="D22" s="24">
        <v>145</v>
      </c>
      <c r="E22" s="24">
        <v>9.85</v>
      </c>
      <c r="F22" s="24">
        <v>25487</v>
      </c>
      <c r="G22" s="24">
        <v>25487</v>
      </c>
      <c r="H22" s="24">
        <v>37.1</v>
      </c>
      <c r="I22" s="24">
        <v>7.15</v>
      </c>
      <c r="J22" s="24">
        <v>16.36</v>
      </c>
      <c r="K22" s="24">
        <v>1.28</v>
      </c>
      <c r="L22" s="24">
        <v>0</v>
      </c>
      <c r="M22" s="24">
        <v>17.64</v>
      </c>
    </row>
    <row r="23" spans="1:13">
      <c r="A23" s="24" t="s">
        <v>137</v>
      </c>
      <c r="B23" s="24">
        <v>2641</v>
      </c>
      <c r="C23" s="24" t="s">
        <v>97</v>
      </c>
      <c r="D23" s="24">
        <v>25</v>
      </c>
      <c r="E23" s="24">
        <v>3.73</v>
      </c>
      <c r="F23" s="24">
        <v>18231</v>
      </c>
      <c r="G23" s="24">
        <v>18231</v>
      </c>
      <c r="H23" s="24">
        <v>23.61</v>
      </c>
      <c r="I23" s="24">
        <v>0.93</v>
      </c>
      <c r="J23" s="24">
        <v>0.89</v>
      </c>
      <c r="K23" s="24">
        <v>0.01</v>
      </c>
      <c r="L23" s="24">
        <v>0</v>
      </c>
      <c r="M23" s="24">
        <v>0.9</v>
      </c>
    </row>
    <row r="24" spans="1:13">
      <c r="A24" s="24" t="s">
        <v>138</v>
      </c>
      <c r="B24" s="24">
        <v>3189</v>
      </c>
      <c r="C24" s="24" t="s">
        <v>98</v>
      </c>
      <c r="D24" s="24">
        <v>241.5</v>
      </c>
      <c r="E24" s="24">
        <v>3.65</v>
      </c>
      <c r="F24" s="24">
        <v>24136</v>
      </c>
      <c r="G24" s="24">
        <v>24136</v>
      </c>
      <c r="H24" s="24">
        <v>9.34</v>
      </c>
      <c r="I24" s="24">
        <v>3.25</v>
      </c>
      <c r="J24" s="24">
        <v>18.54</v>
      </c>
      <c r="K24" s="24">
        <v>1.47</v>
      </c>
      <c r="L24" s="24">
        <v>13.98</v>
      </c>
      <c r="M24" s="24">
        <v>33.99</v>
      </c>
    </row>
    <row r="25" spans="1:13">
      <c r="A25" s="24" t="s">
        <v>139</v>
      </c>
      <c r="B25" s="24">
        <v>3704</v>
      </c>
      <c r="C25" s="24" t="s">
        <v>89</v>
      </c>
      <c r="D25" s="24">
        <v>34</v>
      </c>
      <c r="E25" s="24">
        <v>4.78</v>
      </c>
      <c r="F25" s="24">
        <v>41935</v>
      </c>
      <c r="G25" s="24">
        <v>41935</v>
      </c>
      <c r="H25" s="24">
        <v>18.63</v>
      </c>
      <c r="I25" s="24">
        <v>0.43</v>
      </c>
      <c r="J25" s="24">
        <v>7.76</v>
      </c>
      <c r="K25" s="24">
        <v>0.63</v>
      </c>
      <c r="L25" s="24">
        <v>0.95</v>
      </c>
      <c r="M25" s="24">
        <v>9.34</v>
      </c>
    </row>
    <row r="26" spans="1:13">
      <c r="A26" s="24" t="s">
        <v>140</v>
      </c>
      <c r="B26" s="24">
        <v>3707</v>
      </c>
      <c r="C26" s="24" t="s">
        <v>93</v>
      </c>
      <c r="D26" s="24">
        <v>160.5</v>
      </c>
      <c r="E26" s="24">
        <v>4.22</v>
      </c>
      <c r="F26" s="24">
        <v>68284</v>
      </c>
      <c r="G26" s="24">
        <v>68284</v>
      </c>
      <c r="H26" s="24">
        <v>31.31</v>
      </c>
      <c r="I26" s="24">
        <v>14.67</v>
      </c>
      <c r="J26" s="24">
        <v>10.43</v>
      </c>
      <c r="K26" s="24">
        <v>0.78</v>
      </c>
      <c r="L26" s="24">
        <v>13.12</v>
      </c>
      <c r="M26" s="24">
        <v>24.33</v>
      </c>
    </row>
    <row r="27" spans="1:13">
      <c r="A27" s="24" t="s">
        <v>141</v>
      </c>
      <c r="B27" s="24">
        <v>4721</v>
      </c>
      <c r="C27" s="24" t="s">
        <v>64</v>
      </c>
      <c r="D27" s="24">
        <v>175.5</v>
      </c>
      <c r="E27" s="24">
        <v>4.46</v>
      </c>
      <c r="F27" s="24">
        <v>42537</v>
      </c>
      <c r="G27" s="24">
        <v>42537</v>
      </c>
      <c r="H27" s="24">
        <v>65.06</v>
      </c>
      <c r="I27" s="24">
        <v>25.71</v>
      </c>
      <c r="J27" s="24">
        <v>4.8</v>
      </c>
      <c r="K27" s="24">
        <v>1.37</v>
      </c>
      <c r="L27" s="24">
        <v>0.02</v>
      </c>
      <c r="M27" s="24">
        <v>6.19</v>
      </c>
    </row>
    <row r="28" spans="1:13">
      <c r="A28" s="24" t="s">
        <v>142</v>
      </c>
      <c r="B28" s="24">
        <v>5351</v>
      </c>
      <c r="C28" s="24" t="s">
        <v>80</v>
      </c>
      <c r="D28" s="24">
        <v>77.8</v>
      </c>
      <c r="E28" s="24">
        <v>8.36</v>
      </c>
      <c r="F28" s="24">
        <v>134030</v>
      </c>
      <c r="G28" s="24">
        <v>134030</v>
      </c>
      <c r="H28" s="24">
        <v>54.49</v>
      </c>
      <c r="I28" s="24">
        <v>16.510000000000002</v>
      </c>
      <c r="J28" s="24">
        <v>11.56</v>
      </c>
      <c r="K28" s="24">
        <v>2</v>
      </c>
      <c r="L28" s="24">
        <v>1.04</v>
      </c>
      <c r="M28" s="24">
        <v>14.6</v>
      </c>
    </row>
    <row r="29" spans="1:13">
      <c r="A29" s="24" t="s">
        <v>143</v>
      </c>
      <c r="B29" s="24">
        <v>5608</v>
      </c>
      <c r="C29" s="24" t="s">
        <v>86</v>
      </c>
      <c r="D29" s="24">
        <v>43.45</v>
      </c>
      <c r="E29" s="24">
        <v>5.72</v>
      </c>
      <c r="F29" s="24">
        <v>32876</v>
      </c>
      <c r="G29" s="24">
        <v>32876</v>
      </c>
      <c r="H29" s="24">
        <v>25.51</v>
      </c>
      <c r="I29" s="24">
        <v>1.95</v>
      </c>
      <c r="J29" s="24">
        <v>5.57</v>
      </c>
      <c r="K29" s="24">
        <v>0.75</v>
      </c>
      <c r="L29" s="24">
        <v>0</v>
      </c>
      <c r="M29" s="24">
        <v>6.32</v>
      </c>
    </row>
    <row r="30" spans="1:13">
      <c r="A30" s="24" t="s">
        <v>144</v>
      </c>
      <c r="B30" s="24">
        <v>6226</v>
      </c>
      <c r="C30" s="24" t="s">
        <v>78</v>
      </c>
      <c r="D30" s="24">
        <v>15.15</v>
      </c>
      <c r="E30" s="24">
        <v>9.7799999999999994</v>
      </c>
      <c r="F30" s="24">
        <v>20669</v>
      </c>
      <c r="G30" s="24">
        <v>20669</v>
      </c>
      <c r="H30" s="24">
        <v>24.33</v>
      </c>
      <c r="I30" s="24">
        <v>4.46</v>
      </c>
      <c r="J30" s="24">
        <v>4.1100000000000003</v>
      </c>
      <c r="K30" s="24">
        <v>0.31</v>
      </c>
      <c r="L30" s="24">
        <v>0</v>
      </c>
      <c r="M30" s="24">
        <v>4.42</v>
      </c>
    </row>
    <row r="31" spans="1:13">
      <c r="A31" s="24" t="s">
        <v>145</v>
      </c>
      <c r="B31" s="24">
        <v>6251</v>
      </c>
      <c r="C31" s="24" t="s">
        <v>85</v>
      </c>
      <c r="D31" s="24">
        <v>22.15</v>
      </c>
      <c r="E31" s="24">
        <v>6.49</v>
      </c>
      <c r="F31" s="24">
        <v>14746</v>
      </c>
      <c r="G31" s="24">
        <v>14746</v>
      </c>
      <c r="H31" s="24">
        <v>24.22</v>
      </c>
      <c r="I31" s="24">
        <v>0.21</v>
      </c>
      <c r="J31" s="24">
        <v>14.45</v>
      </c>
      <c r="K31" s="24">
        <v>0.08</v>
      </c>
      <c r="L31" s="24">
        <v>0</v>
      </c>
      <c r="M31" s="24">
        <v>14.53</v>
      </c>
    </row>
    <row r="32" spans="1:13">
      <c r="A32" s="24" t="s">
        <v>146</v>
      </c>
      <c r="B32" s="24">
        <v>6411</v>
      </c>
      <c r="C32" s="24" t="s">
        <v>87</v>
      </c>
      <c r="D32" s="24">
        <v>227</v>
      </c>
      <c r="E32" s="24">
        <v>5.58</v>
      </c>
      <c r="F32" s="24">
        <v>31673</v>
      </c>
      <c r="G32" s="24">
        <v>31673</v>
      </c>
      <c r="H32" s="24">
        <v>46.55</v>
      </c>
      <c r="I32" s="24">
        <v>15.91</v>
      </c>
      <c r="J32" s="24">
        <v>8.24</v>
      </c>
      <c r="K32" s="24">
        <v>2.23</v>
      </c>
      <c r="L32" s="24">
        <v>14</v>
      </c>
      <c r="M32" s="24">
        <v>24.47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C50D-2B47-46AA-AA5B-95006E637A70}">
  <dimension ref="A1:I32"/>
  <sheetViews>
    <sheetView workbookViewId="0">
      <selection activeCell="B6" sqref="B6:B32"/>
    </sheetView>
  </sheetViews>
  <sheetFormatPr defaultRowHeight="16.2"/>
  <sheetData>
    <row r="1" spans="1:9">
      <c r="A1" s="24" t="s">
        <v>102</v>
      </c>
      <c r="B1" s="24"/>
      <c r="C1" s="24"/>
      <c r="D1" s="24"/>
      <c r="E1" s="24"/>
      <c r="F1" s="24"/>
      <c r="G1" s="24"/>
      <c r="H1" s="24"/>
      <c r="I1" s="24"/>
    </row>
    <row r="2" spans="1:9">
      <c r="A2" s="24" t="s">
        <v>103</v>
      </c>
      <c r="B2" s="24"/>
      <c r="C2" s="24"/>
      <c r="D2" s="24"/>
      <c r="E2" s="24"/>
      <c r="F2" s="24"/>
      <c r="G2" s="24"/>
      <c r="H2" s="24"/>
      <c r="I2" s="24"/>
    </row>
    <row r="3" spans="1:9">
      <c r="A3" s="24" t="s">
        <v>104</v>
      </c>
      <c r="B3" s="24" t="s">
        <v>147</v>
      </c>
      <c r="C3" s="24"/>
      <c r="D3" s="24"/>
      <c r="E3" s="24"/>
      <c r="F3" s="24"/>
      <c r="G3" s="24"/>
      <c r="H3" s="24"/>
      <c r="I3" s="24"/>
    </row>
    <row r="4" spans="1:9">
      <c r="A4" s="24" t="s">
        <v>106</v>
      </c>
      <c r="B4" s="24" t="s">
        <v>107</v>
      </c>
      <c r="C4" s="24" t="s">
        <v>108</v>
      </c>
      <c r="D4" s="24" t="s">
        <v>109</v>
      </c>
      <c r="E4" s="24" t="s">
        <v>110</v>
      </c>
      <c r="F4" s="24" t="s">
        <v>111</v>
      </c>
      <c r="G4" s="24" t="s">
        <v>112</v>
      </c>
      <c r="H4" s="24" t="s">
        <v>148</v>
      </c>
      <c r="I4" s="24" t="s">
        <v>149</v>
      </c>
    </row>
    <row r="5" spans="1:9">
      <c r="A5" s="24" t="s">
        <v>150</v>
      </c>
      <c r="B5" s="24"/>
      <c r="C5" s="24"/>
      <c r="D5" s="24"/>
      <c r="E5" s="24"/>
      <c r="F5" s="24"/>
      <c r="G5" s="24"/>
      <c r="H5" s="24"/>
      <c r="I5" s="24"/>
    </row>
    <row r="6" spans="1:9">
      <c r="A6" s="24" t="s">
        <v>120</v>
      </c>
      <c r="B6" s="24">
        <v>1440</v>
      </c>
      <c r="C6" s="24" t="s">
        <v>91</v>
      </c>
      <c r="D6" s="24">
        <v>23.7</v>
      </c>
      <c r="E6" s="24">
        <v>4.6399999999999997</v>
      </c>
      <c r="F6" s="24">
        <v>24959</v>
      </c>
      <c r="G6" s="24">
        <v>7711</v>
      </c>
      <c r="H6" s="24">
        <v>75.739999999999995</v>
      </c>
      <c r="I6" s="24">
        <v>24.26</v>
      </c>
    </row>
    <row r="7" spans="1:9">
      <c r="A7" s="24" t="s">
        <v>121</v>
      </c>
      <c r="B7" s="24">
        <v>1611</v>
      </c>
      <c r="C7" s="24" t="s">
        <v>90</v>
      </c>
      <c r="D7" s="24">
        <v>14.6</v>
      </c>
      <c r="E7" s="24">
        <v>4.66</v>
      </c>
      <c r="F7" s="24">
        <v>42725</v>
      </c>
      <c r="G7" s="24">
        <v>9486</v>
      </c>
      <c r="H7" s="24">
        <v>64.92</v>
      </c>
      <c r="I7" s="24">
        <v>35.08</v>
      </c>
    </row>
    <row r="8" spans="1:9">
      <c r="A8" s="24" t="s">
        <v>122</v>
      </c>
      <c r="B8" s="24">
        <v>1710</v>
      </c>
      <c r="C8" s="24" t="s">
        <v>82</v>
      </c>
      <c r="D8" s="24">
        <v>24.8</v>
      </c>
      <c r="E8" s="24">
        <v>6.67</v>
      </c>
      <c r="F8" s="24">
        <v>26575</v>
      </c>
      <c r="G8" s="24">
        <v>14988</v>
      </c>
      <c r="H8" s="24">
        <v>66.5</v>
      </c>
      <c r="I8" s="24">
        <v>33.5</v>
      </c>
    </row>
    <row r="9" spans="1:9">
      <c r="A9" s="24" t="s">
        <v>123</v>
      </c>
      <c r="B9" s="24">
        <v>2023</v>
      </c>
      <c r="C9" s="24" t="s">
        <v>100</v>
      </c>
      <c r="D9" s="24">
        <v>25.35</v>
      </c>
      <c r="E9" s="24">
        <v>3.26</v>
      </c>
      <c r="F9" s="24">
        <v>15465</v>
      </c>
      <c r="G9" s="24">
        <v>12447</v>
      </c>
      <c r="H9" s="24">
        <v>72.25</v>
      </c>
      <c r="I9" s="24">
        <v>27.75</v>
      </c>
    </row>
    <row r="10" spans="1:9">
      <c r="A10" s="24" t="s">
        <v>124</v>
      </c>
      <c r="B10" s="24">
        <v>2027</v>
      </c>
      <c r="C10" s="24" t="s">
        <v>99</v>
      </c>
      <c r="D10" s="24">
        <v>41.75</v>
      </c>
      <c r="E10" s="24">
        <v>3.6</v>
      </c>
      <c r="F10" s="24">
        <v>19902</v>
      </c>
      <c r="G10" s="24">
        <v>27482</v>
      </c>
      <c r="H10" s="24">
        <v>59.94</v>
      </c>
      <c r="I10" s="24">
        <v>40.06</v>
      </c>
    </row>
    <row r="11" spans="1:9">
      <c r="A11" s="24" t="s">
        <v>125</v>
      </c>
      <c r="B11" s="24">
        <v>2312</v>
      </c>
      <c r="C11" s="24" t="s">
        <v>67</v>
      </c>
      <c r="D11" s="24">
        <v>14.1</v>
      </c>
      <c r="E11" s="24">
        <v>7.22</v>
      </c>
      <c r="F11" s="24">
        <v>97417</v>
      </c>
      <c r="G11" s="24">
        <v>18660</v>
      </c>
      <c r="H11" s="24">
        <v>56.71</v>
      </c>
      <c r="I11" s="24">
        <v>43.29</v>
      </c>
    </row>
    <row r="12" spans="1:9">
      <c r="A12" s="24" t="s">
        <v>126</v>
      </c>
      <c r="B12" s="24">
        <v>2344</v>
      </c>
      <c r="C12" s="24" t="s">
        <v>94</v>
      </c>
      <c r="D12" s="24">
        <v>27.25</v>
      </c>
      <c r="E12" s="24">
        <v>4.01</v>
      </c>
      <c r="F12" s="24">
        <v>46965</v>
      </c>
      <c r="G12" s="24">
        <v>29093</v>
      </c>
      <c r="H12" s="24">
        <v>61.09</v>
      </c>
      <c r="I12" s="24">
        <v>38.909999999999997</v>
      </c>
    </row>
    <row r="13" spans="1:9">
      <c r="A13" s="24" t="s">
        <v>127</v>
      </c>
      <c r="B13" s="24">
        <v>2376</v>
      </c>
      <c r="C13" s="24" t="s">
        <v>96</v>
      </c>
      <c r="D13" s="24">
        <v>123</v>
      </c>
      <c r="E13" s="24">
        <v>3.8</v>
      </c>
      <c r="F13" s="24">
        <v>37717</v>
      </c>
      <c r="G13" s="24">
        <v>24214</v>
      </c>
      <c r="H13" s="24">
        <v>67.8</v>
      </c>
      <c r="I13" s="24">
        <v>32.200000000000003</v>
      </c>
    </row>
    <row r="14" spans="1:9">
      <c r="A14" s="24" t="s">
        <v>128</v>
      </c>
      <c r="B14" s="24">
        <v>2409</v>
      </c>
      <c r="C14" s="24" t="s">
        <v>88</v>
      </c>
      <c r="D14" s="24">
        <v>19.95</v>
      </c>
      <c r="E14" s="24">
        <v>5</v>
      </c>
      <c r="F14" s="24">
        <v>177509</v>
      </c>
      <c r="G14" s="24">
        <v>252058</v>
      </c>
      <c r="H14" s="24">
        <v>58.97</v>
      </c>
      <c r="I14" s="24">
        <v>41.03</v>
      </c>
    </row>
    <row r="15" spans="1:9">
      <c r="A15" s="24" t="s">
        <v>129</v>
      </c>
      <c r="B15" s="24">
        <v>2419</v>
      </c>
      <c r="C15" s="24" t="s">
        <v>95</v>
      </c>
      <c r="D15" s="24">
        <v>21.7</v>
      </c>
      <c r="E15" s="24">
        <v>3.83</v>
      </c>
      <c r="F15" s="24">
        <v>13835</v>
      </c>
      <c r="G15" s="24">
        <v>1535</v>
      </c>
      <c r="H15" s="24">
        <v>70.16</v>
      </c>
      <c r="I15" s="24">
        <v>29.84</v>
      </c>
    </row>
    <row r="16" spans="1:9">
      <c r="A16" s="24" t="s">
        <v>130</v>
      </c>
      <c r="B16" s="24">
        <v>2492</v>
      </c>
      <c r="C16" s="24" t="s">
        <v>79</v>
      </c>
      <c r="D16" s="24">
        <v>158</v>
      </c>
      <c r="E16" s="24">
        <v>9.7200000000000006</v>
      </c>
      <c r="F16" s="24">
        <v>13796</v>
      </c>
      <c r="G16" s="24">
        <v>2646</v>
      </c>
      <c r="H16" s="24">
        <v>60.82</v>
      </c>
      <c r="I16" s="24">
        <v>39.18</v>
      </c>
    </row>
    <row r="17" spans="1:9">
      <c r="A17" s="24" t="s">
        <v>131</v>
      </c>
      <c r="B17" s="24">
        <v>2498</v>
      </c>
      <c r="C17" s="24" t="s">
        <v>92</v>
      </c>
      <c r="D17" s="24">
        <v>71.2</v>
      </c>
      <c r="E17" s="24">
        <v>4.4000000000000004</v>
      </c>
      <c r="F17" s="24">
        <v>30558</v>
      </c>
      <c r="G17" s="24">
        <v>22285</v>
      </c>
      <c r="H17" s="24">
        <v>46.28</v>
      </c>
      <c r="I17" s="24">
        <v>53.72</v>
      </c>
    </row>
    <row r="18" spans="1:9">
      <c r="A18" s="24" t="s">
        <v>132</v>
      </c>
      <c r="B18" s="24">
        <v>2603</v>
      </c>
      <c r="C18" s="24" t="s">
        <v>83</v>
      </c>
      <c r="D18" s="24">
        <v>112</v>
      </c>
      <c r="E18" s="24">
        <v>6.67</v>
      </c>
      <c r="F18" s="24">
        <v>306738</v>
      </c>
      <c r="G18" s="24">
        <v>226596</v>
      </c>
      <c r="H18" s="24">
        <v>60.87</v>
      </c>
      <c r="I18" s="24">
        <v>39.130000000000003</v>
      </c>
    </row>
    <row r="19" spans="1:9">
      <c r="A19" s="24" t="s">
        <v>133</v>
      </c>
      <c r="B19" s="24">
        <v>2609</v>
      </c>
      <c r="C19" s="24" t="s">
        <v>81</v>
      </c>
      <c r="D19" s="24">
        <v>108.5</v>
      </c>
      <c r="E19" s="24">
        <v>6.9</v>
      </c>
      <c r="F19" s="24">
        <v>168913</v>
      </c>
      <c r="G19" s="24">
        <v>149099</v>
      </c>
      <c r="H19" s="24">
        <v>60.25</v>
      </c>
      <c r="I19" s="24">
        <v>39.75</v>
      </c>
    </row>
    <row r="20" spans="1:9">
      <c r="A20" s="24" t="s">
        <v>134</v>
      </c>
      <c r="B20" s="24">
        <v>2614</v>
      </c>
      <c r="C20" s="24" t="s">
        <v>76</v>
      </c>
      <c r="D20" s="24">
        <v>38.950000000000003</v>
      </c>
      <c r="E20" s="24">
        <v>9.8699999999999992</v>
      </c>
      <c r="F20" s="24">
        <v>94939</v>
      </c>
      <c r="G20" s="24">
        <v>22749</v>
      </c>
      <c r="H20" s="24">
        <v>43.06</v>
      </c>
      <c r="I20" s="24">
        <v>56.94</v>
      </c>
    </row>
    <row r="21" spans="1:9">
      <c r="A21" s="24" t="s">
        <v>135</v>
      </c>
      <c r="B21" s="24">
        <v>2615</v>
      </c>
      <c r="C21" s="24" t="s">
        <v>84</v>
      </c>
      <c r="D21" s="24">
        <v>171.5</v>
      </c>
      <c r="E21" s="24">
        <v>6.52</v>
      </c>
      <c r="F21" s="24">
        <v>99592</v>
      </c>
      <c r="G21" s="24">
        <v>50008</v>
      </c>
      <c r="H21" s="24">
        <v>87.34</v>
      </c>
      <c r="I21" s="24">
        <v>12.66</v>
      </c>
    </row>
    <row r="22" spans="1:9">
      <c r="A22" s="24" t="s">
        <v>136</v>
      </c>
      <c r="B22" s="24">
        <v>2636</v>
      </c>
      <c r="C22" s="24" t="s">
        <v>77</v>
      </c>
      <c r="D22" s="24">
        <v>145</v>
      </c>
      <c r="E22" s="24">
        <v>9.85</v>
      </c>
      <c r="F22" s="24">
        <v>25487</v>
      </c>
      <c r="G22" s="24">
        <v>5819</v>
      </c>
      <c r="H22" s="24">
        <v>49.13</v>
      </c>
      <c r="I22" s="24">
        <v>50.87</v>
      </c>
    </row>
    <row r="23" spans="1:9">
      <c r="A23" s="24" t="s">
        <v>137</v>
      </c>
      <c r="B23" s="24">
        <v>2641</v>
      </c>
      <c r="C23" s="24" t="s">
        <v>97</v>
      </c>
      <c r="D23" s="24">
        <v>25</v>
      </c>
      <c r="E23" s="24">
        <v>3.73</v>
      </c>
      <c r="F23" s="24">
        <v>18231</v>
      </c>
      <c r="G23" s="24">
        <v>9223</v>
      </c>
      <c r="H23" s="24">
        <v>34.72</v>
      </c>
      <c r="I23" s="24">
        <v>65.28</v>
      </c>
    </row>
    <row r="24" spans="1:9">
      <c r="A24" s="24" t="s">
        <v>138</v>
      </c>
      <c r="B24" s="24">
        <v>3189</v>
      </c>
      <c r="C24" s="24" t="s">
        <v>98</v>
      </c>
      <c r="D24" s="24">
        <v>241.5</v>
      </c>
      <c r="E24" s="24">
        <v>3.65</v>
      </c>
      <c r="F24" s="24">
        <v>24136</v>
      </c>
      <c r="G24" s="24">
        <v>39141</v>
      </c>
      <c r="H24" s="24">
        <v>82.34</v>
      </c>
      <c r="I24" s="24">
        <v>17.66</v>
      </c>
    </row>
    <row r="25" spans="1:9">
      <c r="A25" s="24" t="s">
        <v>139</v>
      </c>
      <c r="B25" s="24">
        <v>3704</v>
      </c>
      <c r="C25" s="24" t="s">
        <v>89</v>
      </c>
      <c r="D25" s="24">
        <v>34</v>
      </c>
      <c r="E25" s="24">
        <v>4.78</v>
      </c>
      <c r="F25" s="24">
        <v>41935</v>
      </c>
      <c r="G25" s="24">
        <v>12450</v>
      </c>
      <c r="H25" s="24">
        <v>56.94</v>
      </c>
      <c r="I25" s="24">
        <v>43.06</v>
      </c>
    </row>
    <row r="26" spans="1:9">
      <c r="A26" s="24" t="s">
        <v>140</v>
      </c>
      <c r="B26" s="24">
        <v>3707</v>
      </c>
      <c r="C26" s="24" t="s">
        <v>93</v>
      </c>
      <c r="D26" s="24">
        <v>160.5</v>
      </c>
      <c r="E26" s="24">
        <v>4.22</v>
      </c>
      <c r="F26" s="24">
        <v>68284</v>
      </c>
      <c r="G26" s="24">
        <v>76076</v>
      </c>
      <c r="H26" s="24">
        <v>62.46</v>
      </c>
      <c r="I26" s="24">
        <v>37.54</v>
      </c>
    </row>
    <row r="27" spans="1:9">
      <c r="A27" s="24" t="s">
        <v>141</v>
      </c>
      <c r="B27" s="24">
        <v>4721</v>
      </c>
      <c r="C27" s="24" t="s">
        <v>64</v>
      </c>
      <c r="D27" s="24">
        <v>175.5</v>
      </c>
      <c r="E27" s="24">
        <v>4.46</v>
      </c>
      <c r="F27" s="24">
        <v>42537</v>
      </c>
      <c r="G27" s="24">
        <v>22837</v>
      </c>
      <c r="H27" s="24">
        <v>44.94</v>
      </c>
      <c r="I27" s="24">
        <v>55.06</v>
      </c>
    </row>
    <row r="28" spans="1:9">
      <c r="A28" s="24" t="s">
        <v>142</v>
      </c>
      <c r="B28" s="24">
        <v>5351</v>
      </c>
      <c r="C28" s="24" t="s">
        <v>80</v>
      </c>
      <c r="D28" s="24">
        <v>77.8</v>
      </c>
      <c r="E28" s="24">
        <v>8.36</v>
      </c>
      <c r="F28" s="24">
        <v>134030</v>
      </c>
      <c r="G28" s="24">
        <v>77777</v>
      </c>
      <c r="H28" s="24">
        <v>34.229999999999997</v>
      </c>
      <c r="I28" s="24">
        <v>65.77</v>
      </c>
    </row>
    <row r="29" spans="1:9">
      <c r="A29" s="24" t="s">
        <v>143</v>
      </c>
      <c r="B29" s="24">
        <v>5608</v>
      </c>
      <c r="C29" s="24" t="s">
        <v>86</v>
      </c>
      <c r="D29" s="24">
        <v>43.45</v>
      </c>
      <c r="E29" s="24">
        <v>5.72</v>
      </c>
      <c r="F29" s="24">
        <v>32876</v>
      </c>
      <c r="G29" s="24">
        <v>14301</v>
      </c>
      <c r="H29" s="24">
        <v>36.590000000000003</v>
      </c>
      <c r="I29" s="24">
        <v>63.41</v>
      </c>
    </row>
    <row r="30" spans="1:9">
      <c r="A30" s="24" t="s">
        <v>144</v>
      </c>
      <c r="B30" s="24">
        <v>6226</v>
      </c>
      <c r="C30" s="24" t="s">
        <v>78</v>
      </c>
      <c r="D30" s="24">
        <v>15.15</v>
      </c>
      <c r="E30" s="24">
        <v>9.7799999999999994</v>
      </c>
      <c r="F30" s="24">
        <v>20669</v>
      </c>
      <c r="G30" s="24">
        <v>3144</v>
      </c>
      <c r="H30" s="24">
        <v>25.7</v>
      </c>
      <c r="I30" s="24">
        <v>74.3</v>
      </c>
    </row>
    <row r="31" spans="1:9">
      <c r="A31" s="24" t="s">
        <v>145</v>
      </c>
      <c r="B31" s="24">
        <v>6251</v>
      </c>
      <c r="C31" s="24" t="s">
        <v>85</v>
      </c>
      <c r="D31" s="24">
        <v>22.15</v>
      </c>
      <c r="E31" s="24">
        <v>6.49</v>
      </c>
      <c r="F31" s="24">
        <v>14746</v>
      </c>
      <c r="G31" s="24">
        <v>3748</v>
      </c>
      <c r="H31" s="24">
        <v>39.07</v>
      </c>
      <c r="I31" s="24">
        <v>60.93</v>
      </c>
    </row>
    <row r="32" spans="1:9">
      <c r="A32" s="24" t="s">
        <v>146</v>
      </c>
      <c r="B32" s="24">
        <v>6411</v>
      </c>
      <c r="C32" s="24" t="s">
        <v>87</v>
      </c>
      <c r="D32" s="24">
        <v>227</v>
      </c>
      <c r="E32" s="24">
        <v>5.58</v>
      </c>
      <c r="F32" s="24">
        <v>31673</v>
      </c>
      <c r="G32" s="24">
        <v>10154</v>
      </c>
      <c r="H32" s="24">
        <v>45.81</v>
      </c>
      <c r="I32" s="24">
        <v>54.19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選股資料（日）</vt:lpstr>
      <vt:lpstr>選股資料（週）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2021-11-01T11:41:49Z</dcterms:created>
  <dcterms:modified xsi:type="dcterms:W3CDTF">2021-12-18T11:01:23Z</dcterms:modified>
</cp:coreProperties>
</file>