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7\"/>
    </mc:Choice>
  </mc:AlternateContent>
  <xr:revisionPtr revIDLastSave="0" documentId="8_{1E32B112-E75F-4764-A6EE-9EEE27BBA3BD}" xr6:coauthVersionLast="47" xr6:coauthVersionMax="47" xr10:uidLastSave="{00000000-0000-0000-0000-000000000000}"/>
  <bookViews>
    <workbookView xWindow="5292" yWindow="120" windowWidth="21288" windowHeight="12264" xr2:uid="{4056CEE9-F93D-4A91-9FDD-6AD844D9C69B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01" i="1" l="1" a="1"/>
  <c r="U101" i="1" s="1"/>
  <c r="K101" i="1" a="1"/>
  <c r="K101" i="1" s="1"/>
  <c r="S101" i="1"/>
  <c r="T101" i="1"/>
  <c r="A101" i="1" a="1"/>
  <c r="A101" i="1" s="1"/>
  <c r="F101" i="1"/>
  <c r="G101" i="1"/>
  <c r="H101" i="1"/>
  <c r="I101" i="1"/>
  <c r="J101" i="1"/>
  <c r="U100" i="1" a="1"/>
  <c r="U100" i="1" s="1"/>
  <c r="K100" i="1" a="1"/>
  <c r="K100" i="1" s="1"/>
  <c r="A100" i="1" a="1"/>
  <c r="A100" i="1" s="1"/>
  <c r="F100" i="1"/>
  <c r="H100" i="1"/>
  <c r="I100" i="1"/>
  <c r="J100" i="1"/>
  <c r="U99" i="1" a="1"/>
  <c r="U99" i="1" s="1"/>
  <c r="K99" i="1" a="1"/>
  <c r="K99" i="1" s="1"/>
  <c r="M99" i="1"/>
  <c r="T99" i="1"/>
  <c r="A99" i="1" a="1"/>
  <c r="A99" i="1" s="1"/>
  <c r="F99" i="1"/>
  <c r="J99" i="1"/>
  <c r="U98" i="1" a="1"/>
  <c r="U98" i="1" s="1"/>
  <c r="V98" i="1"/>
  <c r="W98" i="1"/>
  <c r="X98" i="1"/>
  <c r="Y98" i="1"/>
  <c r="K98" i="1" a="1"/>
  <c r="K98" i="1" s="1"/>
  <c r="O98" i="1"/>
  <c r="P98" i="1"/>
  <c r="A98" i="1" a="1"/>
  <c r="A98" i="1" s="1"/>
  <c r="D98" i="1"/>
  <c r="E98" i="1"/>
  <c r="H98" i="1"/>
  <c r="I98" i="1"/>
  <c r="J98" i="1"/>
  <c r="U97" i="1" a="1"/>
  <c r="W97" i="1" s="1"/>
  <c r="K97" i="1" a="1"/>
  <c r="K97" i="1" s="1"/>
  <c r="A97" i="1" a="1"/>
  <c r="A97" i="1" s="1"/>
  <c r="E97" i="1"/>
  <c r="F97" i="1"/>
  <c r="J97" i="1"/>
  <c r="U96" i="1" a="1"/>
  <c r="U96" i="1" s="1"/>
  <c r="V96" i="1"/>
  <c r="W96" i="1"/>
  <c r="X96" i="1"/>
  <c r="K96" i="1" a="1"/>
  <c r="K96" i="1" s="1"/>
  <c r="T96" i="1"/>
  <c r="A96" i="1" a="1"/>
  <c r="A96" i="1" s="1"/>
  <c r="C96" i="1"/>
  <c r="D96" i="1"/>
  <c r="F96" i="1"/>
  <c r="G96" i="1"/>
  <c r="H96" i="1"/>
  <c r="I96" i="1"/>
  <c r="J96" i="1"/>
  <c r="U95" i="1" a="1"/>
  <c r="U95" i="1" s="1"/>
  <c r="K95" i="1" a="1"/>
  <c r="K95" i="1" s="1"/>
  <c r="Q95" i="1"/>
  <c r="T95" i="1"/>
  <c r="A95" i="1" a="1"/>
  <c r="A95" i="1" s="1"/>
  <c r="G95" i="1"/>
  <c r="H95" i="1"/>
  <c r="I95" i="1"/>
  <c r="J95" i="1"/>
  <c r="U94" i="1" a="1"/>
  <c r="U94" i="1" s="1"/>
  <c r="K94" i="1" a="1"/>
  <c r="K94" i="1" s="1"/>
  <c r="R94" i="1"/>
  <c r="A94" i="1" a="1"/>
  <c r="A94" i="1" s="1"/>
  <c r="C94" i="1"/>
  <c r="G94" i="1"/>
  <c r="H94" i="1"/>
  <c r="I94" i="1"/>
  <c r="J94" i="1"/>
  <c r="U93" i="1" a="1"/>
  <c r="K93" i="1" a="1"/>
  <c r="K93" i="1" s="1"/>
  <c r="M93" i="1"/>
  <c r="N93" i="1"/>
  <c r="S93" i="1"/>
  <c r="T93" i="1"/>
  <c r="A93" i="1" a="1"/>
  <c r="A93" i="1" s="1"/>
  <c r="C93" i="1"/>
  <c r="D93" i="1"/>
  <c r="H93" i="1"/>
  <c r="I93" i="1"/>
  <c r="J93" i="1"/>
  <c r="U92" i="1" a="1"/>
  <c r="V92" i="1"/>
  <c r="K92" i="1" a="1"/>
  <c r="K92" i="1" s="1"/>
  <c r="M92" i="1"/>
  <c r="T92" i="1"/>
  <c r="A92" i="1" a="1"/>
  <c r="A92" i="1" s="1"/>
  <c r="D92" i="1"/>
  <c r="E92" i="1"/>
  <c r="I92" i="1"/>
  <c r="J92" i="1"/>
  <c r="U91" i="1" a="1"/>
  <c r="W91" i="1" s="1"/>
  <c r="Y91" i="1"/>
  <c r="K91" i="1" a="1"/>
  <c r="K91" i="1" s="1"/>
  <c r="L91" i="1"/>
  <c r="N91" i="1"/>
  <c r="O91" i="1"/>
  <c r="P91" i="1"/>
  <c r="A91" i="1" a="1"/>
  <c r="A91" i="1" s="1"/>
  <c r="U90" i="1" a="1"/>
  <c r="U90" i="1" s="1"/>
  <c r="Y90" i="1"/>
  <c r="Z90" i="1"/>
  <c r="K90" i="1" a="1"/>
  <c r="M90" i="1" s="1"/>
  <c r="A90" i="1" a="1"/>
  <c r="A90" i="1" s="1"/>
  <c r="F90" i="1"/>
  <c r="G90" i="1"/>
  <c r="H90" i="1"/>
  <c r="I90" i="1"/>
  <c r="J90" i="1"/>
  <c r="U89" i="1" a="1"/>
  <c r="U89" i="1" s="1"/>
  <c r="X89" i="1"/>
  <c r="Y89" i="1"/>
  <c r="Z89" i="1"/>
  <c r="K89" i="1" a="1"/>
  <c r="M89" i="1" s="1"/>
  <c r="A89" i="1" a="1"/>
  <c r="A89" i="1" s="1"/>
  <c r="F89" i="1"/>
  <c r="G89" i="1"/>
  <c r="I89" i="1"/>
  <c r="J89" i="1"/>
  <c r="U88" i="1" a="1"/>
  <c r="U88" i="1" s="1"/>
  <c r="X88" i="1"/>
  <c r="Y88" i="1"/>
  <c r="Z88" i="1"/>
  <c r="K88" i="1" a="1"/>
  <c r="O88" i="1" s="1"/>
  <c r="A88" i="1" a="1"/>
  <c r="A88" i="1" s="1"/>
  <c r="H88" i="1"/>
  <c r="U87" i="1" a="1"/>
  <c r="U87" i="1" s="1"/>
  <c r="K87" i="1" a="1"/>
  <c r="K87" i="1" s="1"/>
  <c r="L87" i="1"/>
  <c r="M87" i="1"/>
  <c r="N87" i="1"/>
  <c r="O87" i="1"/>
  <c r="P87" i="1"/>
  <c r="A87" i="1" a="1"/>
  <c r="A87" i="1" s="1"/>
  <c r="G87" i="1"/>
  <c r="J87" i="1"/>
  <c r="U86" i="1" a="1"/>
  <c r="U86" i="1" s="1"/>
  <c r="Y86" i="1"/>
  <c r="Z86" i="1"/>
  <c r="K86" i="1" a="1"/>
  <c r="M86" i="1"/>
  <c r="N86" i="1"/>
  <c r="A86" i="1" a="1"/>
  <c r="A86" i="1" s="1"/>
  <c r="F86" i="1"/>
  <c r="I86" i="1"/>
  <c r="J86" i="1"/>
  <c r="U85" i="1" a="1"/>
  <c r="U85" i="1" s="1"/>
  <c r="Y85" i="1"/>
  <c r="Z85" i="1"/>
  <c r="K85" i="1" a="1"/>
  <c r="L85" i="1"/>
  <c r="M85" i="1"/>
  <c r="A85" i="1" a="1"/>
  <c r="A85" i="1" s="1"/>
  <c r="E85" i="1"/>
  <c r="F85" i="1"/>
  <c r="G85" i="1"/>
  <c r="H85" i="1"/>
  <c r="I85" i="1"/>
  <c r="J85" i="1"/>
  <c r="U84" i="1" a="1"/>
  <c r="U84" i="1" s="1"/>
  <c r="V84" i="1"/>
  <c r="W84" i="1"/>
  <c r="X84" i="1"/>
  <c r="Y84" i="1"/>
  <c r="Z84" i="1"/>
  <c r="K84" i="1" a="1"/>
  <c r="A84" i="1" a="1"/>
  <c r="A84" i="1" s="1"/>
  <c r="E84" i="1"/>
  <c r="H84" i="1"/>
  <c r="I84" i="1"/>
  <c r="J84" i="1"/>
  <c r="U83" i="1" a="1"/>
  <c r="U83" i="1"/>
  <c r="V83" i="1"/>
  <c r="W83" i="1"/>
  <c r="X83" i="1"/>
  <c r="Y83" i="1"/>
  <c r="Z83" i="1"/>
  <c r="K83" i="1" a="1"/>
  <c r="K83" i="1" s="1"/>
  <c r="A83" i="1" a="1"/>
  <c r="A83" i="1" s="1"/>
  <c r="C83" i="1"/>
  <c r="D83" i="1"/>
  <c r="E83" i="1"/>
  <c r="F83" i="1"/>
  <c r="G83" i="1"/>
  <c r="H83" i="1"/>
  <c r="I83" i="1"/>
  <c r="J83" i="1"/>
  <c r="U82" i="1" a="1"/>
  <c r="U82" i="1" s="1"/>
  <c r="V82" i="1"/>
  <c r="W82" i="1"/>
  <c r="X82" i="1"/>
  <c r="Y82" i="1"/>
  <c r="Z82" i="1"/>
  <c r="K82" i="1" a="1"/>
  <c r="K82" i="1" s="1"/>
  <c r="L82" i="1"/>
  <c r="N82" i="1"/>
  <c r="O82" i="1"/>
  <c r="P82" i="1"/>
  <c r="Q82" i="1"/>
  <c r="A82" i="1" a="1"/>
  <c r="A82" i="1" s="1"/>
  <c r="I82" i="1"/>
  <c r="J82" i="1"/>
  <c r="U81" i="1" a="1"/>
  <c r="W81" i="1"/>
  <c r="X81" i="1"/>
  <c r="K81" i="1" a="1"/>
  <c r="K81" i="1" s="1"/>
  <c r="O81" i="1"/>
  <c r="P81" i="1"/>
  <c r="A81" i="1" a="1"/>
  <c r="A81" i="1" s="1"/>
  <c r="J81" i="1"/>
  <c r="U80" i="1" a="1"/>
  <c r="W80" i="1" s="1"/>
  <c r="K80" i="1" a="1"/>
  <c r="K80" i="1" s="1"/>
  <c r="M80" i="1"/>
  <c r="N80" i="1"/>
  <c r="O80" i="1"/>
  <c r="P80" i="1"/>
  <c r="T80" i="1"/>
  <c r="A80" i="1" a="1"/>
  <c r="A80" i="1" s="1"/>
  <c r="B80" i="1"/>
  <c r="C80" i="1"/>
  <c r="D80" i="1"/>
  <c r="F80" i="1"/>
  <c r="G80" i="1"/>
  <c r="H80" i="1"/>
  <c r="I80" i="1"/>
  <c r="J80" i="1"/>
  <c r="U79" i="1" a="1"/>
  <c r="K79" i="1" a="1"/>
  <c r="K79" i="1" s="1"/>
  <c r="S79" i="1"/>
  <c r="T79" i="1"/>
  <c r="A79" i="1" a="1"/>
  <c r="A79" i="1" s="1"/>
  <c r="D79" i="1"/>
  <c r="E79" i="1"/>
  <c r="F79" i="1"/>
  <c r="G79" i="1"/>
  <c r="H79" i="1"/>
  <c r="I79" i="1"/>
  <c r="J79" i="1"/>
  <c r="U78" i="1" a="1"/>
  <c r="W78" i="1" s="1"/>
  <c r="K78" i="1" a="1"/>
  <c r="K78" i="1" s="1"/>
  <c r="T78" i="1"/>
  <c r="A78" i="1" a="1"/>
  <c r="A78" i="1" s="1"/>
  <c r="U77" i="1" a="1"/>
  <c r="U77" i="1" s="1"/>
  <c r="Y77" i="1"/>
  <c r="Z77" i="1"/>
  <c r="K77" i="1" a="1"/>
  <c r="A77" i="1" a="1"/>
  <c r="A77" i="1" s="1"/>
  <c r="D77" i="1"/>
  <c r="E77" i="1"/>
  <c r="F77" i="1"/>
  <c r="G77" i="1"/>
  <c r="H77" i="1"/>
  <c r="I77" i="1"/>
  <c r="J77" i="1"/>
  <c r="U76" i="1" a="1"/>
  <c r="U76" i="1" s="1"/>
  <c r="W76" i="1"/>
  <c r="X76" i="1"/>
  <c r="Y76" i="1"/>
  <c r="Z76" i="1"/>
  <c r="K76" i="1" a="1"/>
  <c r="A76" i="1" a="1"/>
  <c r="A76" i="1" s="1"/>
  <c r="D76" i="1"/>
  <c r="E76" i="1"/>
  <c r="F76" i="1"/>
  <c r="G76" i="1"/>
  <c r="H76" i="1"/>
  <c r="I76" i="1"/>
  <c r="J76" i="1"/>
  <c r="U75" i="1" a="1"/>
  <c r="U75" i="1" s="1"/>
  <c r="V75" i="1"/>
  <c r="W75" i="1"/>
  <c r="X75" i="1"/>
  <c r="Y75" i="1"/>
  <c r="Z75" i="1"/>
  <c r="K75" i="1" a="1"/>
  <c r="K75" i="1" s="1"/>
  <c r="A75" i="1" a="1"/>
  <c r="A75" i="1" s="1"/>
  <c r="D75" i="1"/>
  <c r="E75" i="1"/>
  <c r="F75" i="1"/>
  <c r="G75" i="1"/>
  <c r="H75" i="1"/>
  <c r="I75" i="1"/>
  <c r="J75" i="1"/>
  <c r="U74" i="1" a="1"/>
  <c r="U74" i="1" s="1"/>
  <c r="X74" i="1"/>
  <c r="Y74" i="1"/>
  <c r="Z74" i="1"/>
  <c r="K74" i="1" a="1"/>
  <c r="K74" i="1" s="1"/>
  <c r="A74" i="1" a="1"/>
  <c r="A74" i="1" s="1"/>
  <c r="D74" i="1"/>
  <c r="E74" i="1"/>
  <c r="F74" i="1"/>
  <c r="G74" i="1"/>
  <c r="H74" i="1"/>
  <c r="I74" i="1"/>
  <c r="J74" i="1"/>
  <c r="U73" i="1" a="1"/>
  <c r="U73" i="1" s="1"/>
  <c r="Z73" i="1"/>
  <c r="K73" i="1" a="1"/>
  <c r="L73" i="1" s="1"/>
  <c r="A73" i="1" a="1"/>
  <c r="A73" i="1" s="1"/>
  <c r="F73" i="1"/>
  <c r="G73" i="1"/>
  <c r="H73" i="1"/>
  <c r="I73" i="1"/>
  <c r="J73" i="1"/>
  <c r="U72" i="1" a="1"/>
  <c r="U72" i="1" s="1"/>
  <c r="W72" i="1"/>
  <c r="X72" i="1"/>
  <c r="Y72" i="1"/>
  <c r="Z72" i="1"/>
  <c r="K72" i="1" a="1"/>
  <c r="L72" i="1"/>
  <c r="A72" i="1" a="1"/>
  <c r="A72" i="1" s="1"/>
  <c r="E72" i="1"/>
  <c r="F72" i="1"/>
  <c r="H72" i="1"/>
  <c r="I72" i="1"/>
  <c r="J72" i="1"/>
  <c r="U71" i="1" a="1"/>
  <c r="U71" i="1" s="1"/>
  <c r="V71" i="1"/>
  <c r="W71" i="1"/>
  <c r="X71" i="1"/>
  <c r="Y71" i="1"/>
  <c r="Z71" i="1"/>
  <c r="K71" i="1" a="1"/>
  <c r="A71" i="1" a="1"/>
  <c r="A71" i="1" s="1"/>
  <c r="G71" i="1"/>
  <c r="U70" i="1" a="1"/>
  <c r="U70" i="1" s="1"/>
  <c r="W70" i="1"/>
  <c r="Y70" i="1"/>
  <c r="Z70" i="1"/>
  <c r="K70" i="1" a="1"/>
  <c r="K70" i="1" s="1"/>
  <c r="M70" i="1"/>
  <c r="N70" i="1"/>
  <c r="O70" i="1"/>
  <c r="P70" i="1"/>
  <c r="A70" i="1" a="1"/>
  <c r="A70" i="1" s="1"/>
  <c r="B70" i="1"/>
  <c r="G70" i="1"/>
  <c r="H70" i="1"/>
  <c r="U69" i="1" a="1"/>
  <c r="U69" i="1" s="1"/>
  <c r="Y69" i="1"/>
  <c r="Z69" i="1"/>
  <c r="K69" i="1" a="1"/>
  <c r="K69" i="1" s="1"/>
  <c r="M69" i="1"/>
  <c r="N69" i="1"/>
  <c r="O69" i="1"/>
  <c r="A69" i="1" a="1"/>
  <c r="A69" i="1" s="1"/>
  <c r="H69" i="1"/>
  <c r="U68" i="1" a="1"/>
  <c r="U68" i="1" s="1"/>
  <c r="X68" i="1"/>
  <c r="Y68" i="1"/>
  <c r="K68" i="1" a="1"/>
  <c r="K68" i="1" s="1"/>
  <c r="N68" i="1"/>
  <c r="O68" i="1"/>
  <c r="P68" i="1"/>
  <c r="A68" i="1" a="1"/>
  <c r="A68" i="1" s="1"/>
  <c r="C68" i="1"/>
  <c r="D68" i="1"/>
  <c r="I68" i="1"/>
  <c r="J68" i="1"/>
  <c r="U67" i="1" a="1"/>
  <c r="U67" i="1" s="1"/>
  <c r="Y67" i="1"/>
  <c r="K67" i="1" a="1"/>
  <c r="K67" i="1" s="1"/>
  <c r="M67" i="1"/>
  <c r="N67" i="1"/>
  <c r="O67" i="1"/>
  <c r="P67" i="1"/>
  <c r="Q67" i="1"/>
  <c r="R67" i="1"/>
  <c r="S67" i="1"/>
  <c r="A67" i="1" a="1"/>
  <c r="A67" i="1" s="1"/>
  <c r="U66" i="1" a="1"/>
  <c r="U66" i="1" s="1"/>
  <c r="K66" i="1" a="1"/>
  <c r="K66" i="1" s="1"/>
  <c r="O66" i="1"/>
  <c r="Q66" i="1"/>
  <c r="R66" i="1"/>
  <c r="S66" i="1"/>
  <c r="T66" i="1"/>
  <c r="A66" i="1" a="1"/>
  <c r="A66" i="1" s="1"/>
  <c r="U65" i="1" a="1"/>
  <c r="U65" i="1" s="1"/>
  <c r="Z65" i="1"/>
  <c r="K65" i="1" a="1"/>
  <c r="K65" i="1" s="1"/>
  <c r="Q65" i="1"/>
  <c r="S65" i="1"/>
  <c r="A65" i="1" a="1"/>
  <c r="A65" i="1" s="1"/>
  <c r="B65" i="1"/>
  <c r="C65" i="1"/>
  <c r="D65" i="1"/>
  <c r="U64" i="1" a="1"/>
  <c r="U64" i="1" s="1"/>
  <c r="Z64" i="1"/>
  <c r="K64" i="1" a="1"/>
  <c r="K64" i="1" s="1"/>
  <c r="Q64" i="1"/>
  <c r="S64" i="1"/>
  <c r="T64" i="1"/>
  <c r="A64" i="1" a="1"/>
  <c r="D64" i="1" s="1"/>
  <c r="U63" i="1" a="1"/>
  <c r="U63" i="1" s="1"/>
  <c r="K63" i="1" a="1"/>
  <c r="K63" i="1" s="1"/>
  <c r="T63" i="1"/>
  <c r="A63" i="1" a="1"/>
  <c r="D63" i="1" s="1"/>
  <c r="C63" i="1"/>
  <c r="U62" i="1" a="1"/>
  <c r="U62" i="1" s="1"/>
  <c r="K62" i="1" a="1"/>
  <c r="K62" i="1" s="1"/>
  <c r="A62" i="1" a="1"/>
  <c r="A62" i="1" s="1"/>
  <c r="B62" i="1"/>
  <c r="C62" i="1"/>
  <c r="D62" i="1"/>
  <c r="U61" i="1" a="1"/>
  <c r="U61" i="1" s="1"/>
  <c r="K61" i="1" a="1"/>
  <c r="K61" i="1" s="1"/>
  <c r="A61" i="1" a="1"/>
  <c r="A61" i="1" s="1"/>
  <c r="D61" i="1"/>
  <c r="E61" i="1"/>
  <c r="G61" i="1"/>
  <c r="U60" i="1" a="1"/>
  <c r="U60" i="1" s="1"/>
  <c r="Y60" i="1"/>
  <c r="K60" i="1" a="1"/>
  <c r="K60" i="1" s="1"/>
  <c r="O60" i="1"/>
  <c r="P60" i="1"/>
  <c r="S60" i="1"/>
  <c r="T60" i="1"/>
  <c r="A60" i="1" a="1"/>
  <c r="A60" i="1" s="1"/>
  <c r="D60" i="1"/>
  <c r="F60" i="1"/>
  <c r="G60" i="1"/>
  <c r="H60" i="1"/>
  <c r="I60" i="1"/>
  <c r="J60" i="1"/>
  <c r="U59" i="1" a="1"/>
  <c r="U59" i="1" s="1"/>
  <c r="X59" i="1"/>
  <c r="Y59" i="1"/>
  <c r="K59" i="1" a="1"/>
  <c r="K59" i="1" s="1"/>
  <c r="N59" i="1"/>
  <c r="S59" i="1"/>
  <c r="T59" i="1"/>
  <c r="A59" i="1" a="1"/>
  <c r="A59" i="1" s="1"/>
  <c r="E59" i="1"/>
  <c r="F59" i="1"/>
  <c r="G59" i="1"/>
  <c r="I59" i="1"/>
  <c r="J59" i="1"/>
  <c r="U58" i="1" a="1"/>
  <c r="W58" i="1" s="1"/>
  <c r="K58" i="1" a="1"/>
  <c r="K58" i="1" s="1"/>
  <c r="O58" i="1"/>
  <c r="T58" i="1"/>
  <c r="A58" i="1" a="1"/>
  <c r="A58" i="1" s="1"/>
  <c r="U57" i="1" a="1"/>
  <c r="U57" i="1" s="1"/>
  <c r="W57" i="1"/>
  <c r="X57" i="1"/>
  <c r="Y57" i="1"/>
  <c r="K57" i="1" a="1"/>
  <c r="K57" i="1" s="1"/>
  <c r="M57" i="1"/>
  <c r="N57" i="1"/>
  <c r="P57" i="1"/>
  <c r="Q57" i="1"/>
  <c r="S57" i="1"/>
  <c r="A57" i="1" a="1"/>
  <c r="A57" i="1" s="1"/>
  <c r="F57" i="1"/>
  <c r="G57" i="1"/>
  <c r="H57" i="1"/>
  <c r="J57" i="1"/>
  <c r="U56" i="1" a="1"/>
  <c r="U56" i="1" s="1"/>
  <c r="K56" i="1" a="1"/>
  <c r="K56" i="1" s="1"/>
  <c r="L56" i="1"/>
  <c r="N56" i="1"/>
  <c r="O56" i="1"/>
  <c r="P56" i="1"/>
  <c r="Q56" i="1"/>
  <c r="R56" i="1"/>
  <c r="A56" i="1" a="1"/>
  <c r="A56" i="1" s="1"/>
  <c r="J56" i="1"/>
  <c r="U55" i="1" a="1"/>
  <c r="U55" i="1" s="1"/>
  <c r="K55" i="1" a="1"/>
  <c r="K55" i="1" s="1"/>
  <c r="N55" i="1"/>
  <c r="O55" i="1"/>
  <c r="P55" i="1"/>
  <c r="R55" i="1"/>
  <c r="S55" i="1"/>
  <c r="T55" i="1"/>
  <c r="A55" i="1" a="1"/>
  <c r="U54" i="1" a="1"/>
  <c r="U54" i="1" s="1"/>
  <c r="K54" i="1" a="1"/>
  <c r="K54" i="1" s="1"/>
  <c r="O54" i="1"/>
  <c r="P54" i="1"/>
  <c r="R54" i="1"/>
  <c r="A54" i="1" a="1"/>
  <c r="A54" i="1" s="1"/>
  <c r="J54" i="1"/>
  <c r="U53" i="1" a="1"/>
  <c r="X53" i="1" s="1"/>
  <c r="K53" i="1" a="1"/>
  <c r="K53" i="1" s="1"/>
  <c r="Q53" i="1"/>
  <c r="S53" i="1"/>
  <c r="T53" i="1"/>
  <c r="A53" i="1" a="1"/>
  <c r="A53" i="1" s="1"/>
  <c r="I53" i="1"/>
  <c r="J53" i="1"/>
  <c r="U52" i="1" a="1"/>
  <c r="U52" i="1" s="1"/>
  <c r="Z52" i="1"/>
  <c r="K52" i="1" a="1"/>
  <c r="K52" i="1" s="1"/>
  <c r="R52" i="1"/>
  <c r="S52" i="1"/>
  <c r="T52" i="1"/>
  <c r="A52" i="1" a="1"/>
  <c r="U51" i="1" a="1"/>
  <c r="U51" i="1" s="1"/>
  <c r="Z51" i="1"/>
  <c r="K51" i="1" a="1"/>
  <c r="K51" i="1" s="1"/>
  <c r="T51" i="1"/>
  <c r="A51" i="1" a="1"/>
  <c r="C51" i="1"/>
  <c r="D51" i="1"/>
  <c r="U50" i="1" a="1"/>
  <c r="U50" i="1" s="1"/>
  <c r="K50" i="1" a="1"/>
  <c r="K50" i="1" s="1"/>
  <c r="A50" i="1" a="1"/>
  <c r="A50" i="1" s="1"/>
  <c r="C50" i="1"/>
  <c r="D50" i="1"/>
  <c r="E50" i="1"/>
  <c r="U49" i="1" a="1"/>
  <c r="V49" i="1" s="1"/>
  <c r="U49" i="1"/>
  <c r="Y49" i="1"/>
  <c r="K49" i="1" a="1"/>
  <c r="K49" i="1" s="1"/>
  <c r="Q49" i="1"/>
  <c r="R49" i="1"/>
  <c r="S49" i="1"/>
  <c r="A49" i="1" a="1"/>
  <c r="A49" i="1" s="1"/>
  <c r="F49" i="1"/>
  <c r="G49" i="1"/>
  <c r="H49" i="1"/>
  <c r="J49" i="1"/>
  <c r="U48" i="1" a="1"/>
  <c r="U48" i="1" s="1"/>
  <c r="K48" i="1" a="1"/>
  <c r="O48" i="1" s="1"/>
  <c r="A48" i="1" a="1"/>
  <c r="A48" i="1" s="1"/>
  <c r="C48" i="1"/>
  <c r="H48" i="1"/>
  <c r="I48" i="1"/>
  <c r="U47" i="1" a="1"/>
  <c r="U47" i="1" s="1"/>
  <c r="Y47" i="1"/>
  <c r="Z47" i="1"/>
  <c r="K47" i="1" a="1"/>
  <c r="K47" i="1" s="1"/>
  <c r="O47" i="1"/>
  <c r="P47" i="1"/>
  <c r="Q47" i="1"/>
  <c r="R47" i="1"/>
  <c r="A47" i="1" a="1"/>
  <c r="A47" i="1" s="1"/>
  <c r="B47" i="1"/>
  <c r="D47" i="1"/>
  <c r="E47" i="1"/>
  <c r="J47" i="1"/>
  <c r="U46" i="1" a="1"/>
  <c r="U46" i="1" s="1"/>
  <c r="K46" i="1" a="1"/>
  <c r="K46" i="1" s="1"/>
  <c r="O46" i="1"/>
  <c r="P46" i="1"/>
  <c r="Q46" i="1"/>
  <c r="R46" i="1"/>
  <c r="A46" i="1" a="1"/>
  <c r="A46" i="1" s="1"/>
  <c r="B46" i="1"/>
  <c r="E46" i="1"/>
  <c r="J46" i="1"/>
  <c r="U45" i="1" a="1"/>
  <c r="U45" i="1" s="1"/>
  <c r="K45" i="1" a="1"/>
  <c r="K45" i="1" s="1"/>
  <c r="P45" i="1"/>
  <c r="Q45" i="1"/>
  <c r="R45" i="1"/>
  <c r="A45" i="1" a="1"/>
  <c r="A45" i="1" s="1"/>
  <c r="B45" i="1"/>
  <c r="E45" i="1"/>
  <c r="J45" i="1"/>
  <c r="U44" i="1" a="1"/>
  <c r="U44" i="1" s="1"/>
  <c r="K44" i="1" a="1"/>
  <c r="N44" i="1" s="1"/>
  <c r="A44" i="1" a="1"/>
  <c r="A44" i="1" s="1"/>
  <c r="E44" i="1"/>
  <c r="F44" i="1"/>
  <c r="U43" i="1" a="1"/>
  <c r="U43" i="1" s="1"/>
  <c r="K43" i="1" a="1"/>
  <c r="K43" i="1" s="1"/>
  <c r="M43" i="1"/>
  <c r="N43" i="1"/>
  <c r="P43" i="1"/>
  <c r="Q43" i="1"/>
  <c r="R43" i="1"/>
  <c r="S43" i="1"/>
  <c r="T43" i="1"/>
  <c r="A43" i="1" a="1"/>
  <c r="A43" i="1" s="1"/>
  <c r="D43" i="1"/>
  <c r="E43" i="1"/>
  <c r="H43" i="1"/>
  <c r="U42" i="1" a="1"/>
  <c r="U42" i="1" s="1"/>
  <c r="X42" i="1"/>
  <c r="Y42" i="1"/>
  <c r="K42" i="1" a="1"/>
  <c r="K42" i="1" s="1"/>
  <c r="O42" i="1"/>
  <c r="P42" i="1"/>
  <c r="R42" i="1"/>
  <c r="S42" i="1"/>
  <c r="T42" i="1"/>
  <c r="A42" i="1" a="1"/>
  <c r="U41" i="1" a="1"/>
  <c r="U41" i="1" s="1"/>
  <c r="Z41" i="1"/>
  <c r="K41" i="1" a="1"/>
  <c r="K41" i="1" s="1"/>
  <c r="Q41" i="1"/>
  <c r="A41" i="1" a="1"/>
  <c r="B41" i="1" s="1"/>
  <c r="C41" i="1"/>
  <c r="U40" i="1" a="1"/>
  <c r="U40" i="1" s="1"/>
  <c r="Y40" i="1"/>
  <c r="Z40" i="1"/>
  <c r="K40" i="1" a="1"/>
  <c r="K40" i="1" s="1"/>
  <c r="L40" i="1"/>
  <c r="N40" i="1"/>
  <c r="O40" i="1"/>
  <c r="P40" i="1"/>
  <c r="R40" i="1"/>
  <c r="S40" i="1"/>
  <c r="T40" i="1"/>
  <c r="A40" i="1" a="1"/>
  <c r="U39" i="1" a="1"/>
  <c r="U39" i="1" s="1"/>
  <c r="W39" i="1"/>
  <c r="X39" i="1"/>
  <c r="Z39" i="1"/>
  <c r="K39" i="1" a="1"/>
  <c r="K39" i="1" s="1"/>
  <c r="O39" i="1"/>
  <c r="P39" i="1"/>
  <c r="R39" i="1"/>
  <c r="S39" i="1"/>
  <c r="T39" i="1"/>
  <c r="A39" i="1" a="1"/>
  <c r="U38" i="1" a="1"/>
  <c r="U38" i="1" s="1"/>
  <c r="X38" i="1"/>
  <c r="Y38" i="1"/>
  <c r="K38" i="1" a="1"/>
  <c r="K38" i="1" s="1"/>
  <c r="O38" i="1"/>
  <c r="R38" i="1"/>
  <c r="S38" i="1"/>
  <c r="T38" i="1"/>
  <c r="A38" i="1" a="1"/>
  <c r="U37" i="1" a="1"/>
  <c r="U37" i="1" s="1"/>
  <c r="W37" i="1"/>
  <c r="X37" i="1"/>
  <c r="K37" i="1" a="1"/>
  <c r="K37" i="1" s="1"/>
  <c r="M37" i="1"/>
  <c r="P37" i="1"/>
  <c r="Q37" i="1"/>
  <c r="R37" i="1"/>
  <c r="S37" i="1"/>
  <c r="A37" i="1" a="1"/>
  <c r="A37" i="1" s="1"/>
  <c r="B37" i="1"/>
  <c r="C37" i="1"/>
  <c r="F37" i="1"/>
  <c r="I37" i="1"/>
  <c r="U36" i="1" a="1"/>
  <c r="U36" i="1" s="1"/>
  <c r="K36" i="1" a="1"/>
  <c r="P36" i="1" s="1"/>
  <c r="A36" i="1" a="1"/>
  <c r="A36" i="1" s="1"/>
  <c r="D36" i="1"/>
  <c r="G36" i="1"/>
  <c r="J36" i="1"/>
  <c r="U35" i="1" a="1"/>
  <c r="U35" i="1" s="1"/>
  <c r="W35" i="1"/>
  <c r="X35" i="1"/>
  <c r="Z35" i="1"/>
  <c r="K35" i="1" a="1"/>
  <c r="K35" i="1" s="1"/>
  <c r="P35" i="1"/>
  <c r="S35" i="1"/>
  <c r="T35" i="1"/>
  <c r="A35" i="1" a="1"/>
  <c r="C35" i="1"/>
  <c r="U34" i="1" a="1"/>
  <c r="U34" i="1" s="1"/>
  <c r="X34" i="1"/>
  <c r="Y34" i="1"/>
  <c r="Z34" i="1"/>
  <c r="K34" i="1" a="1"/>
  <c r="K34" i="1" s="1"/>
  <c r="Q34" i="1"/>
  <c r="A34" i="1" a="1"/>
  <c r="B34" i="1" s="1"/>
  <c r="U33" i="1" a="1"/>
  <c r="U33" i="1" s="1"/>
  <c r="Y33" i="1"/>
  <c r="K33" i="1" a="1"/>
  <c r="K33" i="1" s="1"/>
  <c r="M33" i="1"/>
  <c r="R33" i="1"/>
  <c r="A33" i="1" a="1"/>
  <c r="A33" i="1" s="1"/>
  <c r="C33" i="1"/>
  <c r="D33" i="1"/>
  <c r="E33" i="1"/>
  <c r="U32" i="1" a="1"/>
  <c r="U32" i="1" s="1"/>
  <c r="K32" i="1" a="1"/>
  <c r="L32" i="1" s="1"/>
  <c r="T32" i="1"/>
  <c r="A32" i="1" a="1"/>
  <c r="B32" i="1"/>
  <c r="C32" i="1"/>
  <c r="U31" i="1" a="1"/>
  <c r="U31" i="1" s="1"/>
  <c r="Z31" i="1"/>
  <c r="K31" i="1" a="1"/>
  <c r="P31" i="1" s="1"/>
  <c r="S31" i="1"/>
  <c r="T31" i="1"/>
  <c r="A31" i="1" a="1"/>
  <c r="C31" i="1" s="1"/>
  <c r="U30" i="1" a="1"/>
  <c r="U30" i="1" s="1"/>
  <c r="Z30" i="1"/>
  <c r="K30" i="1" a="1"/>
  <c r="S30" i="1" s="1"/>
  <c r="A30" i="1" a="1"/>
  <c r="A30" i="1" s="1"/>
  <c r="C30" i="1"/>
  <c r="D30" i="1"/>
  <c r="E30" i="1"/>
  <c r="F30" i="1"/>
  <c r="J30" i="1"/>
  <c r="U29" i="1" a="1"/>
  <c r="U29" i="1" s="1"/>
  <c r="W29" i="1"/>
  <c r="X29" i="1"/>
  <c r="Y29" i="1"/>
  <c r="K29" i="1" a="1"/>
  <c r="K29" i="1" s="1"/>
  <c r="N29" i="1"/>
  <c r="O29" i="1"/>
  <c r="T29" i="1"/>
  <c r="A29" i="1" a="1"/>
  <c r="A29" i="1" s="1"/>
  <c r="C29" i="1"/>
  <c r="D29" i="1"/>
  <c r="E29" i="1"/>
  <c r="F29" i="1"/>
  <c r="J29" i="1"/>
  <c r="U28" i="1" a="1"/>
  <c r="U28" i="1" s="1"/>
  <c r="W28" i="1"/>
  <c r="Y28" i="1"/>
  <c r="K28" i="1" a="1"/>
  <c r="K28" i="1" s="1"/>
  <c r="N28" i="1"/>
  <c r="O28" i="1"/>
  <c r="T28" i="1"/>
  <c r="A28" i="1" a="1"/>
  <c r="A28" i="1" s="1"/>
  <c r="C28" i="1"/>
  <c r="D28" i="1"/>
  <c r="E28" i="1"/>
  <c r="F28" i="1"/>
  <c r="U27" i="1" a="1"/>
  <c r="U27" i="1" s="1"/>
  <c r="V27" i="1"/>
  <c r="X27" i="1"/>
  <c r="Z27" i="1"/>
  <c r="K27" i="1" a="1"/>
  <c r="K27" i="1" s="1"/>
  <c r="M27" i="1"/>
  <c r="N27" i="1"/>
  <c r="Q27" i="1"/>
  <c r="S27" i="1"/>
  <c r="T27" i="1"/>
  <c r="A27" i="1" a="1"/>
  <c r="A27" i="1" s="1"/>
  <c r="C27" i="1"/>
  <c r="D27" i="1"/>
  <c r="E27" i="1"/>
  <c r="F27" i="1"/>
  <c r="U26" i="1" a="1"/>
  <c r="U26" i="1" s="1"/>
  <c r="V26" i="1"/>
  <c r="Z26" i="1"/>
  <c r="K26" i="1" a="1"/>
  <c r="K26" i="1" s="1"/>
  <c r="M26" i="1"/>
  <c r="N26" i="1"/>
  <c r="S26" i="1"/>
  <c r="A26" i="1" a="1"/>
  <c r="A26" i="1" s="1"/>
  <c r="C26" i="1"/>
  <c r="D26" i="1"/>
  <c r="E26" i="1"/>
  <c r="F26" i="1"/>
  <c r="U25" i="1" a="1"/>
  <c r="U25" i="1" s="1"/>
  <c r="K25" i="1" a="1"/>
  <c r="K25" i="1" s="1"/>
  <c r="M25" i="1"/>
  <c r="N25" i="1"/>
  <c r="S25" i="1"/>
  <c r="A25" i="1" a="1"/>
  <c r="A25" i="1" s="1"/>
  <c r="D25" i="1"/>
  <c r="E25" i="1"/>
  <c r="F25" i="1"/>
  <c r="G25" i="1"/>
  <c r="U24" i="1" a="1"/>
  <c r="U24" i="1" s="1"/>
  <c r="W24" i="1"/>
  <c r="X24" i="1"/>
  <c r="K24" i="1" a="1"/>
  <c r="K24" i="1" s="1"/>
  <c r="O24" i="1"/>
  <c r="P24" i="1"/>
  <c r="Q24" i="1"/>
  <c r="R24" i="1"/>
  <c r="A24" i="1" a="1"/>
  <c r="A24" i="1" s="1"/>
  <c r="C24" i="1"/>
  <c r="E24" i="1"/>
  <c r="F24" i="1"/>
  <c r="G24" i="1"/>
  <c r="H24" i="1"/>
  <c r="I24" i="1"/>
  <c r="U23" i="1" a="1"/>
  <c r="U23" i="1" s="1"/>
  <c r="W23" i="1"/>
  <c r="X23" i="1"/>
  <c r="Y23" i="1"/>
  <c r="K23" i="1" a="1"/>
  <c r="K23" i="1" s="1"/>
  <c r="O23" i="1"/>
  <c r="Q23" i="1"/>
  <c r="R23" i="1"/>
  <c r="A23" i="1" a="1"/>
  <c r="A23" i="1" s="1"/>
  <c r="D23" i="1"/>
  <c r="G23" i="1"/>
  <c r="H23" i="1"/>
  <c r="I23" i="1"/>
  <c r="J23" i="1"/>
  <c r="U22" i="1" a="1"/>
  <c r="U22" i="1" s="1"/>
  <c r="K22" i="1" a="1"/>
  <c r="K22" i="1" s="1"/>
  <c r="T22" i="1"/>
  <c r="A22" i="1" a="1"/>
  <c r="A22" i="1" s="1"/>
  <c r="F22" i="1"/>
  <c r="G22" i="1"/>
  <c r="J22" i="1"/>
  <c r="U21" i="1" a="1"/>
  <c r="U21" i="1" s="1"/>
  <c r="Y21" i="1"/>
  <c r="Z21" i="1"/>
  <c r="K21" i="1" a="1"/>
  <c r="K21" i="1" s="1"/>
  <c r="N21" i="1"/>
  <c r="O21" i="1"/>
  <c r="P21" i="1"/>
  <c r="Q21" i="1"/>
  <c r="A21" i="1" a="1"/>
  <c r="A21" i="1" s="1"/>
  <c r="U20" i="1" a="1"/>
  <c r="V20" i="1" s="1"/>
  <c r="K20" i="1" a="1"/>
  <c r="S20" i="1" s="1"/>
  <c r="T20" i="1"/>
  <c r="A20" i="1" a="1"/>
  <c r="D20" i="1" s="1"/>
  <c r="U19" i="1" a="1"/>
  <c r="U19" i="1" s="1"/>
  <c r="V19" i="1"/>
  <c r="X19" i="1"/>
  <c r="Y19" i="1"/>
  <c r="Z19" i="1"/>
  <c r="K19" i="1" a="1"/>
  <c r="Q19" i="1" s="1"/>
  <c r="T19" i="1"/>
  <c r="A19" i="1" a="1"/>
  <c r="C19" i="1"/>
  <c r="D19" i="1"/>
  <c r="U18" i="1" a="1"/>
  <c r="U18" i="1" s="1"/>
  <c r="X18" i="1"/>
  <c r="Z18" i="1"/>
  <c r="K18" i="1" a="1"/>
  <c r="M18" i="1" s="1"/>
  <c r="K18" i="1"/>
  <c r="L18" i="1"/>
  <c r="Q18" i="1"/>
  <c r="S18" i="1"/>
  <c r="T18" i="1"/>
  <c r="A18" i="1" a="1"/>
  <c r="C18" i="1" s="1"/>
  <c r="B18" i="1"/>
  <c r="U17" i="1" a="1"/>
  <c r="U17" i="1" s="1"/>
  <c r="Y17" i="1"/>
  <c r="Z17" i="1"/>
  <c r="K17" i="1" a="1"/>
  <c r="P17" i="1" s="1"/>
  <c r="T17" i="1"/>
  <c r="A17" i="1" a="1"/>
  <c r="B17" i="1"/>
  <c r="U16" i="1" a="1"/>
  <c r="U16" i="1" s="1"/>
  <c r="V16" i="1"/>
  <c r="W16" i="1"/>
  <c r="X16" i="1"/>
  <c r="Y16" i="1"/>
  <c r="K16" i="1" a="1"/>
  <c r="K16" i="1" s="1"/>
  <c r="M16" i="1"/>
  <c r="O16" i="1"/>
  <c r="Q16" i="1"/>
  <c r="R16" i="1"/>
  <c r="S16" i="1"/>
  <c r="T16" i="1"/>
  <c r="A16" i="1" a="1"/>
  <c r="U15" i="1" a="1"/>
  <c r="U15" i="1" s="1"/>
  <c r="W15" i="1"/>
  <c r="X15" i="1"/>
  <c r="Y15" i="1"/>
  <c r="Z15" i="1"/>
  <c r="K15" i="1" a="1"/>
  <c r="K15" i="1" s="1"/>
  <c r="N15" i="1"/>
  <c r="P15" i="1"/>
  <c r="R15" i="1"/>
  <c r="S15" i="1"/>
  <c r="T15" i="1"/>
  <c r="A15" i="1" a="1"/>
  <c r="B15" i="1"/>
  <c r="F15" i="1"/>
  <c r="U14" i="1" a="1"/>
  <c r="U14" i="1" s="1"/>
  <c r="Y14" i="1"/>
  <c r="Z14" i="1"/>
  <c r="K14" i="1" a="1"/>
  <c r="Q14" i="1"/>
  <c r="S14" i="1"/>
  <c r="T14" i="1"/>
  <c r="A14" i="1" a="1"/>
  <c r="D14" i="1" s="1"/>
  <c r="U13" i="1" a="1"/>
  <c r="U13" i="1" s="1"/>
  <c r="K13" i="1" a="1"/>
  <c r="K13" i="1" s="1"/>
  <c r="M13" i="1"/>
  <c r="N13" i="1"/>
  <c r="S13" i="1"/>
  <c r="A13" i="1" a="1"/>
  <c r="D13" i="1" s="1"/>
  <c r="G13" i="1"/>
  <c r="U12" i="1" a="1"/>
  <c r="U12" i="1" s="1"/>
  <c r="K12" i="1" a="1"/>
  <c r="K12" i="1" s="1"/>
  <c r="L12" i="1"/>
  <c r="Q12" i="1"/>
  <c r="R12" i="1"/>
  <c r="S12" i="1"/>
  <c r="A12" i="1" a="1"/>
  <c r="A12" i="1" s="1"/>
  <c r="D12" i="1"/>
  <c r="F12" i="1"/>
  <c r="H12" i="1"/>
  <c r="I12" i="1"/>
  <c r="J12" i="1"/>
  <c r="U11" i="1" a="1"/>
  <c r="Y11" i="1" s="1"/>
  <c r="U11" i="1"/>
  <c r="K11" i="1" a="1"/>
  <c r="P11" i="1"/>
  <c r="Q11" i="1"/>
  <c r="R11" i="1"/>
  <c r="A11" i="1" a="1"/>
  <c r="A11" i="1" s="1"/>
  <c r="E11" i="1"/>
  <c r="G11" i="1"/>
  <c r="H11" i="1"/>
  <c r="I11" i="1"/>
  <c r="J11" i="1"/>
  <c r="U10" i="1" a="1"/>
  <c r="K10" i="1" a="1"/>
  <c r="Q10" i="1" s="1"/>
  <c r="A10" i="1" a="1"/>
  <c r="A10" i="1" s="1"/>
  <c r="D10" i="1"/>
  <c r="E10" i="1"/>
  <c r="F10" i="1"/>
  <c r="I10" i="1"/>
  <c r="U9" i="1" a="1"/>
  <c r="Y9" i="1"/>
  <c r="Z9" i="1"/>
  <c r="K9" i="1" a="1"/>
  <c r="M9" i="1" s="1"/>
  <c r="R9" i="1"/>
  <c r="S9" i="1"/>
  <c r="T9" i="1"/>
  <c r="A9" i="1" a="1"/>
  <c r="A9" i="1" s="1"/>
  <c r="F9" i="1"/>
  <c r="G9" i="1"/>
  <c r="H9" i="1"/>
  <c r="I9" i="1"/>
  <c r="U8" i="1" a="1"/>
  <c r="U8" i="1" s="1"/>
  <c r="X8" i="1"/>
  <c r="Z8" i="1"/>
  <c r="K8" i="1" a="1"/>
  <c r="K8" i="1" s="1"/>
  <c r="N8" i="1"/>
  <c r="O8" i="1"/>
  <c r="P8" i="1"/>
  <c r="Q8" i="1"/>
  <c r="R8" i="1"/>
  <c r="A8" i="1" a="1"/>
  <c r="A8" i="1" s="1"/>
  <c r="G8" i="1"/>
  <c r="H8" i="1"/>
  <c r="I8" i="1"/>
  <c r="J8" i="1"/>
  <c r="U7" i="1" a="1"/>
  <c r="U7" i="1" s="1"/>
  <c r="Z7" i="1"/>
  <c r="K7" i="1" a="1"/>
  <c r="L7" i="1" s="1"/>
  <c r="M7" i="1"/>
  <c r="O7" i="1"/>
  <c r="P7" i="1"/>
  <c r="R7" i="1"/>
  <c r="T7" i="1"/>
  <c r="A7" i="1" a="1"/>
  <c r="C7" i="1"/>
  <c r="D7" i="1"/>
  <c r="U6" i="1" a="1"/>
  <c r="U6" i="1" s="1"/>
  <c r="K6" i="1" a="1"/>
  <c r="K6" i="1" s="1"/>
  <c r="A6" i="1" a="1"/>
  <c r="G6" i="1" s="1"/>
  <c r="U5" i="1" a="1"/>
  <c r="U5" i="1" s="1"/>
  <c r="W5" i="1"/>
  <c r="X5" i="1"/>
  <c r="Z5" i="1"/>
  <c r="K5" i="1" a="1"/>
  <c r="K5" i="1" s="1"/>
  <c r="P5" i="1"/>
  <c r="Q5" i="1"/>
  <c r="R5" i="1"/>
  <c r="S5" i="1"/>
  <c r="T5" i="1"/>
  <c r="A5" i="1" a="1"/>
  <c r="A5" i="1" s="1"/>
  <c r="F5" i="1"/>
  <c r="G5" i="1"/>
  <c r="H5" i="1"/>
  <c r="I5" i="1"/>
  <c r="J5" i="1"/>
  <c r="U4" i="1" a="1"/>
  <c r="U4" i="1" s="1"/>
  <c r="V4" i="1"/>
  <c r="W4" i="1"/>
  <c r="X4" i="1"/>
  <c r="Y4" i="1"/>
  <c r="K4" i="1" a="1"/>
  <c r="O4" i="1" s="1"/>
  <c r="A4" i="1" a="1"/>
  <c r="F4" i="1"/>
  <c r="G4" i="1"/>
  <c r="H4" i="1"/>
  <c r="J4" i="1"/>
  <c r="U3" i="1" a="1"/>
  <c r="U3" i="1" s="1"/>
  <c r="K3" i="1" a="1"/>
  <c r="K3" i="1" s="1"/>
  <c r="T3" i="1"/>
  <c r="A3" i="1" a="1"/>
  <c r="A3" i="1" s="1"/>
  <c r="E3" i="1"/>
  <c r="F3" i="1"/>
  <c r="U2" i="1" a="1"/>
  <c r="U2" i="1" s="1"/>
  <c r="K2" i="1" a="1"/>
  <c r="K2" i="1" s="1"/>
  <c r="A2" i="1" a="1"/>
  <c r="D2" i="1" s="1"/>
  <c r="F13" i="1" l="1"/>
  <c r="A17" i="1"/>
  <c r="D17" i="1"/>
  <c r="E17" i="1"/>
  <c r="F17" i="1"/>
  <c r="G17" i="1"/>
  <c r="H17" i="1"/>
  <c r="I17" i="1"/>
  <c r="J17" i="1"/>
  <c r="C17" i="1"/>
  <c r="Q32" i="1"/>
  <c r="P44" i="1"/>
  <c r="K72" i="1"/>
  <c r="N72" i="1"/>
  <c r="O72" i="1"/>
  <c r="P72" i="1"/>
  <c r="Q72" i="1"/>
  <c r="R72" i="1"/>
  <c r="S72" i="1"/>
  <c r="T72" i="1"/>
  <c r="M72" i="1"/>
  <c r="P88" i="1"/>
  <c r="U92" i="1"/>
  <c r="X92" i="1"/>
  <c r="Y92" i="1"/>
  <c r="Z92" i="1"/>
  <c r="W92" i="1"/>
  <c r="K19" i="1"/>
  <c r="M19" i="1"/>
  <c r="N19" i="1"/>
  <c r="O19" i="1"/>
  <c r="P19" i="1"/>
  <c r="R19" i="1"/>
  <c r="S19" i="1"/>
  <c r="O44" i="1"/>
  <c r="X78" i="1"/>
  <c r="A7" i="1"/>
  <c r="G7" i="1"/>
  <c r="H7" i="1"/>
  <c r="F7" i="1"/>
  <c r="S17" i="1"/>
  <c r="K32" i="1"/>
  <c r="M32" i="1"/>
  <c r="N32" i="1"/>
  <c r="O32" i="1"/>
  <c r="P32" i="1"/>
  <c r="R32" i="1"/>
  <c r="S32" i="1"/>
  <c r="K88" i="1"/>
  <c r="R88" i="1"/>
  <c r="S88" i="1"/>
  <c r="T88" i="1"/>
  <c r="Q88" i="1"/>
  <c r="K90" i="1"/>
  <c r="O90" i="1"/>
  <c r="P90" i="1"/>
  <c r="Q90" i="1"/>
  <c r="R90" i="1"/>
  <c r="S90" i="1"/>
  <c r="T90" i="1"/>
  <c r="N90" i="1"/>
  <c r="A40" i="1"/>
  <c r="C40" i="1"/>
  <c r="D40" i="1"/>
  <c r="E40" i="1"/>
  <c r="F40" i="1"/>
  <c r="G40" i="1"/>
  <c r="H40" i="1"/>
  <c r="I40" i="1"/>
  <c r="J40" i="1"/>
  <c r="B40" i="1"/>
  <c r="R44" i="1"/>
  <c r="S44" i="1"/>
  <c r="T44" i="1"/>
  <c r="K44" i="1"/>
  <c r="L44" i="1"/>
  <c r="M44" i="1"/>
  <c r="Q44" i="1"/>
  <c r="U78" i="1"/>
  <c r="Z78" i="1"/>
  <c r="Y78" i="1"/>
  <c r="X97" i="1"/>
  <c r="A19" i="1"/>
  <c r="F19" i="1"/>
  <c r="G19" i="1"/>
  <c r="H19" i="1"/>
  <c r="I19" i="1"/>
  <c r="J19" i="1"/>
  <c r="E19" i="1"/>
  <c r="K17" i="1"/>
  <c r="L17" i="1"/>
  <c r="M17" i="1"/>
  <c r="N17" i="1"/>
  <c r="O17" i="1"/>
  <c r="Q17" i="1"/>
  <c r="R17" i="1"/>
  <c r="K76" i="1"/>
  <c r="N76" i="1"/>
  <c r="O76" i="1"/>
  <c r="P76" i="1"/>
  <c r="Q76" i="1"/>
  <c r="R76" i="1"/>
  <c r="S76" i="1"/>
  <c r="T76" i="1"/>
  <c r="M76" i="1"/>
  <c r="A32" i="1"/>
  <c r="E32" i="1"/>
  <c r="F32" i="1"/>
  <c r="G32" i="1"/>
  <c r="H32" i="1"/>
  <c r="I32" i="1"/>
  <c r="J32" i="1"/>
  <c r="D32" i="1"/>
  <c r="U97" i="1"/>
  <c r="Z97" i="1"/>
  <c r="Y97" i="1"/>
  <c r="A13" i="1"/>
  <c r="I13" i="1"/>
  <c r="J13" i="1"/>
  <c r="H13" i="1"/>
  <c r="A4" i="1"/>
  <c r="I4" i="1"/>
  <c r="N9" i="1"/>
  <c r="K11" i="1"/>
  <c r="L11" i="1"/>
  <c r="M11" i="1"/>
  <c r="N11" i="1"/>
  <c r="O11" i="1"/>
  <c r="S11" i="1"/>
  <c r="T11" i="1"/>
  <c r="A63" i="1"/>
  <c r="F63" i="1"/>
  <c r="G63" i="1"/>
  <c r="H63" i="1"/>
  <c r="I63" i="1"/>
  <c r="J63" i="1"/>
  <c r="E63" i="1"/>
  <c r="K84" i="1"/>
  <c r="O84" i="1"/>
  <c r="P84" i="1"/>
  <c r="Q84" i="1"/>
  <c r="R84" i="1"/>
  <c r="S84" i="1"/>
  <c r="T84" i="1"/>
  <c r="N84" i="1"/>
  <c r="A15" i="1"/>
  <c r="D15" i="1"/>
  <c r="E15" i="1"/>
  <c r="G15" i="1"/>
  <c r="H15" i="1"/>
  <c r="I15" i="1"/>
  <c r="J15" i="1"/>
  <c r="C15" i="1"/>
  <c r="T4" i="1"/>
  <c r="Z11" i="1"/>
  <c r="A38" i="1"/>
  <c r="C38" i="1"/>
  <c r="D38" i="1"/>
  <c r="E38" i="1"/>
  <c r="F38" i="1"/>
  <c r="G38" i="1"/>
  <c r="H38" i="1"/>
  <c r="I38" i="1"/>
  <c r="J38" i="1"/>
  <c r="B38" i="1"/>
  <c r="W95" i="1"/>
  <c r="X95" i="1"/>
  <c r="Y95" i="1"/>
  <c r="Z95" i="1"/>
  <c r="V95" i="1"/>
  <c r="E13" i="1"/>
  <c r="K7" i="1"/>
  <c r="N7" i="1"/>
  <c r="Q7" i="1"/>
  <c r="S7" i="1"/>
  <c r="S4" i="1"/>
  <c r="K9" i="1"/>
  <c r="P9" i="1"/>
  <c r="Q9" i="1"/>
  <c r="O9" i="1"/>
  <c r="A20" i="1"/>
  <c r="F20" i="1"/>
  <c r="G20" i="1"/>
  <c r="H20" i="1"/>
  <c r="I20" i="1"/>
  <c r="J20" i="1"/>
  <c r="E20" i="1"/>
  <c r="U80" i="1"/>
  <c r="Y80" i="1"/>
  <c r="Z80" i="1"/>
  <c r="X80" i="1"/>
  <c r="K86" i="1"/>
  <c r="P86" i="1"/>
  <c r="Q86" i="1"/>
  <c r="R86" i="1"/>
  <c r="S86" i="1"/>
  <c r="T86" i="1"/>
  <c r="O86" i="1"/>
  <c r="K30" i="1"/>
  <c r="O30" i="1"/>
  <c r="P30" i="1"/>
  <c r="Q30" i="1"/>
  <c r="R30" i="1"/>
  <c r="T30" i="1"/>
  <c r="A55" i="1"/>
  <c r="I55" i="1"/>
  <c r="J55" i="1"/>
  <c r="H55" i="1"/>
  <c r="R4" i="1"/>
  <c r="I14" i="1"/>
  <c r="J6" i="1"/>
  <c r="W11" i="1"/>
  <c r="X11" i="1"/>
  <c r="V11" i="1"/>
  <c r="E14" i="1"/>
  <c r="A16" i="1"/>
  <c r="D16" i="1"/>
  <c r="E16" i="1"/>
  <c r="F16" i="1"/>
  <c r="G16" i="1"/>
  <c r="H16" i="1"/>
  <c r="I16" i="1"/>
  <c r="J16" i="1"/>
  <c r="C16" i="1"/>
  <c r="A18" i="1"/>
  <c r="E18" i="1"/>
  <c r="F18" i="1"/>
  <c r="G18" i="1"/>
  <c r="H18" i="1"/>
  <c r="I18" i="1"/>
  <c r="J18" i="1"/>
  <c r="D18" i="1"/>
  <c r="K71" i="1"/>
  <c r="P71" i="1"/>
  <c r="Q71" i="1"/>
  <c r="R71" i="1"/>
  <c r="S71" i="1"/>
  <c r="T71" i="1"/>
  <c r="O71" i="1"/>
  <c r="A52" i="1"/>
  <c r="E52" i="1"/>
  <c r="F52" i="1"/>
  <c r="G52" i="1"/>
  <c r="H52" i="1"/>
  <c r="I52" i="1"/>
  <c r="J52" i="1"/>
  <c r="D52" i="1"/>
  <c r="A35" i="1"/>
  <c r="E35" i="1"/>
  <c r="F35" i="1"/>
  <c r="G35" i="1"/>
  <c r="H35" i="1"/>
  <c r="I35" i="1"/>
  <c r="J35" i="1"/>
  <c r="D35" i="1"/>
  <c r="Q4" i="1"/>
  <c r="I6" i="1"/>
  <c r="U9" i="1"/>
  <c r="X9" i="1"/>
  <c r="K20" i="1"/>
  <c r="Q20" i="1"/>
  <c r="R20" i="1"/>
  <c r="Y53" i="1"/>
  <c r="A64" i="1"/>
  <c r="F64" i="1"/>
  <c r="G64" i="1"/>
  <c r="H64" i="1"/>
  <c r="I64" i="1"/>
  <c r="J64" i="1"/>
  <c r="E64" i="1"/>
  <c r="H6" i="1"/>
  <c r="A14" i="1"/>
  <c r="G14" i="1"/>
  <c r="H14" i="1"/>
  <c r="J14" i="1"/>
  <c r="F14" i="1"/>
  <c r="R36" i="1"/>
  <c r="U58" i="1"/>
  <c r="Y58" i="1"/>
  <c r="Z58" i="1"/>
  <c r="X58" i="1"/>
  <c r="N89" i="1"/>
  <c r="U93" i="1"/>
  <c r="X93" i="1"/>
  <c r="Y93" i="1"/>
  <c r="Z93" i="1"/>
  <c r="W93" i="1"/>
  <c r="K4" i="1"/>
  <c r="P4" i="1"/>
  <c r="U20" i="1"/>
  <c r="W20" i="1"/>
  <c r="X20" i="1"/>
  <c r="Y20" i="1"/>
  <c r="Z20" i="1"/>
  <c r="A31" i="1"/>
  <c r="E31" i="1"/>
  <c r="F31" i="1"/>
  <c r="G31" i="1"/>
  <c r="H31" i="1"/>
  <c r="I31" i="1"/>
  <c r="J31" i="1"/>
  <c r="D31" i="1"/>
  <c r="C34" i="1"/>
  <c r="Q36" i="1"/>
  <c r="U53" i="1"/>
  <c r="Z53" i="1"/>
  <c r="K73" i="1"/>
  <c r="N73" i="1"/>
  <c r="O73" i="1"/>
  <c r="P73" i="1"/>
  <c r="Q73" i="1"/>
  <c r="R73" i="1"/>
  <c r="S73" i="1"/>
  <c r="T73" i="1"/>
  <c r="M73" i="1"/>
  <c r="K85" i="1"/>
  <c r="O85" i="1"/>
  <c r="P85" i="1"/>
  <c r="Q85" i="1"/>
  <c r="R85" i="1"/>
  <c r="S85" i="1"/>
  <c r="T85" i="1"/>
  <c r="N85" i="1"/>
  <c r="A6" i="1"/>
  <c r="F6" i="1"/>
  <c r="K89" i="1"/>
  <c r="P89" i="1"/>
  <c r="Q89" i="1"/>
  <c r="R89" i="1"/>
  <c r="S89" i="1"/>
  <c r="T89" i="1"/>
  <c r="O89" i="1"/>
  <c r="U91" i="1"/>
  <c r="Z91" i="1"/>
  <c r="K36" i="1"/>
  <c r="T36" i="1"/>
  <c r="M36" i="1"/>
  <c r="N36" i="1"/>
  <c r="O36" i="1"/>
  <c r="S36" i="1"/>
  <c r="K14" i="1"/>
  <c r="M14" i="1"/>
  <c r="N14" i="1"/>
  <c r="O14" i="1"/>
  <c r="P14" i="1"/>
  <c r="R14" i="1"/>
  <c r="A39" i="1"/>
  <c r="C39" i="1"/>
  <c r="D39" i="1"/>
  <c r="E39" i="1"/>
  <c r="F39" i="1"/>
  <c r="G39" i="1"/>
  <c r="H39" i="1"/>
  <c r="I39" i="1"/>
  <c r="J39" i="1"/>
  <c r="B39" i="1"/>
  <c r="A51" i="1"/>
  <c r="F51" i="1"/>
  <c r="G51" i="1"/>
  <c r="H51" i="1"/>
  <c r="I51" i="1"/>
  <c r="J51" i="1"/>
  <c r="E51" i="1"/>
  <c r="U81" i="1"/>
  <c r="Z81" i="1"/>
  <c r="Y81" i="1"/>
  <c r="A42" i="1"/>
  <c r="F42" i="1"/>
  <c r="G42" i="1"/>
  <c r="H42" i="1"/>
  <c r="I42" i="1"/>
  <c r="J42" i="1"/>
  <c r="E42" i="1"/>
  <c r="J3" i="1"/>
  <c r="I3" i="1"/>
  <c r="J7" i="1"/>
  <c r="K31" i="1"/>
  <c r="L31" i="1"/>
  <c r="M31" i="1"/>
  <c r="N31" i="1"/>
  <c r="O31" i="1"/>
  <c r="Q31" i="1"/>
  <c r="R31" i="1"/>
  <c r="A41" i="1"/>
  <c r="E41" i="1"/>
  <c r="F41" i="1"/>
  <c r="G41" i="1"/>
  <c r="H41" i="1"/>
  <c r="I41" i="1"/>
  <c r="J41" i="1"/>
  <c r="D41" i="1"/>
  <c r="U79" i="1"/>
  <c r="X79" i="1"/>
  <c r="Y79" i="1"/>
  <c r="Z79" i="1"/>
  <c r="W79" i="1"/>
  <c r="H3" i="1"/>
  <c r="I7" i="1"/>
  <c r="K10" i="1"/>
  <c r="R10" i="1"/>
  <c r="S10" i="1"/>
  <c r="T10" i="1"/>
  <c r="K48" i="1"/>
  <c r="Q48" i="1"/>
  <c r="R48" i="1"/>
  <c r="S48" i="1"/>
  <c r="T48" i="1"/>
  <c r="P48" i="1"/>
  <c r="K77" i="1"/>
  <c r="M77" i="1"/>
  <c r="N77" i="1"/>
  <c r="O77" i="1"/>
  <c r="P77" i="1"/>
  <c r="Q77" i="1"/>
  <c r="R77" i="1"/>
  <c r="S77" i="1"/>
  <c r="T77" i="1"/>
  <c r="L77" i="1"/>
  <c r="U10" i="1"/>
  <c r="X10" i="1"/>
  <c r="Y10" i="1"/>
  <c r="W10" i="1"/>
  <c r="A34" i="1"/>
  <c r="E34" i="1"/>
  <c r="F34" i="1"/>
  <c r="G34" i="1"/>
  <c r="H34" i="1"/>
  <c r="I34" i="1"/>
  <c r="J34" i="1"/>
  <c r="D34" i="1"/>
  <c r="G3" i="1"/>
  <c r="E7" i="1"/>
  <c r="Z10" i="1"/>
  <c r="S8" i="1"/>
  <c r="R21" i="1"/>
  <c r="J24" i="1"/>
  <c r="H25" i="1"/>
  <c r="G26" i="1"/>
  <c r="G27" i="1"/>
  <c r="G28" i="1"/>
  <c r="G29" i="1"/>
  <c r="G30" i="1"/>
  <c r="F33" i="1"/>
  <c r="T37" i="1"/>
  <c r="S45" i="1"/>
  <c r="S46" i="1"/>
  <c r="S47" i="1"/>
  <c r="F50" i="1"/>
  <c r="Z57" i="1"/>
  <c r="H61" i="1"/>
  <c r="E62" i="1"/>
  <c r="E65" i="1"/>
  <c r="Q68" i="1"/>
  <c r="P69" i="1"/>
  <c r="Y96" i="1"/>
  <c r="T34" i="1"/>
  <c r="T41" i="1"/>
  <c r="O45" i="1"/>
  <c r="M68" i="1"/>
  <c r="Y73" i="1"/>
  <c r="W74" i="1"/>
  <c r="X77" i="1"/>
  <c r="I81" i="1"/>
  <c r="G100" i="1"/>
  <c r="F23" i="1"/>
  <c r="B28" i="1"/>
  <c r="B29" i="1"/>
  <c r="T33" i="1"/>
  <c r="S34" i="1"/>
  <c r="R35" i="1"/>
  <c r="O37" i="1"/>
  <c r="Q38" i="1"/>
  <c r="Q39" i="1"/>
  <c r="Q40" i="1"/>
  <c r="S41" i="1"/>
  <c r="Q42" i="1"/>
  <c r="O43" i="1"/>
  <c r="N45" i="1"/>
  <c r="N46" i="1"/>
  <c r="N47" i="1"/>
  <c r="I49" i="1"/>
  <c r="T50" i="1"/>
  <c r="S51" i="1"/>
  <c r="Q52" i="1"/>
  <c r="I54" i="1"/>
  <c r="Q55" i="1"/>
  <c r="M56" i="1"/>
  <c r="J58" i="1"/>
  <c r="H59" i="1"/>
  <c r="E60" i="1"/>
  <c r="T61" i="1"/>
  <c r="T62" i="1"/>
  <c r="S63" i="1"/>
  <c r="R64" i="1"/>
  <c r="T65" i="1"/>
  <c r="P66" i="1"/>
  <c r="L68" i="1"/>
  <c r="X73" i="1"/>
  <c r="V74" i="1"/>
  <c r="H81" i="1"/>
  <c r="X90" i="1"/>
  <c r="F95" i="1"/>
  <c r="F11" i="1"/>
  <c r="G12" i="1"/>
  <c r="T13" i="1"/>
  <c r="Q15" i="1"/>
  <c r="P16" i="1"/>
  <c r="R18" i="1"/>
  <c r="E23" i="1"/>
  <c r="D24" i="1"/>
  <c r="T25" i="1"/>
  <c r="T26" i="1"/>
  <c r="S33" i="1"/>
  <c r="R34" i="1"/>
  <c r="Q35" i="1"/>
  <c r="N37" i="1"/>
  <c r="P38" i="1"/>
  <c r="R41" i="1"/>
  <c r="M45" i="1"/>
  <c r="M47" i="1"/>
  <c r="S50" i="1"/>
  <c r="R51" i="1"/>
  <c r="P52" i="1"/>
  <c r="H54" i="1"/>
  <c r="I58" i="1"/>
  <c r="S61" i="1"/>
  <c r="S62" i="1"/>
  <c r="R63" i="1"/>
  <c r="J78" i="1"/>
  <c r="G81" i="1"/>
  <c r="H82" i="1"/>
  <c r="X85" i="1"/>
  <c r="X86" i="1"/>
  <c r="Z87" i="1"/>
  <c r="H92" i="1"/>
  <c r="G93" i="1"/>
  <c r="F94" i="1"/>
  <c r="E95" i="1"/>
  <c r="I97" i="1"/>
  <c r="I99" i="1"/>
  <c r="E100" i="1"/>
  <c r="E101" i="1"/>
  <c r="Z46" i="1"/>
  <c r="R50" i="1"/>
  <c r="Q51" i="1"/>
  <c r="G54" i="1"/>
  <c r="H58" i="1"/>
  <c r="R61" i="1"/>
  <c r="R62" i="1"/>
  <c r="Q63" i="1"/>
  <c r="P64" i="1"/>
  <c r="R65" i="1"/>
  <c r="N66" i="1"/>
  <c r="Z68" i="1"/>
  <c r="X69" i="1"/>
  <c r="X70" i="1"/>
  <c r="V72" i="1"/>
  <c r="I78" i="1"/>
  <c r="E80" i="1"/>
  <c r="F81" i="1"/>
  <c r="G82" i="1"/>
  <c r="W85" i="1"/>
  <c r="W86" i="1"/>
  <c r="Y87" i="1"/>
  <c r="W88" i="1"/>
  <c r="W89" i="1"/>
  <c r="J91" i="1"/>
  <c r="G92" i="1"/>
  <c r="F93" i="1"/>
  <c r="E94" i="1"/>
  <c r="D95" i="1"/>
  <c r="H97" i="1"/>
  <c r="G98" i="1"/>
  <c r="H99" i="1"/>
  <c r="D100" i="1"/>
  <c r="D101" i="1"/>
  <c r="Y5" i="1"/>
  <c r="Y8" i="1"/>
  <c r="J10" i="1"/>
  <c r="D11" i="1"/>
  <c r="E12" i="1"/>
  <c r="R13" i="1"/>
  <c r="O15" i="1"/>
  <c r="N16" i="1"/>
  <c r="P18" i="1"/>
  <c r="C23" i="1"/>
  <c r="B24" i="1"/>
  <c r="R25" i="1"/>
  <c r="R26" i="1"/>
  <c r="R27" i="1"/>
  <c r="S28" i="1"/>
  <c r="S29" i="1"/>
  <c r="Q33" i="1"/>
  <c r="P34" i="1"/>
  <c r="O35" i="1"/>
  <c r="Z36" i="1"/>
  <c r="L37" i="1"/>
  <c r="N38" i="1"/>
  <c r="N39" i="1"/>
  <c r="P41" i="1"/>
  <c r="N42" i="1"/>
  <c r="Z44" i="1"/>
  <c r="Z45" i="1"/>
  <c r="Y46" i="1"/>
  <c r="Q50" i="1"/>
  <c r="P51" i="1"/>
  <c r="F54" i="1"/>
  <c r="G58" i="1"/>
  <c r="Q61" i="1"/>
  <c r="Q62" i="1"/>
  <c r="P63" i="1"/>
  <c r="O64" i="1"/>
  <c r="Z67" i="1"/>
  <c r="W69" i="1"/>
  <c r="H78" i="1"/>
  <c r="E81" i="1"/>
  <c r="F82" i="1"/>
  <c r="V86" i="1"/>
  <c r="X87" i="1"/>
  <c r="I91" i="1"/>
  <c r="F92" i="1"/>
  <c r="E93" i="1"/>
  <c r="D94" i="1"/>
  <c r="C95" i="1"/>
  <c r="E96" i="1"/>
  <c r="G97" i="1"/>
  <c r="F98" i="1"/>
  <c r="G99" i="1"/>
  <c r="C100" i="1"/>
  <c r="C101" i="1"/>
  <c r="Q13" i="1"/>
  <c r="O18" i="1"/>
  <c r="Q25" i="1"/>
  <c r="Q26" i="1"/>
  <c r="R28" i="1"/>
  <c r="R29" i="1"/>
  <c r="P33" i="1"/>
  <c r="O34" i="1"/>
  <c r="Y36" i="1"/>
  <c r="M38" i="1"/>
  <c r="M40" i="1"/>
  <c r="O41" i="1"/>
  <c r="M42" i="1"/>
  <c r="Z43" i="1"/>
  <c r="Y44" i="1"/>
  <c r="Y45" i="1"/>
  <c r="X46" i="1"/>
  <c r="P50" i="1"/>
  <c r="O51" i="1"/>
  <c r="Y52" i="1"/>
  <c r="E54" i="1"/>
  <c r="F58" i="1"/>
  <c r="D59" i="1"/>
  <c r="P61" i="1"/>
  <c r="P62" i="1"/>
  <c r="O63" i="1"/>
  <c r="N64" i="1"/>
  <c r="P65" i="1"/>
  <c r="Z66" i="1"/>
  <c r="G78" i="1"/>
  <c r="D81" i="1"/>
  <c r="E82" i="1"/>
  <c r="W87" i="1"/>
  <c r="H91" i="1"/>
  <c r="H10" i="1"/>
  <c r="P13" i="1"/>
  <c r="M15" i="1"/>
  <c r="N18" i="1"/>
  <c r="I22" i="1"/>
  <c r="T23" i="1"/>
  <c r="T24" i="1"/>
  <c r="P25" i="1"/>
  <c r="P26" i="1"/>
  <c r="P27" i="1"/>
  <c r="Q28" i="1"/>
  <c r="Q29" i="1"/>
  <c r="O33" i="1"/>
  <c r="N34" i="1"/>
  <c r="X36" i="1"/>
  <c r="Z37" i="1"/>
  <c r="N41" i="1"/>
  <c r="Y43" i="1"/>
  <c r="X44" i="1"/>
  <c r="X45" i="1"/>
  <c r="W46" i="1"/>
  <c r="T49" i="1"/>
  <c r="O50" i="1"/>
  <c r="N51" i="1"/>
  <c r="X52" i="1"/>
  <c r="D54" i="1"/>
  <c r="Z55" i="1"/>
  <c r="I57" i="1"/>
  <c r="E58" i="1"/>
  <c r="C59" i="1"/>
  <c r="R60" i="1"/>
  <c r="O61" i="1"/>
  <c r="O62" i="1"/>
  <c r="N63" i="1"/>
  <c r="M64" i="1"/>
  <c r="O65" i="1"/>
  <c r="Y66" i="1"/>
  <c r="X67" i="1"/>
  <c r="J70" i="1"/>
  <c r="J71" i="1"/>
  <c r="F78" i="1"/>
  <c r="C81" i="1"/>
  <c r="D82" i="1"/>
  <c r="G91" i="1"/>
  <c r="T100" i="1"/>
  <c r="Z4" i="1"/>
  <c r="J9" i="1"/>
  <c r="G10" i="1"/>
  <c r="T12" i="1"/>
  <c r="O13" i="1"/>
  <c r="Z16" i="1"/>
  <c r="H22" i="1"/>
  <c r="S23" i="1"/>
  <c r="S24" i="1"/>
  <c r="O25" i="1"/>
  <c r="O26" i="1"/>
  <c r="O27" i="1"/>
  <c r="P28" i="1"/>
  <c r="P29" i="1"/>
  <c r="N33" i="1"/>
  <c r="M34" i="1"/>
  <c r="Y35" i="1"/>
  <c r="W36" i="1"/>
  <c r="Y37" i="1"/>
  <c r="Z38" i="1"/>
  <c r="Y39" i="1"/>
  <c r="M41" i="1"/>
  <c r="Z42" i="1"/>
  <c r="X43" i="1"/>
  <c r="W44" i="1"/>
  <c r="W45" i="1"/>
  <c r="V46" i="1"/>
  <c r="J48" i="1"/>
  <c r="N50" i="1"/>
  <c r="M51" i="1"/>
  <c r="C54" i="1"/>
  <c r="Y55" i="1"/>
  <c r="D58" i="1"/>
  <c r="Q60" i="1"/>
  <c r="N61" i="1"/>
  <c r="N62" i="1"/>
  <c r="M63" i="1"/>
  <c r="L64" i="1"/>
  <c r="N65" i="1"/>
  <c r="X66" i="1"/>
  <c r="J69" i="1"/>
  <c r="I70" i="1"/>
  <c r="I71" i="1"/>
  <c r="G72" i="1"/>
  <c r="E78" i="1"/>
  <c r="B81" i="1"/>
  <c r="C82" i="1"/>
  <c r="G84" i="1"/>
  <c r="H86" i="1"/>
  <c r="I87" i="1"/>
  <c r="J88" i="1"/>
  <c r="H89" i="1"/>
  <c r="F91" i="1"/>
  <c r="C92" i="1"/>
  <c r="T94" i="1"/>
  <c r="S95" i="1"/>
  <c r="B96" i="1"/>
  <c r="D97" i="1"/>
  <c r="C98" i="1"/>
  <c r="S100" i="1"/>
  <c r="V36" i="1"/>
  <c r="W43" i="1"/>
  <c r="M50" i="1"/>
  <c r="B54" i="1"/>
  <c r="M61" i="1"/>
  <c r="M62" i="1"/>
  <c r="L63" i="1"/>
  <c r="W66" i="1"/>
  <c r="I69" i="1"/>
  <c r="H71" i="1"/>
  <c r="B82" i="1"/>
  <c r="F84" i="1"/>
  <c r="G86" i="1"/>
  <c r="H87" i="1"/>
  <c r="I88" i="1"/>
  <c r="E91" i="1"/>
  <c r="S94" i="1"/>
  <c r="R95" i="1"/>
  <c r="C97" i="1"/>
  <c r="B98" i="1"/>
  <c r="S99" i="1"/>
  <c r="R100" i="1"/>
  <c r="R101" i="1"/>
  <c r="R99" i="1"/>
  <c r="Q100" i="1"/>
  <c r="Q101" i="1"/>
  <c r="J21" i="1"/>
  <c r="P23" i="1"/>
  <c r="L25" i="1"/>
  <c r="M28" i="1"/>
  <c r="M29" i="1"/>
  <c r="Y30" i="1"/>
  <c r="Y31" i="1"/>
  <c r="Z32" i="1"/>
  <c r="Z33" i="1"/>
  <c r="J37" i="1"/>
  <c r="V37" i="1"/>
  <c r="W38" i="1"/>
  <c r="V39" i="1"/>
  <c r="X40" i="1"/>
  <c r="Y41" i="1"/>
  <c r="W42" i="1"/>
  <c r="J44" i="1"/>
  <c r="I45" i="1"/>
  <c r="I46" i="1"/>
  <c r="I47" i="1"/>
  <c r="G48" i="1"/>
  <c r="P49" i="1"/>
  <c r="Z50" i="1"/>
  <c r="Y51" i="1"/>
  <c r="H53" i="1"/>
  <c r="T54" i="1"/>
  <c r="I56" i="1"/>
  <c r="S58" i="1"/>
  <c r="R59" i="1"/>
  <c r="N60" i="1"/>
  <c r="Z61" i="1"/>
  <c r="Z62" i="1"/>
  <c r="Z63" i="1"/>
  <c r="Y64" i="1"/>
  <c r="Y65" i="1"/>
  <c r="J67" i="1"/>
  <c r="H68" i="1"/>
  <c r="G69" i="1"/>
  <c r="F70" i="1"/>
  <c r="F71" i="1"/>
  <c r="D72" i="1"/>
  <c r="E73" i="1"/>
  <c r="C74" i="1"/>
  <c r="C75" i="1"/>
  <c r="C76" i="1"/>
  <c r="C77" i="1"/>
  <c r="S78" i="1"/>
  <c r="R79" i="1"/>
  <c r="S80" i="1"/>
  <c r="T81" i="1"/>
  <c r="T82" i="1"/>
  <c r="B83" i="1"/>
  <c r="D84" i="1"/>
  <c r="D85" i="1"/>
  <c r="E86" i="1"/>
  <c r="F87" i="1"/>
  <c r="G88" i="1"/>
  <c r="E89" i="1"/>
  <c r="E90" i="1"/>
  <c r="T91" i="1"/>
  <c r="S92" i="1"/>
  <c r="R93" i="1"/>
  <c r="Q94" i="1"/>
  <c r="P95" i="1"/>
  <c r="S96" i="1"/>
  <c r="T97" i="1"/>
  <c r="T98" i="1"/>
  <c r="Q99" i="1"/>
  <c r="P100" i="1"/>
  <c r="P101" i="1"/>
  <c r="P12" i="1"/>
  <c r="Z13" i="1"/>
  <c r="X14" i="1"/>
  <c r="X17" i="1"/>
  <c r="I21" i="1"/>
  <c r="X30" i="1"/>
  <c r="X31" i="1"/>
  <c r="Y32" i="1"/>
  <c r="W40" i="1"/>
  <c r="X41" i="1"/>
  <c r="I44" i="1"/>
  <c r="H45" i="1"/>
  <c r="H46" i="1"/>
  <c r="H47" i="1"/>
  <c r="F48" i="1"/>
  <c r="Y50" i="1"/>
  <c r="X51" i="1"/>
  <c r="G53" i="1"/>
  <c r="S54" i="1"/>
  <c r="H56" i="1"/>
  <c r="T57" i="1"/>
  <c r="R58" i="1"/>
  <c r="Q59" i="1"/>
  <c r="M60" i="1"/>
  <c r="Y61" i="1"/>
  <c r="Y62" i="1"/>
  <c r="Y63" i="1"/>
  <c r="X64" i="1"/>
  <c r="X65" i="1"/>
  <c r="I67" i="1"/>
  <c r="G68" i="1"/>
  <c r="F69" i="1"/>
  <c r="E70" i="1"/>
  <c r="E71" i="1"/>
  <c r="C72" i="1"/>
  <c r="D73" i="1"/>
  <c r="B76" i="1"/>
  <c r="R78" i="1"/>
  <c r="Q79" i="1"/>
  <c r="R80" i="1"/>
  <c r="S81" i="1"/>
  <c r="S82" i="1"/>
  <c r="C84" i="1"/>
  <c r="C85" i="1"/>
  <c r="D86" i="1"/>
  <c r="E87" i="1"/>
  <c r="F88" i="1"/>
  <c r="D89" i="1"/>
  <c r="D90" i="1"/>
  <c r="S91" i="1"/>
  <c r="R92" i="1"/>
  <c r="Q93" i="1"/>
  <c r="P94" i="1"/>
  <c r="O95" i="1"/>
  <c r="R96" i="1"/>
  <c r="S97" i="1"/>
  <c r="S98" i="1"/>
  <c r="P99" i="1"/>
  <c r="O100" i="1"/>
  <c r="O101" i="1"/>
  <c r="Y7" i="1"/>
  <c r="E9" i="1"/>
  <c r="O12" i="1"/>
  <c r="Y13" i="1"/>
  <c r="W17" i="1"/>
  <c r="Y18" i="1"/>
  <c r="W19" i="1"/>
  <c r="H21" i="1"/>
  <c r="S22" i="1"/>
  <c r="N23" i="1"/>
  <c r="Z25" i="1"/>
  <c r="Y26" i="1"/>
  <c r="Y27" i="1"/>
  <c r="Z28" i="1"/>
  <c r="Z29" i="1"/>
  <c r="W30" i="1"/>
  <c r="W31" i="1"/>
  <c r="X32" i="1"/>
  <c r="X33" i="1"/>
  <c r="W34" i="1"/>
  <c r="I36" i="1"/>
  <c r="H37" i="1"/>
  <c r="V40" i="1"/>
  <c r="W41" i="1"/>
  <c r="J43" i="1"/>
  <c r="H44" i="1"/>
  <c r="G45" i="1"/>
  <c r="G46" i="1"/>
  <c r="G47" i="1"/>
  <c r="E48" i="1"/>
  <c r="Z49" i="1"/>
  <c r="X50" i="1"/>
  <c r="W51" i="1"/>
  <c r="F53" i="1"/>
  <c r="G56" i="1"/>
  <c r="Q58" i="1"/>
  <c r="P59" i="1"/>
  <c r="X61" i="1"/>
  <c r="X62" i="1"/>
  <c r="X63" i="1"/>
  <c r="W64" i="1"/>
  <c r="H67" i="1"/>
  <c r="F68" i="1"/>
  <c r="E69" i="1"/>
  <c r="D70" i="1"/>
  <c r="D71" i="1"/>
  <c r="T74" i="1"/>
  <c r="T75" i="1"/>
  <c r="Q78" i="1"/>
  <c r="P79" i="1"/>
  <c r="Q80" i="1"/>
  <c r="R81" i="1"/>
  <c r="R82" i="1"/>
  <c r="T83" i="1"/>
  <c r="B84" i="1"/>
  <c r="B85" i="1"/>
  <c r="C86" i="1"/>
  <c r="D87" i="1"/>
  <c r="E88" i="1"/>
  <c r="C89" i="1"/>
  <c r="C90" i="1"/>
  <c r="R91" i="1"/>
  <c r="Q92" i="1"/>
  <c r="P93" i="1"/>
  <c r="O94" i="1"/>
  <c r="N95" i="1"/>
  <c r="Q96" i="1"/>
  <c r="R97" i="1"/>
  <c r="R98" i="1"/>
  <c r="O99" i="1"/>
  <c r="N100" i="1"/>
  <c r="N101" i="1"/>
  <c r="D9" i="1"/>
  <c r="N12" i="1"/>
  <c r="X13" i="1"/>
  <c r="G21" i="1"/>
  <c r="R22" i="1"/>
  <c r="Z24" i="1"/>
  <c r="Y25" i="1"/>
  <c r="X26" i="1"/>
  <c r="W32" i="1"/>
  <c r="H36" i="1"/>
  <c r="G37" i="1"/>
  <c r="V41" i="1"/>
  <c r="I43" i="1"/>
  <c r="G44" i="1"/>
  <c r="F45" i="1"/>
  <c r="F46" i="1"/>
  <c r="F47" i="1"/>
  <c r="D48" i="1"/>
  <c r="W50" i="1"/>
  <c r="Q54" i="1"/>
  <c r="F56" i="1"/>
  <c r="R57" i="1"/>
  <c r="P58" i="1"/>
  <c r="O59" i="1"/>
  <c r="Z60" i="1"/>
  <c r="W61" i="1"/>
  <c r="W62" i="1"/>
  <c r="W63" i="1"/>
  <c r="V64" i="1"/>
  <c r="J66" i="1"/>
  <c r="G67" i="1"/>
  <c r="E68" i="1"/>
  <c r="D69" i="1"/>
  <c r="C70" i="1"/>
  <c r="C71" i="1"/>
  <c r="S74" i="1"/>
  <c r="S75" i="1"/>
  <c r="P78" i="1"/>
  <c r="O79" i="1"/>
  <c r="Q81" i="1"/>
  <c r="S83" i="1"/>
  <c r="B86" i="1"/>
  <c r="C87" i="1"/>
  <c r="D88" i="1"/>
  <c r="B89" i="1"/>
  <c r="Q91" i="1"/>
  <c r="P92" i="1"/>
  <c r="O93" i="1"/>
  <c r="N94" i="1"/>
  <c r="M95" i="1"/>
  <c r="P96" i="1"/>
  <c r="Q97" i="1"/>
  <c r="Q98" i="1"/>
  <c r="N99" i="1"/>
  <c r="M100" i="1"/>
  <c r="M101" i="1"/>
  <c r="M12" i="1"/>
  <c r="W13" i="1"/>
  <c r="F21" i="1"/>
  <c r="Q22" i="1"/>
  <c r="Z23" i="1"/>
  <c r="Y24" i="1"/>
  <c r="X25" i="1"/>
  <c r="W26" i="1"/>
  <c r="W27" i="1"/>
  <c r="X28" i="1"/>
  <c r="V32" i="1"/>
  <c r="E56" i="1"/>
  <c r="I66" i="1"/>
  <c r="F67" i="1"/>
  <c r="C69" i="1"/>
  <c r="R74" i="1"/>
  <c r="R75" i="1"/>
  <c r="O78" i="1"/>
  <c r="N79" i="1"/>
  <c r="R83" i="1"/>
  <c r="B87" i="1"/>
  <c r="C88" i="1"/>
  <c r="N92" i="1"/>
  <c r="M94" i="1"/>
  <c r="L95" i="1"/>
  <c r="O96" i="1"/>
  <c r="P97" i="1"/>
  <c r="E21" i="1"/>
  <c r="P22" i="1"/>
  <c r="W25" i="1"/>
  <c r="F36" i="1"/>
  <c r="E37" i="1"/>
  <c r="G43" i="1"/>
  <c r="D45" i="1"/>
  <c r="D46" i="1"/>
  <c r="D56" i="1"/>
  <c r="N58" i="1"/>
  <c r="X60" i="1"/>
  <c r="J62" i="1"/>
  <c r="J65" i="1"/>
  <c r="H66" i="1"/>
  <c r="E67" i="1"/>
  <c r="Q74" i="1"/>
  <c r="Q75" i="1"/>
  <c r="N78" i="1"/>
  <c r="M79" i="1"/>
  <c r="Q83" i="1"/>
  <c r="B88" i="1"/>
  <c r="N96" i="1"/>
  <c r="O97" i="1"/>
  <c r="Z100" i="1"/>
  <c r="Z101" i="1"/>
  <c r="D21" i="1"/>
  <c r="O22" i="1"/>
  <c r="J33" i="1"/>
  <c r="E36" i="1"/>
  <c r="D37" i="1"/>
  <c r="F43" i="1"/>
  <c r="C45" i="1"/>
  <c r="C46" i="1"/>
  <c r="C47" i="1"/>
  <c r="J50" i="1"/>
  <c r="R53" i="1"/>
  <c r="C56" i="1"/>
  <c r="O57" i="1"/>
  <c r="M58" i="1"/>
  <c r="Z59" i="1"/>
  <c r="W60" i="1"/>
  <c r="I62" i="1"/>
  <c r="I65" i="1"/>
  <c r="G66" i="1"/>
  <c r="D67" i="1"/>
  <c r="T69" i="1"/>
  <c r="T70" i="1"/>
  <c r="P74" i="1"/>
  <c r="P75" i="1"/>
  <c r="M78" i="1"/>
  <c r="N81" i="1"/>
  <c r="P83" i="1"/>
  <c r="T87" i="1"/>
  <c r="Z94" i="1"/>
  <c r="M96" i="1"/>
  <c r="N97" i="1"/>
  <c r="N98" i="1"/>
  <c r="Z99" i="1"/>
  <c r="Y100" i="1"/>
  <c r="Y101" i="1"/>
  <c r="J26" i="1"/>
  <c r="J27" i="1"/>
  <c r="J28" i="1"/>
  <c r="I33" i="1"/>
  <c r="I50" i="1"/>
  <c r="H62" i="1"/>
  <c r="H65" i="1"/>
  <c r="F66" i="1"/>
  <c r="C67" i="1"/>
  <c r="T68" i="1"/>
  <c r="S69" i="1"/>
  <c r="S70" i="1"/>
  <c r="O74" i="1"/>
  <c r="O75" i="1"/>
  <c r="L78" i="1"/>
  <c r="M81" i="1"/>
  <c r="M82" i="1"/>
  <c r="O83" i="1"/>
  <c r="S87" i="1"/>
  <c r="M91" i="1"/>
  <c r="Y94" i="1"/>
  <c r="L96" i="1"/>
  <c r="M97" i="1"/>
  <c r="M98" i="1"/>
  <c r="Y99" i="1"/>
  <c r="X100" i="1"/>
  <c r="X101" i="1"/>
  <c r="T21" i="1"/>
  <c r="Z22" i="1"/>
  <c r="V23" i="1"/>
  <c r="J25" i="1"/>
  <c r="I26" i="1"/>
  <c r="I27" i="1"/>
  <c r="I28" i="1"/>
  <c r="I29" i="1"/>
  <c r="I30" i="1"/>
  <c r="H33" i="1"/>
  <c r="H50" i="1"/>
  <c r="P53" i="1"/>
  <c r="T56" i="1"/>
  <c r="J61" i="1"/>
  <c r="G62" i="1"/>
  <c r="G65" i="1"/>
  <c r="E66" i="1"/>
  <c r="S68" i="1"/>
  <c r="R69" i="1"/>
  <c r="R70" i="1"/>
  <c r="N74" i="1"/>
  <c r="N75" i="1"/>
  <c r="N83" i="1"/>
  <c r="R87" i="1"/>
  <c r="X94" i="1"/>
  <c r="X99" i="1"/>
  <c r="W100" i="1"/>
  <c r="W101" i="1"/>
  <c r="E5" i="1"/>
  <c r="D5" i="1"/>
  <c r="T8" i="1"/>
  <c r="S21" i="1"/>
  <c r="Y22" i="1"/>
  <c r="I25" i="1"/>
  <c r="H26" i="1"/>
  <c r="H27" i="1"/>
  <c r="H28" i="1"/>
  <c r="H29" i="1"/>
  <c r="H30" i="1"/>
  <c r="G33" i="1"/>
  <c r="T45" i="1"/>
  <c r="T46" i="1"/>
  <c r="T47" i="1"/>
  <c r="G50" i="1"/>
  <c r="S56" i="1"/>
  <c r="I61" i="1"/>
  <c r="F62" i="1"/>
  <c r="F65" i="1"/>
  <c r="D66" i="1"/>
  <c r="T67" i="1"/>
  <c r="R68" i="1"/>
  <c r="Q69" i="1"/>
  <c r="Q70" i="1"/>
  <c r="M74" i="1"/>
  <c r="M75" i="1"/>
  <c r="M83" i="1"/>
  <c r="Q87" i="1"/>
  <c r="W94" i="1"/>
  <c r="Z96" i="1"/>
  <c r="Z98" i="1"/>
  <c r="W99" i="1"/>
  <c r="V100" i="1"/>
  <c r="V101" i="1"/>
  <c r="L101" i="1"/>
  <c r="B101" i="1"/>
  <c r="L100" i="1"/>
  <c r="B100" i="1"/>
  <c r="V99" i="1"/>
  <c r="L99" i="1"/>
  <c r="E99" i="1"/>
  <c r="D99" i="1"/>
  <c r="C99" i="1"/>
  <c r="B99" i="1"/>
  <c r="L98" i="1"/>
  <c r="V97" i="1"/>
  <c r="L97" i="1"/>
  <c r="B97" i="1"/>
  <c r="B95" i="1"/>
  <c r="V94" i="1"/>
  <c r="L94" i="1"/>
  <c r="B94" i="1"/>
  <c r="V93" i="1"/>
  <c r="L93" i="1"/>
  <c r="B93" i="1"/>
  <c r="O92" i="1"/>
  <c r="L92" i="1"/>
  <c r="B92" i="1"/>
  <c r="X91" i="1"/>
  <c r="V91" i="1"/>
  <c r="D91" i="1"/>
  <c r="C91" i="1"/>
  <c r="B91" i="1"/>
  <c r="W90" i="1"/>
  <c r="V90" i="1"/>
  <c r="L90" i="1"/>
  <c r="B90" i="1"/>
  <c r="V89" i="1"/>
  <c r="L89" i="1"/>
  <c r="V88" i="1"/>
  <c r="N88" i="1"/>
  <c r="M88" i="1"/>
  <c r="L88" i="1"/>
  <c r="V87" i="1"/>
  <c r="L86" i="1"/>
  <c r="V85" i="1"/>
  <c r="M84" i="1"/>
  <c r="L84" i="1"/>
  <c r="L83" i="1"/>
  <c r="V81" i="1"/>
  <c r="L81" i="1"/>
  <c r="V80" i="1"/>
  <c r="L80" i="1"/>
  <c r="V79" i="1"/>
  <c r="L79" i="1"/>
  <c r="C79" i="1"/>
  <c r="B79" i="1"/>
  <c r="V78" i="1"/>
  <c r="D78" i="1"/>
  <c r="C78" i="1"/>
  <c r="B78" i="1"/>
  <c r="W77" i="1"/>
  <c r="V77" i="1"/>
  <c r="B77" i="1"/>
  <c r="V76" i="1"/>
  <c r="L76" i="1"/>
  <c r="L75" i="1"/>
  <c r="B75" i="1"/>
  <c r="L74" i="1"/>
  <c r="B74" i="1"/>
  <c r="W73" i="1"/>
  <c r="V73" i="1"/>
  <c r="C73" i="1"/>
  <c r="B73" i="1"/>
  <c r="B72" i="1"/>
  <c r="N71" i="1"/>
  <c r="M71" i="1"/>
  <c r="L71" i="1"/>
  <c r="B71" i="1"/>
  <c r="V70" i="1"/>
  <c r="L70" i="1"/>
  <c r="V69" i="1"/>
  <c r="L69" i="1"/>
  <c r="B69" i="1"/>
  <c r="W68" i="1"/>
  <c r="V68" i="1"/>
  <c r="B68" i="1"/>
  <c r="W67" i="1"/>
  <c r="V67" i="1"/>
  <c r="L67" i="1"/>
  <c r="B67" i="1"/>
  <c r="V66" i="1"/>
  <c r="M66" i="1"/>
  <c r="L66" i="1"/>
  <c r="C66" i="1"/>
  <c r="B66" i="1"/>
  <c r="W65" i="1"/>
  <c r="V65" i="1"/>
  <c r="M65" i="1"/>
  <c r="L65" i="1"/>
  <c r="C64" i="1"/>
  <c r="B64" i="1"/>
  <c r="V63" i="1"/>
  <c r="B63" i="1"/>
  <c r="V62" i="1"/>
  <c r="L62" i="1"/>
  <c r="V61" i="1"/>
  <c r="L61" i="1"/>
  <c r="F61" i="1"/>
  <c r="C61" i="1"/>
  <c r="B61" i="1"/>
  <c r="V60" i="1"/>
  <c r="L60" i="1"/>
  <c r="C60" i="1"/>
  <c r="B60" i="1"/>
  <c r="W59" i="1"/>
  <c r="V59" i="1"/>
  <c r="M59" i="1"/>
  <c r="L59" i="1"/>
  <c r="B59" i="1"/>
  <c r="V58" i="1"/>
  <c r="L58" i="1"/>
  <c r="C58" i="1"/>
  <c r="B58" i="1"/>
  <c r="V57" i="1"/>
  <c r="L57" i="1"/>
  <c r="I2" i="1"/>
  <c r="J2" i="1"/>
  <c r="H2" i="1"/>
  <c r="G2" i="1"/>
  <c r="E2" i="1"/>
  <c r="E57" i="1"/>
  <c r="D57" i="1"/>
  <c r="C57" i="1"/>
  <c r="F2" i="1"/>
  <c r="B57" i="1"/>
  <c r="Z56" i="1"/>
  <c r="Y56" i="1"/>
  <c r="X56" i="1"/>
  <c r="W56" i="1"/>
  <c r="V56" i="1"/>
  <c r="B56" i="1"/>
  <c r="X55" i="1"/>
  <c r="W55" i="1"/>
  <c r="V55" i="1"/>
  <c r="M55" i="1"/>
  <c r="L55" i="1"/>
  <c r="G55" i="1"/>
  <c r="F55" i="1"/>
  <c r="E55" i="1"/>
  <c r="D55" i="1"/>
  <c r="C55" i="1"/>
  <c r="B55" i="1"/>
  <c r="Z54" i="1"/>
  <c r="Y54" i="1"/>
  <c r="X54" i="1"/>
  <c r="W54" i="1"/>
  <c r="V54" i="1"/>
  <c r="N54" i="1"/>
  <c r="M54" i="1"/>
  <c r="L54" i="1"/>
  <c r="W53" i="1"/>
  <c r="V53" i="1"/>
  <c r="O53" i="1"/>
  <c r="N53" i="1"/>
  <c r="M53" i="1"/>
  <c r="L53" i="1"/>
  <c r="E53" i="1"/>
  <c r="D53" i="1"/>
  <c r="C53" i="1"/>
  <c r="B53" i="1"/>
  <c r="W52" i="1"/>
  <c r="V52" i="1"/>
  <c r="O52" i="1"/>
  <c r="N52" i="1"/>
  <c r="M52" i="1"/>
  <c r="L52" i="1"/>
  <c r="C52" i="1"/>
  <c r="B52" i="1"/>
  <c r="V51" i="1"/>
  <c r="L51" i="1"/>
  <c r="B51" i="1"/>
  <c r="V50" i="1"/>
  <c r="L50" i="1"/>
  <c r="B50" i="1"/>
  <c r="X49" i="1"/>
  <c r="W49" i="1"/>
  <c r="O49" i="1"/>
  <c r="N49" i="1"/>
  <c r="M49" i="1"/>
  <c r="L49" i="1"/>
  <c r="E49" i="1"/>
  <c r="D49" i="1"/>
  <c r="C49" i="1"/>
  <c r="B49" i="1"/>
  <c r="Z48" i="1"/>
  <c r="Y48" i="1"/>
  <c r="X48" i="1"/>
  <c r="W48" i="1"/>
  <c r="V48" i="1"/>
  <c r="N48" i="1"/>
  <c r="M48" i="1"/>
  <c r="L48" i="1"/>
  <c r="B48" i="1"/>
  <c r="X47" i="1"/>
  <c r="W47" i="1"/>
  <c r="V47" i="1"/>
  <c r="L47" i="1"/>
  <c r="M46" i="1"/>
  <c r="L46" i="1"/>
  <c r="V45" i="1"/>
  <c r="L45" i="1"/>
  <c r="V44" i="1"/>
  <c r="D44" i="1"/>
  <c r="C44" i="1"/>
  <c r="B44" i="1"/>
  <c r="V43" i="1"/>
  <c r="L43" i="1"/>
  <c r="C43" i="1"/>
  <c r="B43" i="1"/>
  <c r="V42" i="1"/>
  <c r="L42" i="1"/>
  <c r="D42" i="1"/>
  <c r="C42" i="1"/>
  <c r="B42" i="1"/>
  <c r="L41" i="1"/>
  <c r="M39" i="1"/>
  <c r="L39" i="1"/>
  <c r="V38" i="1"/>
  <c r="L38" i="1"/>
  <c r="L36" i="1"/>
  <c r="C36" i="1"/>
  <c r="B36" i="1"/>
  <c r="V35" i="1"/>
  <c r="N35" i="1"/>
  <c r="M35" i="1"/>
  <c r="L35" i="1"/>
  <c r="B35" i="1"/>
  <c r="V34" i="1"/>
  <c r="L34" i="1"/>
  <c r="W33" i="1"/>
  <c r="V33" i="1"/>
  <c r="L33" i="1"/>
  <c r="B33" i="1"/>
  <c r="V31" i="1"/>
  <c r="B31" i="1"/>
  <c r="V30" i="1"/>
  <c r="N30" i="1"/>
  <c r="M30" i="1"/>
  <c r="L30" i="1"/>
  <c r="B30" i="1"/>
  <c r="V29" i="1"/>
  <c r="L29" i="1"/>
  <c r="V28" i="1"/>
  <c r="L28" i="1"/>
  <c r="L27" i="1"/>
  <c r="B27" i="1"/>
  <c r="L26" i="1"/>
  <c r="B26" i="1"/>
  <c r="V25" i="1"/>
  <c r="C25" i="1"/>
  <c r="B25" i="1"/>
  <c r="V24" i="1"/>
  <c r="N24" i="1"/>
  <c r="M24" i="1"/>
  <c r="L24" i="1"/>
  <c r="M23" i="1"/>
  <c r="L23" i="1"/>
  <c r="B23" i="1"/>
  <c r="X22" i="1"/>
  <c r="W22" i="1"/>
  <c r="V22" i="1"/>
  <c r="N22" i="1"/>
  <c r="M22" i="1"/>
  <c r="L22" i="1"/>
  <c r="E22" i="1"/>
  <c r="D22" i="1"/>
  <c r="C22" i="1"/>
  <c r="B22" i="1"/>
  <c r="X21" i="1"/>
  <c r="W21" i="1"/>
  <c r="V21" i="1"/>
  <c r="M21" i="1"/>
  <c r="L21" i="1"/>
  <c r="C21" i="1"/>
  <c r="B21" i="1"/>
  <c r="P20" i="1"/>
  <c r="O20" i="1"/>
  <c r="N20" i="1"/>
  <c r="M20" i="1"/>
  <c r="L20" i="1"/>
  <c r="C20" i="1"/>
  <c r="B20" i="1"/>
  <c r="L19" i="1"/>
  <c r="B19" i="1"/>
  <c r="W18" i="1"/>
  <c r="V18" i="1"/>
  <c r="V17" i="1"/>
  <c r="L16" i="1"/>
  <c r="B16" i="1"/>
  <c r="V15" i="1"/>
  <c r="L15" i="1"/>
  <c r="W14" i="1"/>
  <c r="V14" i="1"/>
  <c r="L14" i="1"/>
  <c r="C14" i="1"/>
  <c r="B14" i="1"/>
  <c r="V13" i="1"/>
  <c r="L13" i="1"/>
  <c r="C13" i="1"/>
  <c r="B13" i="1"/>
  <c r="Y12" i="1"/>
  <c r="X12" i="1"/>
  <c r="W12" i="1"/>
  <c r="Z12" i="1"/>
  <c r="V12" i="1"/>
  <c r="C12" i="1"/>
  <c r="B12" i="1"/>
  <c r="B11" i="1"/>
  <c r="C11" i="1"/>
  <c r="V10" i="1"/>
  <c r="L10" i="1"/>
  <c r="P10" i="1"/>
  <c r="O10" i="1"/>
  <c r="N10" i="1"/>
  <c r="M10" i="1"/>
  <c r="C10" i="1"/>
  <c r="B10" i="1"/>
  <c r="W9" i="1"/>
  <c r="V9" i="1"/>
  <c r="L9" i="1"/>
  <c r="C9" i="1"/>
  <c r="B9" i="1"/>
  <c r="W8" i="1"/>
  <c r="V8" i="1"/>
  <c r="L8" i="1"/>
  <c r="M8" i="1"/>
  <c r="B8" i="1"/>
  <c r="F8" i="1"/>
  <c r="E8" i="1"/>
  <c r="D8" i="1"/>
  <c r="C8" i="1"/>
  <c r="X7" i="1"/>
  <c r="W7" i="1"/>
  <c r="V7" i="1"/>
  <c r="B7" i="1"/>
  <c r="Y6" i="1"/>
  <c r="X6" i="1"/>
  <c r="W6" i="1"/>
  <c r="V6" i="1"/>
  <c r="Z6" i="1"/>
  <c r="T6" i="1"/>
  <c r="R6" i="1"/>
  <c r="L6" i="1"/>
  <c r="S6" i="1"/>
  <c r="Q6" i="1"/>
  <c r="P6" i="1"/>
  <c r="O6" i="1"/>
  <c r="N6" i="1"/>
  <c r="M6" i="1"/>
  <c r="E6" i="1"/>
  <c r="B6" i="1"/>
  <c r="D6" i="1"/>
  <c r="C6" i="1"/>
  <c r="V5" i="1"/>
  <c r="M5" i="1"/>
  <c r="L5" i="1"/>
  <c r="O5" i="1"/>
  <c r="N5" i="1"/>
  <c r="B5" i="1"/>
  <c r="C5" i="1"/>
  <c r="L4" i="1"/>
  <c r="N4" i="1"/>
  <c r="M4" i="1"/>
  <c r="B4" i="1"/>
  <c r="E4" i="1"/>
  <c r="D4" i="1"/>
  <c r="C4" i="1"/>
  <c r="Y3" i="1"/>
  <c r="V3" i="1"/>
  <c r="Z3" i="1"/>
  <c r="X3" i="1"/>
  <c r="W3" i="1"/>
  <c r="S3" i="1"/>
  <c r="L3" i="1"/>
  <c r="R3" i="1"/>
  <c r="Q3" i="1"/>
  <c r="P3" i="1"/>
  <c r="O3" i="1"/>
  <c r="N3" i="1"/>
  <c r="M3" i="1"/>
  <c r="D3" i="1"/>
  <c r="C3" i="1"/>
  <c r="B3" i="1"/>
  <c r="Z2" i="1"/>
  <c r="Y2" i="1"/>
  <c r="X2" i="1"/>
  <c r="W2" i="1"/>
  <c r="V2" i="1"/>
  <c r="L2" i="1"/>
  <c r="T2" i="1"/>
  <c r="S2" i="1"/>
  <c r="R2" i="1"/>
  <c r="Q2" i="1"/>
  <c r="P2" i="1"/>
  <c r="O2" i="1"/>
  <c r="N2" i="1"/>
  <c r="M2" i="1"/>
  <c r="A2" i="1"/>
  <c r="B2" i="1"/>
  <c r="C2" i="1"/>
</calcChain>
</file>

<file path=xl/sharedStrings.xml><?xml version="1.0" encoding="utf-8"?>
<sst xmlns="http://schemas.openxmlformats.org/spreadsheetml/2006/main" count="26" uniqueCount="26">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</sst>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472.TW-ID,Name,Price,PriceChangeRatio,Low,High,Volume,InOutRatioNumber,Capital,ProfitMargin" advise="1">
        <values cols="10">
          <value t="str">
            <val>1472</val>
          </value>
          <value t="str">
            <val>三洋實業</val>
          </value>
          <value>
            <val>29.7</val>
          </value>
          <value>
            <val>-2.2999999999999998</val>
          </value>
          <value>
            <val>29.7</val>
          </value>
          <value>
            <val>31</val>
          </value>
          <value>
            <val>1</val>
          </value>
          <value t="str">
            <val>56.25%</val>
          </value>
          <value t="str">
            <val>2.50</val>
          </value>
          <value t="str">
            <val>24.25</val>
          </value>
        </values>
      </ddeItem>
      <ddeItem name="1472.TW-OperatingProfitRatio,NetProfitMargin,TFXRatio,MonthlyNetSalesYoY,ReturnOnAssets,DividendYear,ProfitFourSeason,CashDividendYieldRate,StockNetValue,ExchangeIndustry" advise="1">
        <values cols="10">
          <value t="str">
            <val>6.92</val>
          </value>
          <value t="str">
            <val>-0.33</val>
          </value>
          <value t="str">
            <val>-84.43</val>
          </value>
          <value t="str">
            <val>-57.48</val>
          </value>
          <value t="str">
            <val>1.25</val>
          </value>
          <value>
            <val>0</val>
          </value>
          <value t="str">
            <val>-2.41</val>
          </value>
          <value>
            <val>0</val>
          </value>
          <value t="str">
            <val>9.51</val>
          </value>
          <value t="str">
            <val>上市紡織纖維</val>
          </value>
        </values>
      </ddeItem>
      <ddeItem name="1472.TW-PreTotalVolume,ChipsField25,ChipsField27,DateofMeetingofShareHolders,CompanyPos,TradingDate" advise="1">
        <values cols="6">
          <value>
            <val>1</val>
          </value>
          <value t="str">
            <val>--</val>
          </value>
          <value t="str">
            <val>--</val>
          </value>
          <value t="str">
            <val>2021/12/28</val>
          </value>
          <value t="str">
            <val>亞洲PP纖維製造商龍頭</val>
          </value>
          <value t="str">
            <val>2021/12/17</val>
          </value>
        </values>
      </ddeItem>
      <ddeItem name="1539.TW-ID,Name,Price,PriceChangeRatio,Low,High,Volume,InOutRatioNumber,Capital,ProfitMargin" advise="1">
        <values cols="10">
          <value t="str">
            <val>1539</val>
          </value>
          <value t="str">
            <val>巨庭</val>
          </value>
          <value>
            <val>21.7</val>
          </value>
          <value>
            <val>-3.98</val>
          </value>
          <value>
            <val>21.7</val>
          </value>
          <value>
            <val>22.9</val>
          </value>
          <value>
            <val>68</val>
          </value>
          <value t="str">
            <val>32.03%</val>
          </value>
          <value t="str">
            <val>6.54</val>
          </value>
          <value t="str">
            <val>10.41</val>
          </value>
        </values>
      </ddeItem>
      <ddeItem name="1539.TW-OperatingProfitRatio,NetProfitMargin,TFXRatio,MonthlyNetSalesYoY,ReturnOnAssets,DividendYear,ProfitFourSeason,CashDividendYieldRate,StockNetValue,ExchangeIndustry" advise="1">
        <values cols="10">
          <value t="str">
            <val>6.86</val>
          </value>
          <value t="str">
            <val>3.28</val>
          </value>
          <value t="str">
            <val>-0.64</val>
          </value>
          <value t="str">
            <val>51.26</val>
          </value>
          <value t="str">
            <val>1.94</val>
          </value>
          <value>
            <val>0</val>
          </value>
          <value t="str">
            <val>0.74</val>
          </value>
          <value>
            <val>0</val>
          </value>
          <value t="str">
            <val>20.27</val>
          </value>
          <value t="str">
            <val>上市電機機械</val>
          </value>
        </values>
      </ddeItem>
      <ddeItem name="1539.TW-PreTotalVolume,ChipsField25,ChipsField27,DateofMeetingofShareHolders,CompanyPos,TradingDate" advise="1">
        <values cols="6">
          <value>
            <val>338</val>
          </value>
          <value t="str">
            <val>--</val>
          </value>
          <value t="str">
            <val>--</val>
          </value>
          <value t="str">
            <val>2021/08/11</val>
          </value>
          <value t="str">
            <val>台灣木工具機製造廠</val>
          </value>
          <value t="str">
            <val>2021/12/17</val>
          </value>
        </values>
      </ddeItem>
      <ddeItem name="1598.TW-ID,Name,Price,PriceChangeRatio,Low,High,Volume,InOutRatioNumber,Capital,ProfitMargin" advise="1">
        <values cols="10">
          <value t="str">
            <val>1598</val>
          </value>
          <value t="str">
            <val>岱宇</val>
          </value>
          <value>
            <val>53.5</val>
          </value>
          <value>
            <val>0.56000000000000005</val>
          </value>
          <value>
            <val>53.2</val>
          </value>
          <value>
            <val>54.4</val>
          </value>
          <value>
            <val>41</val>
          </value>
          <value t="str">
            <val>37.47%</val>
          </value>
          <value t="str">
            <val>13.47</val>
          </value>
          <value t="str">
            <val>34.79</val>
          </value>
        </values>
      </ddeItem>
      <ddeItem name="1598.TW-OperatingProfitRatio,NetProfitMargin,TFXRatio,MonthlyNetSalesYoY,ReturnOnAssets,DividendYear,ProfitFourSeason,CashDividendYieldRate,StockNetValue,ExchangeIndustry" advise="1">
        <values cols="10">
          <value t="str">
            <val>7.84</val>
          </value>
          <value t="str">
            <val>4.61</val>
          </value>
          <value t="str">
            <val>-12.58</val>
          </value>
          <value t="str">
            <val>-52.32</val>
          </value>
          <value t="str">
            <val>3.57</val>
          </value>
          <value>
            <val>7.47</val>
          </value>
          <value t="str">
            <val>9.18</val>
          </value>
          <value>
            <val>13.96</val>
          </value>
          <value t="str">
            <val>32.19</val>
          </value>
          <value t="str">
            <val>上市生技醫療</val>
          </value>
        </values>
      </ddeItem>
      <ddeItem name="1598.TW-PreTotalVolume,ChipsField25,ChipsField27,DateofMeetingofShareHolders,CompanyPos,TradingDate" advise="1">
        <values cols="6">
          <value>
            <val>175</val>
          </value>
          <value t="str">
            <val>2021/06/25</val>
          </value>
          <value t="str">
            <val>--</val>
          </value>
          <value t="str">
            <val>2021/08/27</val>
          </value>
          <value t="str">
            <val>台灣健身器材出口業者</val>
          </value>
          <value t="str">
            <val>2021/12/17</val>
          </value>
        </values>
      </ddeItem>
      <ddeItem name="1708.TW-ID,Name,Price,PriceChangeRatio,Low,High,Volume,InOutRatioNumber,Capital,ProfitMargin" advise="1">
        <values cols="10">
          <value t="str">
            <val>1708</val>
          </value>
          <value t="str">
            <val>東鹼</val>
          </value>
          <value>
            <val>33.6</val>
          </value>
          <value>
            <val>0.6</val>
          </value>
          <value>
            <val>33.15</val>
          </value>
          <value>
            <val>34.049999999999997</val>
          </value>
          <value>
            <val>114</val>
          </value>
          <value t="str">
            <val>44.69%</val>
          </value>
          <value t="str">
            <val>24.90</val>
          </value>
          <value t="str">
            <val>28.35</val>
          </value>
        </values>
      </ddeItem>
      <ddeItem name="1708.TW-OperatingProfitRatio,NetProfitMargin,TFXRatio,MonthlyNetSalesYoY,ReturnOnAssets,DividendYear,ProfitFourSeason,CashDividendYieldRate,StockNetValue,ExchangeIndustry" advise="1">
        <values cols="10">
          <value t="str">
            <val>12.18</val>
          </value>
          <value t="str">
            <val>10.24</val>
          </value>
          <value t="str">
            <val>38.52</val>
          </value>
          <value t="str">
            <val>116.16</val>
          </value>
          <value t="str">
            <val>3.04</val>
          </value>
          <value>
            <val>1.8</val>
          </value>
          <value t="str">
            <val>1.72</val>
          </value>
          <value>
            <val>5.36</val>
          </value>
          <value t="str">
            <val>23.02</val>
          </value>
          <value t="str">
            <val>上市化工</val>
          </value>
        </values>
      </ddeItem>
      <ddeItem name="1708.TW-PreTotalVolume,ChipsField25,ChipsField27,DateofMeetingofShareHolders,CompanyPos,TradingDate" advise="1">
        <values cols="6">
          <value>
            <val>4411</val>
          </value>
          <value t="str">
            <val>2021/08/27</val>
          </value>
          <value t="str">
            <val>2021/08/27</val>
          </value>
          <value t="str">
            <val>2021/07/05</val>
          </value>
          <value t="str">
            <val>台灣主要肥料及純鹼大廠</val>
          </value>
          <value t="str">
            <val>2021/12/17</val>
          </value>
        </values>
      </ddeItem>
      <ddeItem name="1721.TW-ID,Name,Price,PriceChangeRatio,Low,High,Volume,InOutRatioNumber,Capital,ProfitMargin" advise="1">
        <values cols="10">
          <value t="str">
            <val>1721</val>
          </value>
          <value t="str">
            <val>三晃</val>
          </value>
          <value>
            <val>24.7</val>
          </value>
          <value>
            <val>-3.7</val>
          </value>
          <value>
            <val>24.2</val>
          </value>
          <value>
            <val>26.15</val>
          </value>
          <value>
            <val>416</val>
          </value>
          <value t="str">
            <val>40.71%</val>
          </value>
          <value t="str">
            <val>18.90</val>
          </value>
          <value t="str">
            <val>1.25</val>
          </value>
        </values>
      </ddeItem>
      <ddeItem name="1721.TW-OperatingProfitRatio,NetProfitMargin,TFXRatio,MonthlyNetSalesYoY,ReturnOnAssets,DividendYear,ProfitFourSeason,CashDividendYieldRate,StockNetValue,ExchangeIndustry" advise="1">
        <values cols="10">
          <value t="str">
            <val>-7.01</val>
          </value>
          <value t="str">
            <val>-5.41</val>
          </value>
          <value t="str">
            <val>13.55</val>
          </value>
          <value t="str">
            <val>29.27</val>
          </value>
          <value t="str">
            <val>-2.32</val>
          </value>
          <value>
            <val>0.5</val>
          </value>
          <value t="str">
            <val>-0.84</val>
          </value>
          <value>
            <val>2.02</val>
          </value>
          <value t="str">
            <val>12.35</val>
          </value>
          <value t="str">
            <val>上市化工</val>
          </value>
        </values>
      </ddeItem>
      <ddeItem name="1721.TW-PreTotalVolume,ChipsField25,ChipsField27,DateofMeetingofShareHolders,CompanyPos,TradingDate" advise="1">
        <values cols="6">
          <value>
            <val>10679</val>
          </value>
          <value t="str">
            <val>2021/08/05</val>
          </value>
          <value t="str">
            <val>--</val>
          </value>
          <value t="str">
            <val>2021/07/20</val>
          </value>
          <value t="str">
            <val>油墨、表面處理劑、PU樹脂生產企業</val>
          </value>
          <value t="str">
            <val>2021/12/17</val>
          </value>
        </values>
      </ddeItem>
      <ddeItem name="1725.TW-ID,Name,Price,PriceChangeRatio,Low,High,Volume,InOutRatioNumber,Capital,ProfitMargin" advise="1">
        <values cols="10">
          <value t="str">
            <val>1725</val>
          </value>
          <value t="str">
            <val>元禎</val>
          </value>
          <value>
            <val>32.299999999999997</val>
          </value>
          <value>
            <val>-3.87</val>
          </value>
          <value>
            <val>32.299999999999997</val>
          </value>
          <value>
            <val>33.65</val>
          </value>
          <value>
            <val>48</val>
          </value>
          <value t="str">
            <val>6.22%</val>
          </value>
          <value t="str">
            <val>18.18</val>
          </value>
          <value t="str">
            <val>4.45</val>
          </value>
        </values>
      </ddeItem>
      <ddeItem name="1725.TW-OperatingProfitRatio,NetProfitMargin,TFXRatio,MonthlyNetSalesYoY,ReturnOnAssets,DividendYear,ProfitFourSeason,CashDividendYieldRate,StockNetValue,ExchangeIndustry" advise="1">
        <values cols="10">
          <value t="str">
            <val>2.32</val>
          </value>
          <value t="str">
            <val>3.08</val>
          </value>
          <value t="str">
            <val>1.83</val>
          </value>
          <value t="str">
            <val>34.78</val>
          </value>
          <value t="str">
            <val>4.22</val>
          </value>
          <value>
            <val>0.96</val>
          </value>
          <value t="str">
            <val>1.91</val>
          </value>
          <value>
            <val>2.97</val>
          </value>
          <value t="str">
            <val>22.06</val>
          </value>
          <value t="str">
            <val>上市化工</val>
          </value>
        </values>
      </ddeItem>
      <ddeItem name="1725.TW-PreTotalVolume,ChipsField25,ChipsField27,DateofMeetingofShareHolders,CompanyPos,TradingDate" advise="1">
        <values cols="6">
          <value>
            <val>451</val>
          </value>
          <value t="str">
            <val>2021/07/08</val>
          </value>
          <value t="str">
            <val>--</val>
          </value>
          <value t="str">
            <val>2021/07/02</val>
          </value>
          <value t="str">
            <val>石化原料之專業代理商</val>
          </value>
          <value t="str">
            <val>2021/12/17</val>
          </value>
        </values>
      </ddeItem>
      <ddeItem name="1727.TW-ID,Name,Price,PriceChangeRatio,Low,High,Volume,InOutRatioNumber,Capital,ProfitMargin" advise="1">
        <values cols="10">
          <value t="str">
            <val>1727</val>
          </value>
          <value t="str">
            <val>中華化</val>
          </value>
          <value>
            <val>46.2</val>
          </value>
          <value>
            <val>-2.63</val>
          </value>
          <value>
            <val>45.9</val>
          </value>
          <value>
            <val>47.85</val>
          </value>
          <value>
            <val>157</val>
          </value>
          <value t="str">
            <val>36.95%</val>
          </value>
          <value t="str">
            <val>10.83</val>
          </value>
          <value t="str">
            <val>19.14</val>
          </value>
        </values>
      </ddeItem>
      <ddeItem name="1727.TW-OperatingProfitRatio,NetProfitMargin,TFXRatio,MonthlyNetSalesYoY,ReturnOnAssets,DividendYear,ProfitFourSeason,CashDividendYieldRate,StockNetValue,ExchangeIndustry" advise="1">
        <values cols="10">
          <value t="str">
            <val>7.96</val>
          </value>
          <value t="str">
            <val>10.12</val>
          </value>
          <value t="str">
            <val>1.83</val>
          </value>
          <value t="str">
            <val>23.87</val>
          </value>
          <value t="str">
            <val>4.07</val>
          </value>
          <value>
            <val>0</val>
          </value>
          <value t="str">
            <val>1.45</val>
          </value>
          <value>
            <val>0</val>
          </value>
          <value t="str">
            <val>13.02</val>
          </value>
          <value t="str">
            <val>上市化工</val>
          </value>
        </values>
      </ddeItem>
      <ddeItem name="1727.TW-PreTotalVolume,ChipsField25,ChipsField27,DateofMeetingofShareHolders,CompanyPos,TradingDate" advise="1">
        <values cols="6">
          <value>
            <val>3434</val>
          </value>
          <value t="str">
            <val>--</val>
          </value>
          <value t="str">
            <val>--</val>
          </value>
          <value t="str">
            <val>2021/07/20</val>
          </value>
          <value t="str">
            <val>台灣主要生產硫酸產品之廠商</val>
          </value>
          <value t="str">
            <val>2021/12/17</val>
          </value>
        </values>
      </ddeItem>
      <ddeItem name="1783.TW-ID,Name,Price,PriceChangeRatio,Low,High,Volume,InOutRatioNumber,Capital,ProfitMargin" advise="1">
        <values cols="10">
          <value t="str">
            <val>1783</val>
          </value>
          <value t="str">
            <val>和康生</val>
          </value>
          <value>
            <val>51.1</val>
          </value>
          <value>
            <val>-1.92</val>
          </value>
          <value>
            <val>51.1</val>
          </value>
          <value>
            <val>52.6</val>
          </value>
          <value>
            <val>17</val>
          </value>
          <value t="str">
            <val>15.12%</val>
          </value>
          <value t="str">
            <val>7.70</val>
          </value>
          <value t="str">
            <val>51.79</val>
          </value>
        </values>
      </ddeItem>
      <ddeItem name="1783.TW-OperatingProfitRatio,NetProfitMargin,TFXRatio,MonthlyNetSalesYoY,ReturnOnAssets,DividendYear,ProfitFourSeason,CashDividendYieldRate,StockNetValue,ExchangeIndustry" advise="1">
        <values cols="10">
          <value t="str">
            <val>19.79</val>
          </value>
          <value t="str">
            <val>19.94</val>
          </value>
          <value t="str">
            <val>-23.65</val>
          </value>
          <value t="str">
            <val>9.60</val>
          </value>
          <value t="str">
            <val>6.73</val>
          </value>
          <value>
            <val>0.73</val>
          </value>
          <value t="str">
            <val>1.34</val>
          </value>
          <value>
            <val>1.43</val>
          </value>
          <value t="str">
            <val>14.61</val>
          </value>
          <value t="str">
            <val>上市生技醫療</val>
          </value>
        </values>
      </ddeItem>
      <ddeItem name="1783.TW-PreTotalVolume,ChipsField25,ChipsField27,DateofMeetingofShareHolders,CompanyPos,TradingDate" advise="1">
        <values cols="6">
          <value>
            <val>444</val>
          </value>
          <value t="str">
            <val>2021/08/19</val>
          </value>
          <value t="str">
            <val>--</val>
          </value>
          <value t="str">
            <val>2021/07/12</val>
          </value>
          <value t="str">
            <val>專注膠原蛋白之高階醫材及醫美保養產品</val>
          </value>
          <value t="str">
            <val>2021/12/17</val>
          </value>
        </values>
      </ddeItem>
      <ddeItem name="2221.TW-ID,Name,Price,PriceChangeRatio,Low,High,Volume,InOutRatioNumber,Capital,ProfitMargin" advise="1">
        <values cols="10">
          <value t="str">
            <val>2221</val>
          </value>
          <value t="str">
            <val>大甲</val>
          </value>
          <value>
            <val>39.65</val>
          </value>
          <value>
            <val>0.63</val>
          </value>
          <value>
            <val>39.450000000000003</val>
          </value>
          <value>
            <val>41.3</val>
          </value>
          <value>
            <val>12</val>
          </value>
          <value t="str">
            <val>32.93%</val>
          </value>
          <value t="str">
            <val>4.23</val>
          </value>
          <value t="str">
            <val>24.30</val>
          </value>
        </values>
      </ddeItem>
      <ddeItem name="2221.TW-OperatingProfitRatio,NetProfitMargin,TFXRatio,MonthlyNetSalesYoY,ReturnOnAssets,DividendYear,ProfitFourSeason,CashDividendYieldRate,StockNetValue,ExchangeIndustry" advise="1">
        <values cols="10">
          <value t="str">
            <val>14.53</val>
          </value>
          <value t="str">
            <val>11.11</val>
          </value>
          <value t="str">
            <val>-22.66</val>
          </value>
          <value t="str">
            <val>98.43</val>
          </value>
          <value t="str">
            <val>8.55</val>
          </value>
          <value>
            <val>1</val>
          </value>
          <value t="str">
            <val>3.24</val>
          </value>
          <value>
            <val>2.52</val>
          </value>
          <value t="str">
            <val>20.40</val>
          </value>
          <value t="str">
            <val>上櫃其他</val>
          </value>
        </values>
      </ddeItem>
      <ddeItem name="2221.TW-PreTotalVolume,ChipsField25,ChipsField27,DateofMeetingofShareHolders,CompanyPos,TradingDate" advise="1">
        <values cols="6">
          <value>
            <val>250</val>
          </value>
          <value t="str">
            <val>2021/08/27</val>
          </value>
          <value t="str">
            <val>--</val>
          </value>
          <value t="str">
            <val>2021/08/11</val>
          </value>
          <value t="str">
            <val>台灣最大不鏽鋼焊接管配件廠，客戶以化工廠為主</val>
          </value>
          <value t="str">
            <val>2021/12/17</val>
          </value>
        </values>
      </ddeItem>
      <ddeItem name="2314.TW-ID,Name,Price,PriceChangeRatio,Low,High,Volume,InOutRatioNumber,Capital,ProfitMargin" advise="1">
        <values cols="10">
          <value t="str">
            <val>2314</val>
          </value>
          <value t="str">
            <val>台揚</val>
          </value>
          <value>
            <val>75</val>
          </value>
          <value>
            <val>-3.6</val>
          </value>
          <value>
            <val>74</val>
          </value>
          <value>
            <val>77.3</val>
          </value>
          <value>
            <val>127</val>
          </value>
          <value t="str">
            <val>25.16%</val>
          </value>
          <value t="str">
            <val>22.80</val>
          </value>
          <value t="str">
            <val>14.25</val>
          </value>
        </values>
      </ddeItem>
      <ddeItem name="2314.TW-OperatingProfitRatio,NetProfitMargin,TFXRatio,MonthlyNetSalesYoY,ReturnOnAssets,DividendYear,ProfitFourSeason,CashDividendYieldRate,StockNetValue,ExchangeIndustry" advise="1">
        <values cols="10">
          <value t="str">
            <val>-10.43</val>
          </value>
          <value t="str">
            <val>-10.24</val>
          </value>
          <value t="str">
            <val>9.86</val>
          </value>
          <value t="str">
            <val>1.29</val>
          </value>
          <value t="str">
            <val>-5.06</val>
          </value>
          <value>
            <val>0</val>
          </value>
          <value t="str">
            <val>-1.53</val>
          </value>
          <value>
            <val>0</val>
          </value>
          <value t="str">
            <val>9.17</val>
          </value>
          <value t="str">
            <val>上市通信網路</val>
          </value>
        </values>
      </ddeItem>
      <ddeItem name="2314.TW-PreTotalVolume,ChipsField25,ChipsField27,DateofMeetingofShareHolders,CompanyPos,TradingDate" advise="1">
        <values cols="6">
          <value>
            <val>2324</val>
          </value>
          <value t="str">
            <val>--</val>
          </value>
          <value t="str">
            <val>--</val>
          </value>
          <value t="str">
            <val>2021/08/26</val>
          </value>
          <value t="str">
            <val>鴻海轉投資衛星、微波通訊設備製造商</val>
          </value>
          <value t="str">
            <val>2021/12/17</val>
          </value>
        </values>
      </ddeItem>
      <ddeItem name="2338.TW-ID,Name,Price,PriceChangeRatio,Low,High,Volume,InOutRatioNumber,Capital,ProfitMargin" advise="1">
        <values cols="10">
          <value t="str">
            <val>2338</val>
          </value>
          <value t="str">
            <val>光罩</val>
          </value>
          <value>
            <val>96.5</val>
          </value>
          <value>
            <val>-2.82</val>
          </value>
          <value>
            <val>96.5</val>
          </value>
          <value>
            <val>99</val>
          </value>
          <value>
            <val>910</val>
          </value>
          <value t="str">
            <val>28.09%</val>
          </value>
          <value t="str">
            <val>25.50</val>
          </value>
          <value t="str">
            <val>22.77</val>
          </value>
        </values>
      </ddeItem>
      <ddeItem name="2338.TW-OperatingProfitRatio,NetProfitMargin,TFXRatio,MonthlyNetSalesYoY,ReturnOnAssets,DividendYear,ProfitFourSeason,CashDividendYieldRate,StockNetValue,ExchangeIndustry" advise="1">
        <values cols="10">
          <value t="str">
            <val>6.08</val>
          </value>
          <value t="str">
            <val>16.27</val>
          </value>
          <value t="str">
            <val>9.73</val>
          </value>
          <value t="str">
            <val>33.02</val>
          </value>
          <value t="str">
            <val>6.21</val>
          </value>
          <value>
            <val>1.5</val>
          </value>
          <value t="str">
            <val>6.82</val>
          </value>
          <value>
            <val>1.55</val>
          </value>
          <value t="str">
            <val>23.10</val>
          </value>
          <value t="str">
            <val>上市半導體</val>
          </value>
        </values>
      </ddeItem>
      <ddeItem name="2338.TW-PreTotalVolume,ChipsField25,ChipsField27,DateofMeetingofShareHolders,CompanyPos,TradingDate" advise="1">
        <values cols="6">
          <value>
            <val>13079</val>
          </value>
          <value t="str">
            <val>2021/07/27</val>
          </value>
          <value t="str">
            <val>--</val>
          </value>
          <value t="str">
            <val>2021/07/05</val>
          </value>
          <value t="str">
            <val>台灣專業光罩廠商</val>
          </value>
          <value t="str">
            <val>2021/12/17</val>
          </value>
        </values>
      </ddeItem>
      <ddeItem name="2345.TW-ID,Name,Price,PriceChangeRatio,Low,High,Volume,InOutRatioNumber,Capital,ProfitMargin" advise="1">
        <values cols="10">
          <value t="str">
            <val>2345</val>
          </value>
          <value t="str">
            <val>智邦</val>
          </value>
          <value>
            <val>257.5</val>
          </value>
          <value>
            <val>-6.53</val>
          </value>
          <value>
            <val>252.5</val>
          </value>
          <value>
            <val>270</val>
          </value>
          <value>
            <val>1168</val>
          </value>
          <value t="str">
            <val>52.28%</val>
          </value>
          <value t="str">
            <val>55.99</val>
          </value>
          <value t="str">
            <val>18.46</val>
          </value>
        </values>
      </ddeItem>
      <ddeItem name="2345.TW-OperatingProfitRatio,NetProfitMargin,TFXRatio,MonthlyNetSalesYoY,ReturnOnAssets,DividendYear,ProfitFourSeason,CashDividendYieldRate,StockNetValue,ExchangeIndustry" advise="1">
        <values cols="10">
          <value t="str">
            <val>8.64</val>
          </value>
          <value t="str">
            <val>7.49</val>
          </value>
          <value t="str">
            <val>5.62</val>
          </value>
          <value t="str">
            <val>7.28</val>
          </value>
          <value t="str">
            <val>10.11</val>
          </value>
          <value>
            <val>6.5</val>
          </value>
          <value t="str">
            <val>8.15</val>
          </value>
          <value>
            <val>2.52</val>
          </value>
          <value t="str">
            <val>25.06</val>
          </value>
          <value t="str">
            <val>上市通信網路</val>
          </value>
        </values>
      </ddeItem>
      <ddeItem name="2345.TW-PreTotalVolume,ChipsField25,ChipsField27,DateofMeetingofShareHolders,CompanyPos,TradingDate" advise="1">
        <values cols="6">
          <value>
            <val>6870</val>
          </value>
          <value t="str">
            <val>2021/08/09</val>
          </value>
          <value t="str">
            <val>--</val>
          </value>
          <value t="str">
            <val>2021/07/08</val>
          </value>
          <value t="str">
            <val>以網路交換器為主產品的網通設備代工大廠</val>
          </value>
          <value t="str">
            <val>2021/12/17</val>
          </value>
        </values>
      </ddeItem>
      <ddeItem name="2387.TW-ID,Name,Price,PriceChangeRatio,Low,High,Volume,InOutRatioNumber,Capital,ProfitMargin" advise="1">
        <values cols="10">
          <value t="str">
            <val>2387</val>
          </value>
          <value t="str">
            <val>精元</val>
          </value>
          <value>
            <val>45.35</val>
          </value>
          <value>
            <val>-0.33</val>
          </value>
          <value>
            <val>45.15</val>
          </value>
          <value>
            <val>46.15</val>
          </value>
          <value>
            <val>49</val>
          </value>
          <value t="str">
            <val>30.27%</val>
          </value>
          <value t="str">
            <val>19.53</val>
          </value>
          <value t="str">
            <val>12.93</val>
          </value>
        </values>
      </ddeItem>
      <ddeItem name="2387.TW-OperatingProfitRatio,NetProfitMargin,TFXRatio,MonthlyNetSalesYoY,ReturnOnAssets,DividendYear,ProfitFourSeason,CashDividendYieldRate,StockNetValue,ExchangeIndustry" advise="1">
        <values cols="10">
          <value t="str">
            <val>7.05</val>
          </value>
          <value t="str">
            <val>4.84</val>
          </value>
          <value t="str">
            <val>21.08</val>
          </value>
          <value t="str">
            <val>-2.65</val>
          </value>
          <value t="str">
            <val>4.07</val>
          </value>
          <value>
            <val>2</val>
          </value>
          <value t="str">
            <val>6.40</val>
          </value>
          <value>
            <val>4.41</val>
          </value>
          <value t="str">
            <val>40.47</val>
          </value>
          <value t="str">
            <val>上市電腦及週邊設備</val>
          </value>
        </values>
      </ddeItem>
      <ddeItem name="2387.TW-PreTotalVolume,ChipsField25,ChipsField27,DateofMeetingofShareHolders,CompanyPos,TradingDate" advise="1">
        <values cols="6">
          <value>
            <val>733</val>
          </value>
          <value t="str">
            <val>2021/07/23</val>
          </value>
          <value t="str">
            <val>--</val>
          </value>
          <value t="str">
            <val>2021/07/07</val>
          </value>
          <value t="str">
            <val>全球前三大NB鍵盤廠</val>
          </value>
          <value t="str">
            <val>2021/12/17</val>
          </value>
        </values>
      </ddeItem>
      <ddeItem name="2424.TW-ID,Name,Price,PriceChangeRatio,Low,High,Volume,InOutRatioNumber,Capital,ProfitMargin" advise="1">
        <values cols="10">
          <value t="str">
            <val>2424</val>
          </value>
          <value t="str">
            <val>隴華</val>
          </value>
          <value>
            <val>19.850000000000001</val>
          </value>
          <value>
            <val>-0.25</val>
          </value>
          <value>
            <val>19.7</val>
          </value>
          <value>
            <val>19.850000000000001</val>
          </value>
          <value>
            <val>1</val>
          </value>
          <value t="str">
            <val>50.00%</val>
          </value>
          <value t="str">
            <val>3.80</val>
          </value>
          <value t="str">
            <val>-602.69</val>
          </value>
        </values>
      </ddeItem>
      <ddeItem name="2424.TW-OperatingProfitRatio,NetProfitMargin,TFXRatio,MonthlyNetSalesYoY,ReturnOnAssets,DividendYear,ProfitFourSeason,CashDividendYieldRate,StockNetValue,ExchangeIndustry" advise="1">
        <values cols="10">
          <value t="str">
            <val>-1050.41</val>
          </value>
          <value t="str">
            <val>-1105.94</val>
          </value>
          <value t="str">
            <val>77.21</val>
          </value>
          <value t="str">
            <val>-25.41</val>
          </value>
          <value t="str">
            <val>-29.00</val>
          </value>
          <value>
            <val>0</val>
          </value>
          <value t="str">
            <val>-7.91</val>
          </value>
          <value>
            <val>0</val>
          </value>
          <value t="str">
            <val>7.11</val>
          </value>
          <value t="str">
            <val>上市電腦及週邊設備</val>
          </value>
        </values>
      </ddeItem>
      <ddeItem name="2424.TW-PreTotalVolume,ChipsField25,ChipsField27,DateofMeetingofShareHolders,CompanyPos,TradingDate" advise="1">
        <values cols="6">
          <value>
            <val>24</val>
          </value>
          <value t="str">
            <val>--</val>
          </value>
          <value t="str">
            <val>--</val>
          </value>
          <value t="str">
            <val>2021/07/29</val>
          </value>
          <value t="str">
            <val>轉型從事海事寬頻服務</val>
          </value>
          <value t="str">
            <val>2021/12/17</val>
          </value>
        </values>
      </ddeItem>
      <ddeItem name="2429.TW-ID,Name,Price,PriceChangeRatio,Low,High,Volume,InOutRatioNumber,Capital,ProfitMargin" advise="1">
        <values cols="10">
          <value t="str">
            <val>2429</val>
          </value>
          <value t="str">
            <val>銘旺科</val>
          </value>
          <value>
            <val>20.7</val>
          </value>
          <value>
            <val>-0.48</val>
          </value>
          <value>
            <val>19.5</val>
          </value>
          <value>
            <val>21</val>
          </value>
          <value>
            <val>1</val>
          </value>
          <value t="str">
            <val>45.83%</val>
          </value>
          <value t="str">
            <val>3.97</val>
          </value>
          <value t="str">
            <val>13.84</val>
          </value>
        </values>
      </ddeItem>
      <ddeItem name="2429.TW-OperatingProfitRatio,NetProfitMargin,TFXRatio,MonthlyNetSalesYoY,ReturnOnAssets,DividendYear,ProfitFourSeason,CashDividendYieldRate,StockNetValue,ExchangeIndustry" advise="1">
        <values cols="10">
          <value t="str">
            <val>-1.61</val>
          </value>
          <value t="str">
            <val>-1.16</val>
          </value>
          <value t="str">
            <val>-12.28</val>
          </value>
          <value t="str">
            <val>-47.54</val>
          </value>
          <value t="str">
            <val>-0.26</val>
          </value>
          <value>
            <val>0</val>
          </value>
          <value t="str">
            <val>-0.03</val>
          </value>
          <value>
            <val>0</val>
          </value>
          <value t="str">
            <val>6.88</val>
          </value>
          <value t="str">
            <val>上市光電</val>
          </value>
        </values>
      </ddeItem>
      <ddeItem name="2429.TW-PreTotalVolume,ChipsField25,ChipsField27,DateofMeetingofShareHolders,CompanyPos,TradingDate" advise="1">
        <values cols="6">
          <value>
            <val>58</val>
          </value>
          <value t="str">
            <val>--</val>
          </value>
          <value t="str">
            <val>--</val>
          </value>
          <value t="str">
            <val>2021/12/28</val>
          </value>
          <value t="str">
            <val>台灣PCB廠，跨足ITO玻璃基板業務</val>
          </value>
          <value t="str">
            <val>2021/12/17</val>
          </value>
        </values>
      </ddeItem>
      <ddeItem name="2439.TW-ID,Name,Price,PriceChangeRatio,Low,High,Volume,InOutRatioNumber,Capital,ProfitMargin" advise="1">
        <values cols="10">
          <value t="str">
            <val>2439</val>
          </value>
          <value t="str">
            <val>美律</val>
          </value>
          <value>
            <val>93.2</val>
          </value>
          <value>
            <val>-0.43</val>
          </value>
          <value>
            <val>92.4</val>
          </value>
          <value>
            <val>93.6</val>
          </value>
          <value>
            <val>52</val>
          </value>
          <value t="str">
            <val>30.99%</val>
          </value>
          <value t="str">
            <val>21.71</val>
          </value>
          <value t="str">
            <val>11.97</val>
          </value>
        </values>
      </ddeItem>
      <ddeItem name="2439.TW-OperatingProfitRatio,NetProfitMargin,TFXRatio,MonthlyNetSalesYoY,ReturnOnAssets,DividendYear,ProfitFourSeason,CashDividendYieldRate,StockNetValue,ExchangeIndustry" advise="1">
        <values cols="10">
          <value t="str">
            <val>1.50</val>
          </value>
          <value t="str">
            <val>2.86</val>
          </value>
          <value t="str">
            <val>22.12</val>
          </value>
          <value t="str">
            <val>-2.21</val>
          </value>
          <value t="str">
            <val>2.17</val>
          </value>
          <value>
            <val>5.07</val>
          </value>
          <value t="str">
            <val>5.63</val>
          </value>
          <value>
            <val>5.44</val>
          </value>
          <value t="str">
            <val>52.03</val>
          </value>
          <value t="str">
            <val>上市通信網路</val>
          </value>
        </values>
      </ddeItem>
      <ddeItem name="2439.TW-PreTotalVolume,ChipsField25,ChipsField27,DateofMeetingofShareHolders,CompanyPos,TradingDate" advise="1">
        <values cols="6">
          <value>
            <val>875</val>
          </value>
          <value t="str">
            <val>2021/08/25</val>
          </value>
          <value t="str">
            <val>--</val>
          </value>
          <value t="str">
            <val>2021/07/21</val>
          </value>
          <value t="str">
            <val>全球前十大手機電聲元件供應商</val>
          </value>
          <value t="str">
            <val>2021/12/17</val>
          </value>
        </values>
      </ddeItem>
      <ddeItem name="2476.TW-ID,Name,Price,PriceChangeRatio,Low,High,Volume,InOutRatioNumber,Capital,ProfitMargin" advise="1">
        <values cols="10">
          <value t="str">
            <val>2476</val>
          </value>
          <value t="str">
            <val>鉅祥</val>
          </value>
          <value>
            <val>60</val>
          </value>
          <value>
            <val>-1.64</val>
          </value>
          <value>
            <val>59.6</val>
          </value>
          <value>
            <val>61</val>
          </value>
          <value>
            <val>308</val>
          </value>
          <value t="str">
            <val>28.75%</val>
          </value>
          <value t="str">
            <val>18.78</val>
          </value>
          <value t="str">
            <val>29.73</val>
          </value>
        </values>
      </ddeItem>
      <ddeItem name="2476.TW-OperatingProfitRatio,NetProfitMargin,TFXRatio,MonthlyNetSalesYoY,ReturnOnAssets,DividendYear,ProfitFourSeason,CashDividendYieldRate,StockNetValue,ExchangeIndustry" advise="1">
        <values cols="10">
          <value t="str">
            <val>16.17</val>
          </value>
          <value t="str">
            <val>12.66</val>
          </value>
          <value t="str">
            <val>3.05</val>
          </value>
          <value t="str">
            <val>19.40</val>
          </value>
          <value t="str">
            <val>7.18</val>
          </value>
          <value>
            <val>1.2</val>
          </value>
          <value t="str">
            <val>3.45</val>
          </value>
          <value>
            <val>2</val>
          </value>
          <value t="str">
            <val>26.42</val>
          </value>
          <value t="str">
            <val>上市電子零組件</val>
          </value>
        </values>
      </ddeItem>
      <ddeItem name="2476.TW-PreTotalVolume,ChipsField25,ChipsField27,DateofMeetingofShareHolders,CompanyPos,TradingDate" advise="1">
        <values cols="6">
          <value>
            <val>2007</val>
          </value>
          <value t="str">
            <val>2021/08/03</val>
          </value>
          <value t="str">
            <val>--</val>
          </value>
          <value t="str">
            <val>2021/07/16</val>
          </value>
          <value t="str">
            <val>台灣第一大金屬沖壓件廠商</val>
          </value>
          <value t="str">
            <val>2021/12/17</val>
          </value>
        </values>
      </ddeItem>
      <ddeItem name="2538.TW-ID,Name,Price,PriceChangeRatio,Low,High,Volume,InOutRatioNumber,Capital,ProfitMargin" advise="1">
        <values cols="10">
          <value t="str">
            <val>2538</val>
          </value>
          <value t="str">
            <val>基泰</val>
          </value>
          <value>
            <val>12.55</val>
          </value>
          <value>
            <val>-1.57</val>
          </value>
          <value>
            <val>12.3</val>
          </value>
          <value>
            <val>12.7</val>
          </value>
          <value>
            <val>203</val>
          </value>
          <value t="str">
            <val>40.68%</val>
          </value>
          <value t="str">
            <val>43.84</val>
          </value>
          <value t="str">
            <val>57.93</val>
          </value>
        </values>
      </ddeItem>
      <ddeItem name="2538.TW-OperatingProfitRatio,NetProfitMargin,TFXRatio,MonthlyNetSalesYoY,ReturnOnAssets,DividendYear,ProfitFourSeason,CashDividendYieldRate,StockNetValue,ExchangeIndustry" advise="1">
        <values cols="10">
          <value t="str">
            <val>-23.03</val>
          </value>
          <value t="str">
            <val>-68.86</val>
          </value>
          <value t="str">
            <val>-0.80</val>
          </value>
          <value t="str">
            <val>63.15</val>
          </value>
          <value t="str">
            <val>-0.25</val>
          </value>
          <value>
            <val>0.5</val>
          </value>
          <value t="str">
            <val>-0.36</val>
          </value>
          <value>
            <val>3.98</val>
          </value>
          <value t="str">
            <val>13.49</val>
          </value>
          <value t="str">
            <val>上市建材營造</val>
          </value>
        </values>
      </ddeItem>
      <ddeItem name="2538.TW-PreTotalVolume,ChipsField25,ChipsField27,DateofMeetingofShareHolders,CompanyPos,TradingDate" advise="1">
        <values cols="6">
          <value>
            <val>3169</val>
          </value>
          <value t="str">
            <val>2021/08/17</val>
          </value>
          <value t="str">
            <val>--</val>
          </value>
          <value t="str">
            <val>2021/07/29</val>
          </value>
          <value t="str">
            <val>推案集中於大台北地區之建商</val>
          </value>
          <value t="str">
            <val>2021/12/17</val>
          </value>
        </values>
      </ddeItem>
      <ddeItem name="2610.TW-ID,Name,Price,PriceChangeRatio,Low,High,Volume,InOutRatioNumber,Capital,ProfitMargin" advise="1">
        <values cols="10">
          <value t="str">
            <val>2610</val>
          </value>
          <value t="str">
            <val>華航</val>
          </value>
          <value>
            <val>26.2</val>
          </value>
          <value>
            <val>-1.87</val>
          </value>
          <value>
            <val>26.15</val>
          </value>
          <value>
            <val>27.2</val>
          </value>
          <value>
            <val>11759</val>
          </value>
          <value t="str">
            <val>38.70%</val>
          </value>
          <value t="str">
            <val>592.23</val>
          </value>
          <value t="str">
            <val>10.98</val>
          </value>
        </values>
      </ddeItem>
      <ddeItem name="2610.TW-OperatingProfitRatio,NetProfitMargin,TFXRatio,MonthlyNetSalesYoY,ReturnOnAssets,DividendYear,ProfitFourSeason,CashDividendYieldRate,StockNetValue,ExchangeIndustry" advise="1">
        <values cols="10">
          <value t="str">
            <val>5.15</val>
          </value>
          <value t="str">
            <val>1.20</val>
          </value>
          <value t="str">
            <val>2.83</val>
          </value>
          <value t="str">
            <val>52.85</val>
          </value>
          <value t="str">
            <val>0.92</val>
          </value>
          <value>
            <val>0</val>
          </value>
          <value t="str">
            <val>0.68</val>
          </value>
          <value>
            <val>0</val>
          </value>
          <value t="str">
            <val>11.03</val>
          </value>
          <value t="str">
            <val>上市航運業</val>
          </value>
        </values>
      </ddeItem>
      <ddeItem name="2610.TW-PreTotalVolume,ChipsField25,ChipsField27,DateofMeetingofShareHolders,CompanyPos,TradingDate" advise="1">
        <values cols="6">
          <value>
            <val>221977</val>
          </value>
          <value t="str">
            <val>--</val>
          </value>
          <value t="str">
            <val>--</val>
          </value>
          <value t="str">
            <val>2021/08/12</val>
          </value>
          <value t="str">
            <val>台灣最大航空公司</val>
          </value>
          <value t="str">
            <val>2021/12/17</val>
          </value>
        </values>
      </ddeItem>
      <ddeItem name="2618.TW-ID,Name,Price,PriceChangeRatio,Low,High,Volume,InOutRatioNumber,Capital,ProfitMargin" advise="1">
        <values cols="10">
          <value t="str">
            <val>2618</val>
          </value>
          <value t="str">
            <val>長榮航</val>
          </value>
          <value>
            <val>26.4</val>
          </value>
          <value>
            <val>-1.49</val>
          </value>
          <value>
            <val>26.3</val>
          </value>
          <value>
            <val>27.35</val>
          </value>
          <value>
            <val>5690</val>
          </value>
          <value t="str">
            <val>45.25%</val>
          </value>
          <value t="str">
            <val>513.89</val>
          </value>
          <value t="str">
            <val>11.18</val>
          </value>
        </values>
      </ddeItem>
      <ddeItem name="2618.TW-OperatingProfitRatio,NetProfitMargin,TFXRatio,MonthlyNetSalesYoY,ReturnOnAssets,DividendYear,ProfitFourSeason,CashDividendYieldRate,StockNetValue,ExchangeIndustry" advise="1">
        <values cols="10">
          <value t="str">
            <val>1.94</val>
          </value>
          <value t="str">
            <val>-0.84</val>
          </value>
          <value t="str">
            <val>10.63</val>
          </value>
          <value t="str">
            <val>57.10</val>
          </value>
          <value t="str">
            <val>0.56</val>
          </value>
          <value>
            <val>0</val>
          </value>
          <value t="str">
            <val>-0.06</val>
          </value>
          <value>
            <val>0</val>
          </value>
          <value t="str">
            <val>14.67</val>
          </value>
          <value t="str">
            <val>上市航運業</val>
          </value>
        </values>
      </ddeItem>
      <ddeItem name="2618.TW-PreTotalVolume,ChipsField25,ChipsField27,DateofMeetingofShareHolders,CompanyPos,TradingDate" advise="1">
        <values cols="6">
          <value>
            <val>138765</val>
          </value>
          <value t="str">
            <val>--</val>
          </value>
          <value t="str">
            <val>--</val>
          </value>
          <value t="str">
            <val>2021/07/16</val>
          </value>
          <value t="str">
            <val>台灣第2大航空公司</val>
          </value>
          <value t="str">
            <val>2021/12/17</val>
          </value>
        </values>
      </ddeItem>
      <ddeItem name="2732.TW-ID,Name,Price,PriceChangeRatio,Low,High,Volume,InOutRatioNumber,Capital,ProfitMargin" advise="1">
        <values cols="10">
          <value t="str">
            <val>2732</val>
          </value>
          <value t="str">
            <val>六角</val>
          </value>
          <value>
            <val>86.6</val>
          </value>
          <value>
            <val>-2.37</val>
          </value>
          <value>
            <val>86.6</val>
          </value>
          <value>
            <val>88.7</val>
          </value>
          <value>
            <val>9</val>
          </value>
          <value t="str">
            <val>27.92%</val>
          </value>
          <value t="str">
            <val>4.51</val>
          </value>
          <value t="str">
            <val>39.79</val>
          </value>
        </values>
      </ddeItem>
      <ddeItem name="2732.TW-OperatingProfitRatio,NetProfitMargin,TFXRatio,MonthlyNetSalesYoY,ReturnOnAssets,DividendYear,ProfitFourSeason,CashDividendYieldRate,StockNetValue,ExchangeIndustry" advise="1">
        <values cols="10">
          <value t="str">
            <val>2.73</val>
          </value>
          <value t="str">
            <val>1.51</val>
          </value>
          <value t="str">
            <val>-10.86</val>
          </value>
          <value t="str">
            <val>1.12</val>
          </value>
          <value t="str">
            <val>1.34</val>
          </value>
          <value>
            <val>2.98</val>
          </value>
          <value t="str">
            <val>2.54</val>
          </value>
          <value>
            <val>3.44</val>
          </value>
          <value t="str">
            <val>36.49</val>
          </value>
          <value t="str">
            <val>上櫃觀光</val>
          </value>
        </values>
      </ddeItem>
      <ddeItem name="2732.TW-PreTotalVolume,ChipsField25,ChipsField27,DateofMeetingofShareHolders,CompanyPos,TradingDate" advise="1">
        <values cols="6">
          <value>
            <val>118</val>
          </value>
          <value t="str">
            <val>2021/07/12</val>
          </value>
          <value t="str">
            <val>--</val>
          </value>
          <value t="str">
            <val>2021/07/12</val>
          </value>
          <value t="str">
            <val>在全球80個城市擁有門市據點的外帶式茶飲與甜品供應商</val>
          </value>
          <value t="str">
            <val>2021/12/17</val>
          </value>
        </values>
      </ddeItem>
      <ddeItem name="3217.TW-ID,Name,Price,PriceChangeRatio,Low,High,Volume,InOutRatioNumber,Capital,ProfitMargin" advise="1">
        <values cols="10">
          <value t="str">
            <val>3217</val>
          </value>
          <value t="str">
            <val>優群</val>
          </value>
          <value>
            <val>123.5</val>
          </value>
          <value>
            <val>-5</val>
          </value>
          <value>
            <val>122</val>
          </value>
          <value>
            <val>127</val>
          </value>
          <value>
            <val>175</val>
          </value>
          <value t="str">
            <val>35.55%</val>
          </value>
          <value t="str">
            <val>9.01</val>
          </value>
          <value t="str">
            <val>42.13</val>
          </value>
        </values>
      </ddeItem>
      <ddeItem name="3217.TW-OperatingProfitRatio,NetProfitMargin,TFXRatio,MonthlyNetSalesYoY,ReturnOnAssets,DividendYear,ProfitFourSeason,CashDividendYieldRate,StockNetValue,ExchangeIndustry" advise="1">
        <values cols="10">
          <value t="str">
            <val>25.71</val>
          </value>
          <value t="str">
            <val>21.70</val>
          </value>
          <value t="str">
            <val>18.47</val>
          </value>
          <value t="str">
            <val>20.02</val>
          </value>
          <value t="str">
            <val>10.87</val>
          </value>
          <value>
            <val>5.6</val>
          </value>
          <value t="str">
            <val>7.33</val>
          </value>
          <value>
            <val>4.53</val>
          </value>
          <value t="str">
            <val>39.19</val>
          </value>
          <value t="str">
            <val>上櫃電子零組件</val>
          </value>
        </values>
      </ddeItem>
      <ddeItem name="3217.TW-PreTotalVolume,ChipsField25,ChipsField27,DateofMeetingofShareHolders,CompanyPos,TradingDate" advise="1">
        <values cols="6">
          <value>
            <val>7686</val>
          </value>
          <value t="str">
            <val>2021/07/30</val>
          </value>
          <value t="str">
            <val>--</val>
          </value>
          <value t="str">
            <val>2021/07/15</val>
          </value>
          <value t="str">
            <val>轉型成為自製研發的連接器廠</val>
          </value>
          <value t="str">
            <val>2021/12/17</val>
          </value>
        </values>
      </ddeItem>
      <ddeItem name="3224.TW-ID,Name,Price,PriceChangeRatio,Low,High,Volume,InOutRatioNumber,Capital,ProfitMargin" advise="1">
        <values cols="10">
          <value t="str">
            <val>3224</val>
          </value>
          <value t="str">
            <val>三顧</val>
          </value>
          <value>
            <val>60.1</val>
          </value>
          <value>
            <val>-1.96</val>
          </value>
          <value>
            <val>58.5</val>
          </value>
          <value>
            <val>62.1</val>
          </value>
          <value>
            <val>20</val>
          </value>
          <value t="str">
            <val>29.54%</val>
          </value>
          <value t="str">
            <val>6.80</val>
          </value>
          <value t="str">
            <val>13.39</val>
          </value>
        </values>
      </ddeItem>
      <ddeItem name="3224.TW-OperatingProfitRatio,NetProfitMargin,TFXRatio,MonthlyNetSalesYoY,ReturnOnAssets,DividendYear,ProfitFourSeason,CashDividendYieldRate,StockNetValue,ExchangeIndustry" advise="1">
        <values cols="10">
          <value t="str">
            <val>-2.37</val>
          </value>
          <value t="str">
            <val>-3.30</val>
          </value>
          <value t="str">
            <val>19.98</val>
          </value>
          <value t="str">
            <val>123.99</val>
          </value>
          <value t="str">
            <val>-1.44</val>
          </value>
          <value>
            <val>0</val>
          </value>
          <value t="str">
            <val>-0.96</val>
          </value>
          <value>
            <val>0</val>
          </value>
          <value t="str">
            <val>18.75</val>
          </value>
          <value t="str">
            <val>上櫃電子通路</val>
          </value>
        </values>
      </ddeItem>
      <ddeItem name="3224.TW-PreTotalVolume,ChipsField25,ChipsField27,DateofMeetingofShareHolders,CompanyPos,TradingDate" advise="1">
        <values cols="6">
          <value>
            <val>321</val>
          </value>
          <value t="str">
            <val>--</val>
          </value>
          <value t="str">
            <val>--</val>
          </value>
          <value t="str">
            <val>2021/07/20</val>
          </value>
          <value t="str">
            <val>台灣電子材料批發銷售廠商並切入醫療美容產品服務</val>
          </value>
          <value t="str">
            <val>2021/12/17</val>
          </value>
        </values>
      </ddeItem>
      <ddeItem name="3294.TW-ID,Name,Price,PriceChangeRatio,Low,High,Volume,InOutRatioNumber,Capital,ProfitMargin" advise="1">
        <values cols="10">
          <value t="str">
            <val>3294</val>
          </value>
          <value t="str">
            <val>英濟</val>
          </value>
          <value>
            <val>33.65</val>
          </value>
          <value>
            <val>-1.75</val>
          </value>
          <value>
            <val>33.5</val>
          </value>
          <value>
            <val>34.5</val>
          </value>
          <value>
            <val>235</val>
          </value>
          <value t="str">
            <val>45.26%</val>
          </value>
          <value t="str">
            <val>13.20</val>
          </value>
          <value t="str">
            <val>11.90</val>
          </value>
        </values>
      </ddeItem>
      <ddeItem name="3294.TW-OperatingProfitRatio,NetProfitMargin,TFXRatio,MonthlyNetSalesYoY,ReturnOnAssets,DividendYear,ProfitFourSeason,CashDividendYieldRate,StockNetValue,ExchangeIndustry" advise="1">
        <values cols="10">
          <value t="str">
            <val>0.57</val>
          </value>
          <value t="str">
            <val>0.14</val>
          </value>
          <value t="str">
            <val>0.31</val>
          </value>
          <value t="str">
            <val>-19.65</val>
          </value>
          <value t="str">
            <val>0.31</val>
          </value>
          <value>
            <val>0.5</val>
          </value>
          <value t="str">
            <val>0.72</val>
          </value>
          <value>
            <val>1.49</val>
          </value>
          <value t="str">
            <val>17.65</val>
          </value>
          <value t="str">
            <val>上櫃電子零組件</val>
          </value>
        </values>
      </ddeItem>
      <ddeItem name="3294.TW-PreTotalVolume,ChipsField25,ChipsField27,DateofMeetingofShareHolders,CompanyPos,TradingDate" advise="1">
        <values cols="6">
          <value>
            <val>3354</val>
          </value>
          <value t="str">
            <val>2021/08/24</val>
          </value>
          <value t="str">
            <val>--</val>
          </value>
          <value t="str">
            <val>2021/07/27</val>
          </value>
          <value t="str">
            <val>專營塑膠零組件射出與模具廠</val>
          </value>
          <value t="str">
            <val>2021/12/17</val>
          </value>
        </values>
      </ddeItem>
      <ddeItem name="3306.TW-ID,Name,Price,PriceChangeRatio,Low,High,Volume,InOutRatioNumber,Capital,ProfitMargin" advise="1">
        <values cols="10">
          <value t="str">
            <val>3306</val>
          </value>
          <value t="str">
            <val>鼎天</val>
          </value>
          <value>
            <val>31.4</val>
          </value>
          <value>
            <val>-3.98</val>
          </value>
          <value>
            <val>31.2</val>
          </value>
          <value>
            <val>32.65</val>
          </value>
          <value>
            <val>58</val>
          </value>
          <value t="str">
            <val>27.62%</val>
          </value>
          <value t="str">
            <val>5.06</val>
          </value>
          <value t="str">
            <val>19.80</val>
          </value>
        </values>
      </ddeItem>
      <ddeItem name="3306.TW-OperatingProfitRatio,NetProfitMargin,TFXRatio,MonthlyNetSalesYoY,ReturnOnAssets,DividendYear,ProfitFourSeason,CashDividendYieldRate,StockNetValue,ExchangeIndustry" advise="1">
        <values cols="10">
          <value t="str">
            <val>-0.38</val>
          </value>
          <value t="str">
            <val>4.77</val>
          </value>
          <value t="str">
            <val>-10.41</val>
          </value>
          <value t="str">
            <val>84.07</val>
          </value>
          <value t="str">
            <val>2.42</val>
          </value>
          <value>
            <val>0.5</val>
          </value>
          <value t="str">
            <val>0.81</val>
          </value>
          <value>
            <val>1.59</val>
          </value>
          <value t="str">
            <val>30.09</val>
          </value>
          <value t="str">
            <val>上櫃通信網路</val>
          </value>
        </values>
      </ddeItem>
      <ddeItem name="3306.TW-PreTotalVolume,ChipsField25,ChipsField27,DateofMeetingofShareHolders,CompanyPos,TradingDate" advise="1">
        <values cols="6">
          <value>
            <val>1756</val>
          </value>
          <value t="str">
            <val>2021/09/02</val>
          </value>
          <value t="str">
            <val>--</val>
          </value>
          <value t="str">
            <val>2021/08/09</val>
          </value>
          <value t="str">
            <val>廣達轉投資的GPS及個人導航廠商</val>
          </value>
          <value t="str">
            <val>2021/12/17</val>
          </value>
        </values>
      </ddeItem>
      <ddeItem name="3338.TW-ID,Name,Price,PriceChangeRatio,Low,High,Volume,InOutRatioNumber,Capital,ProfitMargin" advise="1">
        <values cols="10">
          <value t="str">
            <val>3338</val>
          </value>
          <value t="str">
            <val>泰碩</val>
          </value>
          <value>
            <val>51.4</val>
          </value>
          <value>
            <val>-2.84</val>
          </value>
          <value>
            <val>51.2</val>
          </value>
          <value>
            <val>53</val>
          </value>
          <value>
            <val>49</val>
          </value>
          <value t="str">
            <val>25.26%</val>
          </value>
          <value t="str">
            <val>8.79</val>
          </value>
          <value t="str">
            <val>17.43</val>
          </value>
        </values>
      </ddeItem>
      <ddeItem name="3338.TW-OperatingProfitRatio,NetProfitMargin,TFXRatio,MonthlyNetSalesYoY,ReturnOnAssets,DividendYear,ProfitFourSeason,CashDividendYieldRate,StockNetValue,ExchangeIndustry" advise="1">
        <values cols="10">
          <value t="str">
            <val>4.91</val>
          </value>
          <value t="str">
            <val>3.14</val>
          </value>
          <value t="str">
            <val>24.23</val>
          </value>
          <value t="str">
            <val>5.14</val>
          </value>
          <value t="str">
            <val>2.94</val>
          </value>
          <value>
            <val>1.8</val>
          </value>
          <value t="str">
            <val>1.76</val>
          </value>
          <value>
            <val>3.5</val>
          </value>
          <value t="str">
            <val>18.47</val>
          </value>
          <value t="str">
            <val>上市電子零組件</val>
          </value>
        </values>
      </ddeItem>
      <ddeItem name="3338.TW-PreTotalVolume,ChipsField25,ChipsField27,DateofMeetingofShareHolders,CompanyPos,TradingDate" advise="1">
        <values cols="6">
          <value>
            <val>674</val>
          </value>
          <value t="str">
            <val>2021/08/02</val>
          </value>
          <value t="str">
            <val>--</val>
          </value>
          <value t="str">
            <val>2021/07/05</val>
          </value>
          <value t="str">
            <val>台灣生產散熱器及PC用連接器廠</val>
          </value>
          <value t="str">
            <val>2021/12/17</val>
          </value>
        </values>
      </ddeItem>
      <ddeItem name="3354.TW-ID,Name,Price,PriceChangeRatio,Low,High,Volume,InOutRatioNumber,Capital,ProfitMargin" advise="1">
        <values cols="10">
          <value t="str">
            <val>3354</val>
          </value>
          <value t="str">
            <val>律勝</val>
          </value>
          <value>
            <val>19.149999999999999</val>
          </value>
          <value>
            <val>0</val>
          </value>
          <value>
            <val>18.600000000000001</val>
          </value>
          <value>
            <val>19.399999999999999</val>
          </value>
          <value>
            <val>26</val>
          </value>
          <value t="str">
            <val>58.09%</val>
          </value>
          <value t="str">
            <val>7.01</val>
          </value>
          <value t="str">
            <val>19.05</val>
          </value>
        </values>
      </ddeItem>
      <ddeItem name="3354.TW-OperatingProfitRatio,NetProfitMargin,TFXRatio,MonthlyNetSalesYoY,ReturnOnAssets,DividendYear,ProfitFourSeason,CashDividendYieldRate,StockNetValue,ExchangeIndustry" advise="1">
        <values cols="10">
          <value t="str">
            <val>-38.40</val>
          </value>
          <value t="str">
            <val>-22.55</val>
          </value>
          <value t="str">
            <val>-4.04</val>
          </value>
          <value t="str">
            <val>-49.07</val>
          </value>
          <value t="str">
            <val>-2.10</val>
          </value>
          <value>
            <val>0.3</val>
          </value>
          <value t="str">
            <val>-0.68</val>
          </value>
          <value>
            <val>1.57</val>
          </value>
          <value t="str">
            <val>14.96</val>
          </value>
          <value t="str">
            <val>上櫃電子零組件</val>
          </value>
        </values>
      </ddeItem>
      <ddeItem name="3354.TW-PreTotalVolume,ChipsField25,ChipsField27,DateofMeetingofShareHolders,CompanyPos,TradingDate" advise="1">
        <values cols="6">
          <value>
            <val>1114</val>
          </value>
          <value t="str">
            <val>2021/07/29</val>
          </value>
          <value t="str">
            <val>--</val>
          </value>
          <value t="str">
            <val>2021/07/13</val>
          </value>
          <value t="str">
            <val>台灣軟式印刷電路板基材製造商</val>
          </value>
          <value t="str">
            <val>2021/12/17</val>
          </value>
        </values>
      </ddeItem>
      <ddeItem name="3419.TW-ID,Name,Price,PriceChangeRatio,Low,High,Volume,InOutRatioNumber,Capital,ProfitMargin" advise="1">
        <values cols="10">
          <value t="str">
            <val>3419</val>
          </value>
          <value t="str">
            <val>譁裕</val>
          </value>
          <value>
            <val>25.4</val>
          </value>
          <value>
            <val>-5.4</val>
          </value>
          <value>
            <val>24.9</val>
          </value>
          <value>
            <val>26.6</val>
          </value>
          <value>
            <val>378</val>
          </value>
          <value t="str">
            <val>28.42%</val>
          </value>
          <value t="str">
            <val>12.05</val>
          </value>
          <value t="str">
            <val>17.24</val>
          </value>
        </values>
      </ddeItem>
      <ddeItem name="3419.TW-OperatingProfitRatio,NetProfitMargin,TFXRatio,MonthlyNetSalesYoY,ReturnOnAssets,DividendYear,ProfitFourSeason,CashDividendYieldRate,StockNetValue,ExchangeIndustry" advise="1">
        <values cols="10">
          <value t="str">
            <val>-2.80</val>
          </value>
          <value t="str">
            <val>-1.25</val>
          </value>
          <value t="str">
            <val>-16.55</val>
          </value>
          <value t="str">
            <val>-16.90</val>
          </value>
          <value t="str">
            <val>-0.58</val>
          </value>
          <value>
            <val>0.5</val>
          </value>
          <value t="str">
            <val>-0.08</val>
          </value>
          <value>
            <val>1.97</val>
          </value>
          <value t="str">
            <val>11.93</val>
          </value>
          <value t="str">
            <val>上市通信網路</val>
          </value>
        </values>
      </ddeItem>
      <ddeItem name="3419.TW-PreTotalVolume,ChipsField25,ChipsField27,DateofMeetingofShareHolders,CompanyPos,TradingDate" advise="1">
        <values cols="6">
          <value>
            <val>10979</val>
          </value>
          <value t="str">
            <val>2021/08/26</val>
          </value>
          <value t="str">
            <val>--</val>
          </value>
          <value t="str">
            <val>2021/07/30</val>
          </value>
          <value t="str">
            <val>全球最大的WiFi天線製造商</val>
          </value>
          <value t="str">
            <val>2021/12/17</val>
          </value>
        </values>
      </ddeItem>
      <ddeItem name="3434.TW-ID,Name,Price,PriceChangeRatio,Low,High,Volume,InOutRatioNumber,Capital,ProfitMargin" advise="1">
        <values cols="10">
          <value t="str">
            <val>3434</val>
          </value>
          <value t="str">
            <val>哲固</val>
          </value>
          <value>
            <val>16.850000000000001</val>
          </value>
          <value>
            <val>0.6</val>
          </value>
          <value>
            <val>16.649999999999999</val>
          </value>
          <value>
            <val>17.100000000000001</val>
          </value>
          <value>
            <val>13</val>
          </value>
          <value t="str">
            <val>39.33%</val>
          </value>
          <value t="str">
            <val>2.27</val>
          </value>
          <value t="str">
            <val>14.53</val>
          </value>
        </values>
      </ddeItem>
      <ddeItem name="3434.TW-OperatingProfitRatio,NetProfitMargin,TFXRatio,MonthlyNetSalesYoY,ReturnOnAssets,DividendYear,ProfitFourSeason,CashDividendYieldRate,StockNetValue,ExchangeIndustry" advise="1">
        <values cols="10">
          <value t="str">
            <val>2.78</val>
          </value>
          <value t="str">
            <val>1.84</val>
          </value>
          <value t="str">
            <val>-17.64</val>
          </value>
          <value t="str">
            <val>11.30</val>
          </value>
          <value t="str">
            <val>2.26</val>
          </value>
          <value>
            <val>0</val>
          </value>
          <value t="str">
            <val>0.52</val>
          </value>
          <value>
            <val>0</val>
          </value>
          <value t="str">
            <val>11.02</val>
          </value>
          <value t="str">
            <val>上櫃光電</val>
          </value>
        </values>
      </ddeItem>
      <ddeItem name="3434.TW-PreTotalVolume,ChipsField25,ChipsField27,DateofMeetingofShareHolders,CompanyPos,TradingDate" advise="1">
        <values cols="6">
          <value>
            <val>500</val>
          </value>
          <value t="str">
            <val>--</val>
          </value>
          <value t="str">
            <val>--</val>
          </value>
          <value t="str">
            <val>2021/07/08</val>
          </value>
          <value t="str">
            <val>台灣安全監控顯示器廠商</val>
          </value>
          <value t="str">
            <val>2021/12/17</val>
          </value>
        </values>
      </ddeItem>
      <ddeItem name="3438.TW-ID,Name,Price,PriceChangeRatio,Low,High,Volume,InOutRatioNumber,Capital,ProfitMargin" advise="1">
        <values cols="10">
          <value t="str">
            <val>3438</val>
          </value>
          <value t="str">
            <val>類比科</val>
          </value>
          <value>
            <val>84.6</val>
          </value>
          <value>
            <val>-2.2000000000000002</val>
          </value>
          <value>
            <val>84.2</val>
          </value>
          <value>
            <val>86</val>
          </value>
          <value>
            <val>10</val>
          </value>
          <value t="str">
            <val>23.04%</val>
          </value>
          <value t="str">
            <val>4.72</val>
          </value>
          <value t="str">
            <val>42.82</val>
          </value>
        </values>
      </ddeItem>
      <ddeItem name="3438.TW-OperatingProfitRatio,NetProfitMargin,TFXRatio,MonthlyNetSalesYoY,ReturnOnAssets,DividendYear,ProfitFourSeason,CashDividendYieldRate,StockNetValue,ExchangeIndustry" advise="1">
        <values cols="10">
          <value t="str">
            <val>20.67</val>
          </value>
          <value t="str">
            <val>15.82</val>
          </value>
          <value t="str">
            <val>-5.64</val>
          </value>
          <value t="str">
            <val>-4.93</val>
          </value>
          <value t="str">
            <val>10.87</val>
          </value>
          <value>
            <val>1.5</val>
          </value>
          <value t="str">
            <val>4.74</val>
          </value>
          <value>
            <val>1.77</val>
          </value>
          <value t="str">
            <val>31.61</val>
          </value>
          <value t="str">
            <val>上櫃半導體</val>
          </value>
        </values>
      </ddeItem>
      <ddeItem name="3438.TW-PreTotalVolume,ChipsField25,ChipsField27,DateofMeetingofShareHolders,CompanyPos,TradingDate" advise="1">
        <values cols="6">
          <value>
            <val>205</val>
          </value>
          <value t="str">
            <val>2021/08/02</val>
          </value>
          <value t="str">
            <val>--</val>
          </value>
          <value t="str">
            <val>2021/07/09</val>
          </value>
          <value t="str">
            <val>台灣面板電源管理IC龍頭</val>
          </value>
          <value t="str">
            <val>2021/12/17</val>
          </value>
        </values>
      </ddeItem>
      <ddeItem name="3444.TW-ID,Name,Price,PriceChangeRatio,Low,High,Volume,InOutRatioNumber,Capital,ProfitMargin" advise="1">
        <values cols="10">
          <value t="str">
            <val>3444</val>
          </value>
          <value t="str">
            <val>利機</val>
          </value>
          <value>
            <val>59</val>
          </value>
          <value>
            <val>-3.75</val>
          </value>
          <value>
            <val>58.9</val>
          </value>
          <value>
            <val>60.5</val>
          </value>
          <value>
            <val>42</val>
          </value>
          <value t="str">
            <val>22.67%</val>
          </value>
          <value t="str">
            <val>3.91</val>
          </value>
          <value t="str">
            <val>24.44</val>
          </value>
        </values>
      </ddeItem>
      <ddeItem name="3444.TW-OperatingProfitRatio,NetProfitMargin,TFXRatio,MonthlyNetSalesYoY,ReturnOnAssets,DividendYear,ProfitFourSeason,CashDividendYieldRate,StockNetValue,ExchangeIndustry" advise="1">
        <values cols="10">
          <value t="str">
            <val>12.09</val>
          </value>
          <value t="str">
            <val>10.69</val>
          </value>
          <value t="str">
            <val>2.78</val>
          </value>
          <value t="str">
            <val>11.15</val>
          </value>
          <value t="str">
            <val>7.49</val>
          </value>
          <value>
            <val>1.8</val>
          </value>
          <value t="str">
            <val>3.04</val>
          </value>
          <value>
            <val>3.05</val>
          </value>
          <value t="str">
            <val>19.51</val>
          </value>
          <value t="str">
            <val>上櫃電子通路</val>
          </value>
        </values>
      </ddeItem>
      <ddeItem name="3444.TW-PreTotalVolume,ChipsField25,ChipsField27,DateofMeetingofShareHolders,CompanyPos,TradingDate" advise="1">
        <values cols="6">
          <value>
            <val>1068</val>
          </value>
          <value t="str">
            <val>2021/07/09</val>
          </value>
          <value t="str">
            <val>--</val>
          </value>
          <value t="str">
            <val>2021/08/05</val>
          </value>
          <value t="str">
            <val>台灣電子材料通路商</val>
          </value>
          <value t="str">
            <val>2021/12/17</val>
          </value>
        </values>
      </ddeItem>
      <ddeItem name="3455.TW-ID,Name,Price,PriceChangeRatio,Low,High,Volume,InOutRatioNumber,Capital,ProfitMargin" advise="1">
        <values cols="10">
          <value t="str">
            <val>3455</val>
          </value>
          <value t="str">
            <val>由田</val>
          </value>
          <value>
            <val>74.2</val>
          </value>
          <value>
            <val>-2.88</val>
          </value>
          <value>
            <val>74</val>
          </value>
          <value>
            <val>76.400000000000006</val>
          </value>
          <value>
            <val>66</val>
          </value>
          <value t="str">
            <val>23.17%</val>
          </value>
          <value t="str">
            <val>5.99</val>
          </value>
          <value t="str">
            <val>51.23</val>
          </value>
        </values>
      </ddeItem>
      <ddeItem name="3455.TW-OperatingProfitRatio,NetProfitMargin,TFXRatio,MonthlyNetSalesYoY,ReturnOnAssets,DividendYear,ProfitFourSeason,CashDividendYieldRate,StockNetValue,ExchangeIndustry" advise="1">
        <values cols="10">
          <value t="str">
            <val>18.40</val>
          </value>
          <value t="str">
            <val>15.53</val>
          </value>
          <value t="str">
            <val>-6.48</val>
          </value>
          <value t="str">
            <val>14.46</val>
          </value>
          <value t="str">
            <val>7.23</val>
          </value>
          <value>
            <val>4</val>
          </value>
          <value t="str">
            <val>6.76</val>
          </value>
          <value>
            <val>5.39</val>
          </value>
          <value t="str">
            <val>37.55</val>
          </value>
          <value t="str">
            <val>上櫃光電</val>
          </value>
        </values>
      </ddeItem>
      <ddeItem name="3455.TW-PreTotalVolume,ChipsField25,ChipsField27,DateofMeetingofShareHolders,CompanyPos,TradingDate" advise="1">
        <values cols="6">
          <value>
            <val>1951</val>
          </value>
          <value t="str">
            <val>2021/08/30</val>
          </value>
          <value t="str">
            <val>--</val>
          </value>
          <value t="str">
            <val>2021/08/27</val>
          </value>
          <value t="str">
            <val>台灣最大光學檢測設備製造商</val>
          </value>
          <value t="str">
            <val>2021/12/17</val>
          </value>
        </values>
      </ddeItem>
      <ddeItem name="3489.TW-ID,Name,Price,PriceChangeRatio,Low,High,Volume,InOutRatioNumber,Capital,ProfitMargin" advise="1">
        <values cols="10">
          <value t="str">
            <val>3489</val>
          </value>
          <value t="str">
            <val>森寶</val>
          </value>
          <value>
            <val>13.9</val>
          </value>
          <value>
            <val>-4.79</val>
          </value>
          <value>
            <val>13.8</val>
          </value>
          <value>
            <val>14.65</val>
          </value>
          <value>
            <val>25</val>
          </value>
          <value t="str">
            <val>22.63%</val>
          </value>
          <value t="str">
            <val>8.31</val>
          </value>
          <value t="str">
            <val>9.88</val>
          </value>
        </values>
      </ddeItem>
      <ddeItem name="3489.TW-OperatingProfitRatio,NetProfitMargin,TFXRatio,MonthlyNetSalesYoY,ReturnOnAssets,DividendYear,ProfitFourSeason,CashDividendYieldRate,StockNetValue,ExchangeIndustry" advise="1">
        <values cols="10">
          <value t="str">
            <val>3.59</val>
          </value>
          <value t="str">
            <val>2.68</val>
          </value>
          <value t="str">
            <val>-7.50</val>
          </value>
          <value t="str">
            <val>75.76</val>
          </value>
          <value t="str">
            <val>1.22</val>
          </value>
          <value>
            <val>0.3</val>
          </value>
          <value t="str">
            <val>0.45</val>
          </value>
          <value>
            <val>2.16</val>
          </value>
          <value t="str">
            <val>15.77</val>
          </value>
          <value t="str">
            <val>上櫃建材營造</val>
          </value>
        </values>
      </ddeItem>
      <ddeItem name="3489.TW-PreTotalVolume,ChipsField25,ChipsField27,DateofMeetingofShareHolders,CompanyPos,TradingDate" advise="1">
        <values cols="6">
          <value>
            <val>207</val>
          </value>
          <value t="str">
            <val>2021/08/25</val>
          </value>
          <value t="str">
            <val>--</val>
          </value>
          <value t="str">
            <val>2021/07/20</val>
          </value>
          <value t="str">
            <val>轉型為營建商，推案集中在新北市地區</val>
          </value>
          <value t="str">
            <val>2021/12/17</val>
          </value>
        </values>
      </ddeItem>
      <ddeItem name="3490.TW-ID,Name,Price,PriceChangeRatio,Low,High,Volume,InOutRatioNumber,Capital,ProfitMargin" advise="1">
        <values cols="10">
          <value t="str">
            <val>3490</val>
          </value>
          <value t="str">
            <val>單井</val>
          </value>
          <value>
            <val>31.5</val>
          </value>
          <value>
            <val>-4.26</val>
          </value>
          <value>
            <val>31.5</val>
          </value>
          <value>
            <val>33.25</val>
          </value>
          <value>
            <val>88</val>
          </value>
          <value t="str">
            <val>21.89%</val>
          </value>
          <value t="str">
            <val>5.70</val>
          </value>
          <value t="str">
            <val>39.64</val>
          </value>
        </values>
      </ddeItem>
      <ddeItem name="3490.TW-OperatingProfitRatio,NetProfitMargin,TFXRatio,MonthlyNetSalesYoY,ReturnOnAssets,DividendYear,ProfitFourSeason,CashDividendYieldRate,StockNetValue,ExchangeIndustry" advise="1">
        <values cols="10">
          <value t="str">
            <val>22.70</val>
          </value>
          <value t="str">
            <val>22.19</val>
          </value>
          <value t="str">
            <val>12.11</val>
          </value>
          <value t="str">
            <val>9.28</val>
          </value>
          <value t="str">
            <val>5.30</val>
          </value>
          <value>
            <val>0.7</val>
          </value>
          <value t="str">
            <val>1.98</val>
          </value>
          <value>
            <val>2.2200000000000002</val>
          </value>
          <value t="str">
            <val>21.85</val>
          </value>
          <value t="str">
            <val>上櫃光電</val>
          </value>
        </values>
      </ddeItem>
      <ddeItem name="3490.TW-PreTotalVolume,ChipsField25,ChipsField27,DateofMeetingofShareHolders,CompanyPos,TradingDate" advise="1">
        <values cols="6">
          <value>
            <val>732</val>
          </value>
          <value t="str">
            <val>2021/08/04</val>
          </value>
          <value t="str">
            <val>--</val>
          </value>
          <value t="str">
            <val>2021/07/30</val>
          </value>
          <value t="str">
            <val>台灣半導體封裝模具、自動化設備及太陽能系統安裝廠商</val>
          </value>
          <value t="str">
            <val>2021/12/17</val>
          </value>
        </values>
      </ddeItem>
      <ddeItem name="3508.TW-ID,Name,Price,PriceChangeRatio,Low,High,Volume,InOutRatioNumber,Capital,ProfitMargin" advise="1">
        <values cols="10">
          <value t="str">
            <val>3508</val>
          </value>
          <value t="str">
            <val>位速</val>
          </value>
          <value>
            <val>63.2</val>
          </value>
          <value>
            <val>-8.5399999999999991</val>
          </value>
          <value>
            <val>62.2</val>
          </value>
          <value>
            <val>65.5</val>
          </value>
          <value>
            <val>119</val>
          </value>
          <value t="str">
            <val>43.93%</val>
          </value>
          <value t="str">
            <val>10.21</val>
          </value>
          <value t="str">
            <val>9.15</val>
          </value>
        </values>
      </ddeItem>
      <ddeItem name="3508.TW-OperatingProfitRatio,NetProfitMargin,TFXRatio,MonthlyNetSalesYoY,ReturnOnAssets,DividendYear,ProfitFourSeason,CashDividendYieldRate,StockNetValue,ExchangeIndustry" advise="1">
        <values cols="10">
          <value t="str">
            <val>-17.08</val>
          </value>
          <value t="str">
            <val>-13.63</val>
          </value>
          <value t="str">
            <val>15.73</val>
          </value>
          <value t="str">
            <val>45.83</val>
          </value>
          <value t="str">
            <val>-3.63</val>
          </value>
          <value>
            <val>0</val>
          </value>
          <value t="str">
            <val>-1.71</val>
          </value>
          <value>
            <val>0</val>
          </value>
          <value t="str">
            <val>10.52</val>
          </value>
          <value t="str">
            <val>上櫃其他電子</val>
          </value>
        </values>
      </ddeItem>
      <ddeItem name="3508.TW-PreTotalVolume,ChipsField25,ChipsField27,DateofMeetingofShareHolders,CompanyPos,TradingDate" advise="1">
        <values cols="6">
          <value>
            <val>50385</val>
          </value>
          <value t="str">
            <val>--</val>
          </value>
          <value t="str">
            <val>--</val>
          </value>
          <value t="str">
            <val>2021/07/09</val>
          </value>
          <value t="str">
            <val>手機外殼電鍍、濺鍍與塗裝之表面處理專業廠</val>
          </value>
          <value t="str">
            <val>2021/12/17</val>
          </value>
        </values>
      </ddeItem>
      <ddeItem name="3520.TW-ID,Name,Price,PriceChangeRatio,Low,High,Volume,InOutRatioNumber,Capital,ProfitMargin" advise="1">
        <values cols="10">
          <value t="str">
            <val>3520</val>
          </value>
          <value t="str">
            <val>華盈</val>
          </value>
          <value>
            <val>14.6</val>
          </value>
          <value>
            <val>1.04</val>
          </value>
          <value>
            <val>14.4</val>
          </value>
          <value>
            <val>14.95</val>
          </value>
          <value>
            <val>10</val>
          </value>
          <value t="str">
            <val>48.88%</val>
          </value>
          <value t="str">
            <val>6.88</val>
          </value>
          <value t="str">
            <val>13.22</val>
          </value>
        </values>
      </ddeItem>
      <ddeItem name="3520.TW-OperatingProfitRatio,NetProfitMargin,TFXRatio,MonthlyNetSalesYoY,ReturnOnAssets,DividendYear,ProfitFourSeason,CashDividendYieldRate,StockNetValue,ExchangeIndustry" advise="1">
        <values cols="10">
          <value t="str">
            <val>0.55</val>
          </value>
          <value t="str">
            <val>-0.02</val>
          </value>
          <value t="str">
            <val>28.37</val>
          </value>
          <value t="str">
            <val>-0.65</val>
          </value>
          <value t="str">
            <val>0.18</val>
          </value>
          <value>
            <val>0</val>
          </value>
          <value t="str">
            <val>-0.08</val>
          </value>
          <value>
            <val>0</val>
          </value>
          <value t="str">
            <val>8.91</val>
          </value>
          <value t="str">
            <val>上櫃電子零組件</val>
          </value>
        </values>
      </ddeItem>
      <ddeItem name="3520.TW-PreTotalVolume,ChipsField25,ChipsField27,DateofMeetingofShareHolders,CompanyPos,TradingDate" advise="1">
        <values cols="6">
          <value>
            <val>1241</val>
          </value>
          <value t="str">
            <val>--</val>
          </value>
          <value t="str">
            <val>--</val>
          </value>
          <value t="str">
            <val>2021/08/27</val>
          </value>
          <value t="str">
            <val>台灣連接線材及網通資安設備供應商</val>
          </value>
          <value t="str">
            <val>2021/12/17</val>
          </value>
        </values>
      </ddeItem>
      <ddeItem name="3576.TW-ID,Name,Price,PriceChangeRatio,Low,High,Volume,InOutRatioNumber,Capital,ProfitMargin" advise="1">
        <values cols="10">
          <value t="str">
            <val>3576</val>
          </value>
          <value t="str">
            <val>聯合再生</val>
          </value>
          <value>
            <val>21</val>
          </value>
          <value>
            <val>-2.78</val>
          </value>
          <value>
            <val>21</val>
          </value>
          <value>
            <val>21.9</val>
          </value>
          <value>
            <val>5076</val>
          </value>
          <value t="str">
            <val>66.57%</val>
          </value>
          <value t="str">
            <val>162.79</val>
          </value>
          <value t="str">
            <val>4.30</val>
          </value>
        </values>
      </ddeItem>
      <ddeItem name="3576.TW-OperatingProfitRatio,NetProfitMargin,TFXRatio,MonthlyNetSalesYoY,ReturnOnAssets,DividendYear,ProfitFourSeason,CashDividendYieldRate,StockNetValue,ExchangeIndustry" advise="1">
        <values cols="10">
          <value t="str">
            <val>-6.37</val>
          </value>
          <value t="str">
            <val>-8.67</val>
          </value>
          <value t="str">
            <val>-3.44</val>
          </value>
          <value t="str">
            <val>48.51</val>
          </value>
          <value t="str">
            <val>-1.99</val>
          </value>
          <value>
            <val>0</val>
          </value>
          <value t="str">
            <val>-2.78</val>
          </value>
          <value>
            <val>0</val>
          </value>
          <value t="str">
            <val>8.93</val>
          </value>
          <value t="str">
            <val>上市光電</val>
          </value>
        </values>
      </ddeItem>
      <ddeItem name="3576.TW-PreTotalVolume,ChipsField25,ChipsField27,DateofMeetingofShareHolders,CompanyPos,TradingDate" advise="1">
        <values cols="6">
          <value>
            <val>6667</val>
          </value>
          <value t="str">
            <val>--</val>
          </value>
          <value t="str">
            <val>--</val>
          </value>
          <value t="str">
            <val>2021/05/07</val>
          </value>
          <value t="str">
            <val>台灣太陽能電池模組龍頭</val>
          </value>
          <value t="str">
            <val>2021/12/17</val>
          </value>
        </values>
      </ddeItem>
      <ddeItem name="3580.TW-ID,Name,Price,PriceChangeRatio,Low,High,Volume,InOutRatioNumber,Capital,ProfitMargin" advise="1">
        <values cols="10">
          <value t="str">
            <val>3580</val>
          </value>
          <value t="str">
            <val>友威科</val>
          </value>
          <value>
            <val>56.1</val>
          </value>
          <value>
            <val>-1.06</val>
          </value>
          <value>
            <val>55.8</val>
          </value>
          <value>
            <val>57.3</val>
          </value>
          <value>
            <val>7</val>
          </value>
          <value t="str">
            <val>41.88%</val>
          </value>
          <value t="str">
            <val>3.95</val>
          </value>
          <value t="str">
            <val>38.40</val>
          </value>
        </values>
      </ddeItem>
      <ddeItem name="3580.TW-OperatingProfitRatio,NetProfitMargin,TFXRatio,MonthlyNetSalesYoY,ReturnOnAssets,DividendYear,ProfitFourSeason,CashDividendYieldRate,StockNetValue,ExchangeIndustry" advise="1">
        <values cols="10">
          <value t="str">
            <val>18.27</val>
          </value>
          <value t="str">
            <val>13.78</val>
          </value>
          <value t="str">
            <val>53.75</val>
          </value>
          <value t="str">
            <val>69.88</val>
          </value>
          <value t="str">
            <val>5.96</val>
          </value>
          <value>
            <val>1.3</val>
          </value>
          <value t="str">
            <val>2.18</val>
          </value>
          <value>
            <val>2.3199999999999998</val>
          </value>
          <value t="str">
            <val>18.70</val>
          </value>
          <value t="str">
            <val>上櫃其他電子</val>
          </value>
        </values>
      </ddeItem>
      <ddeItem name="3580.TW-PreTotalVolume,ChipsField25,ChipsField27,DateofMeetingofShareHolders,CompanyPos,TradingDate" advise="1">
        <values cols="6">
          <value>
            <val>178</val>
          </value>
          <value t="str">
            <val>2021/09/23</val>
          </value>
          <value t="str">
            <val>--</val>
          </value>
          <value t="str">
            <val>2021/08/25</val>
          </value>
          <value t="str">
            <val>台灣真空設備與真空濺鍍供應商</val>
          </value>
          <value t="str">
            <val>2021/12/17</val>
          </value>
        </values>
      </ddeItem>
      <ddeItem name="3581.TW-ID,Name,Price,PriceChangeRatio,Low,High,Volume,InOutRatioNumber,Capital,ProfitMargin" advise="1">
        <values cols="10">
          <value t="str">
            <val>3581</val>
          </value>
          <value t="str">
            <val>博磊</val>
          </value>
          <value>
            <val>26.65</val>
          </value>
          <value>
            <val>-1.84</val>
          </value>
          <value>
            <val>26.5</val>
          </value>
          <value>
            <val>27.3</val>
          </value>
          <value>
            <val>6</val>
          </value>
          <value t="str">
            <val>19.47%</val>
          </value>
          <value t="str">
            <val>5.10</val>
          </value>
          <value t="str">
            <val>41.44</val>
          </value>
        </values>
      </ddeItem>
      <ddeItem name="3581.TW-OperatingProfitRatio,NetProfitMargin,TFXRatio,MonthlyNetSalesYoY,ReturnOnAssets,DividendYear,ProfitFourSeason,CashDividendYieldRate,StockNetValue,ExchangeIndustry" advise="1">
        <values cols="10">
          <value t="str">
            <val>12.27</val>
          </value>
          <value t="str">
            <val>10.71</val>
          </value>
          <value t="str">
            <val>-7.12</val>
          </value>
          <value t="str">
            <val>-10.44</val>
          </value>
          <value t="str">
            <val>6.04</val>
          </value>
          <value>
            <val>0.9</val>
          </value>
          <value t="str">
            <val>2.17</val>
          </value>
          <value>
            <val>3.38</val>
          </value>
          <value t="str">
            <val>15.75</val>
          </value>
          <value t="str">
            <val>上櫃半導體</val>
          </value>
        </values>
      </ddeItem>
      <ddeItem name="3581.TW-PreTotalVolume,ChipsField25,ChipsField27,DateofMeetingofShareHolders,CompanyPos,TradingDate" advise="1">
        <values cols="6">
          <value>
            <val>171</val>
          </value>
          <value t="str">
            <val>2021/07/19</val>
          </value>
          <value t="str">
            <val>--</val>
          </value>
          <value t="str">
            <val>2021/07/01</val>
          </value>
          <value t="str">
            <val>國內提供封裝測試設備及治具之專業製造商</val>
          </value>
          <value t="str">
            <val>2021/12/17</val>
          </value>
        </values>
      </ddeItem>
      <ddeItem name="3685.TW-ID,Name,Price,PriceChangeRatio,Low,High,Volume,InOutRatioNumber,Capital,ProfitMargin" advise="1">
        <values cols="10">
          <value t="str">
            <val>3685</val>
          </value>
          <value t="str">
            <val>元創精密</val>
          </value>
          <value>
            <val>37.35</val>
          </value>
          <value>
            <val>-1.45</val>
          </value>
          <value>
            <val>37.299999999999997</val>
          </value>
          <value>
            <val>38</val>
          </value>
          <value>
            <val>16</val>
          </value>
          <value t="str">
            <val>9.49%</val>
          </value>
          <value t="str">
            <val>8.00</val>
          </value>
          <value t="str">
            <val>12.91</val>
          </value>
        </values>
      </ddeItem>
      <ddeItem name="3685.TW-OperatingProfitRatio,NetProfitMargin,TFXRatio,MonthlyNetSalesYoY,ReturnOnAssets,DividendYear,ProfitFourSeason,CashDividendYieldRate,StockNetValue,ExchangeIndustry" advise="1">
        <values cols="10">
          <value t="str">
            <val>-3.71</val>
          </value>
          <value t="str">
            <val>-2.47</val>
          </value>
          <value t="str">
            <val>-7.96</val>
          </value>
          <value t="str">
            <val>39.20</val>
          </value>
          <value t="str">
            <val>-0.69</val>
          </value>
          <value>
            <val>0.2</val>
          </value>
          <value t="str">
            <val>0.07</val>
          </value>
          <value>
            <val>0.54</val>
          </value>
          <value t="str">
            <val>11.52</val>
          </value>
          <value t="str">
            <val>上櫃電機機械</val>
          </value>
        </values>
      </ddeItem>
      <ddeItem name="3685.TW-PreTotalVolume,ChipsField25,ChipsField27,DateofMeetingofShareHolders,CompanyPos,TradingDate" advise="1">
        <values cols="6">
          <value>
            <val>162</val>
          </value>
          <value t="str">
            <val>2021/08/30</val>
          </value>
          <value t="str">
            <val>--</val>
          </value>
          <value t="str">
            <val>2021/08/12</val>
          </value>
          <value t="str">
            <val>車用導光板及沖焊零件供應商</val>
          </value>
          <value t="str">
            <val>2021/12/17</val>
          </value>
        </values>
      </ddeItem>
      <ddeItem name="3689.TW-ID,Name,Price,PriceChangeRatio,Low,High,Volume,InOutRatioNumber,Capital,ProfitMargin" advise="1">
        <values cols="10">
          <value t="str">
            <val>3689</val>
          </value>
          <value t="str">
            <val>湧德</val>
          </value>
          <value>
            <val>42.85</val>
          </value>
          <value>
            <val>-3.38</val>
          </value>
          <value>
            <val>42.85</val>
          </value>
          <value>
            <val>44.65</val>
          </value>
          <value>
            <val>115</val>
          </value>
          <value t="str">
            <val>28.44%</val>
          </value>
          <value t="str">
            <val>7.52</val>
          </value>
          <value t="str">
            <val>19.43</val>
          </value>
        </values>
      </ddeItem>
      <ddeItem name="3689.TW-OperatingProfitRatio,NetProfitMargin,TFXRatio,MonthlyNetSalesYoY,ReturnOnAssets,DividendYear,ProfitFourSeason,CashDividendYieldRate,StockNetValue,ExchangeIndustry" advise="1">
        <values cols="10">
          <value t="str">
            <val>4.64</val>
          </value>
          <value t="str">
            <val>4.70</val>
          </value>
          <value t="str">
            <val>7.74</val>
          </value>
          <value t="str">
            <val>13.35</val>
          </value>
          <value t="str">
            <val>4.05</val>
          </value>
          <value>
            <val>1.3</val>
          </value>
          <value t="str">
            <val>2.56</val>
          </value>
          <value>
            <val>3.03</val>
          </value>
          <value t="str">
            <val>37.91</val>
          </value>
          <value t="str">
            <val>上櫃電子零組件</val>
          </value>
        </values>
      </ddeItem>
      <ddeItem name="3689.TW-PreTotalVolume,ChipsField25,ChipsField27,DateofMeetingofShareHolders,CompanyPos,TradingDate" advise="1">
        <values cols="6">
          <value>
            <val>1449</val>
          </value>
          <value t="str">
            <val>2021/07/28</val>
          </value>
          <value t="str">
            <val>--</val>
          </value>
          <value t="str">
            <val>2021/08/27</val>
          </value>
          <value t="str">
            <val>主要生產DT主機板、網通用連接器</val>
          </value>
          <value t="str">
            <val>2021/12/17</val>
          </value>
        </values>
      </ddeItem>
      <ddeItem name="3701.TW-ID,Name,Price,PriceChangeRatio,Low,High,Volume,InOutRatioNumber,Capital,ProfitMargin" advise="1">
        <values cols="10">
          <value t="str">
            <val>3701</val>
          </value>
          <value t="str">
            <val>大眾控</val>
          </value>
          <value>
            <val>76</val>
          </value>
          <value>
            <val>-1.68</val>
          </value>
          <value>
            <val>74.3</val>
          </value>
          <value>
            <val>83</val>
          </value>
          <value>
            <val>507</val>
          </value>
          <value t="str">
            <val>47.86%</val>
          </value>
          <value t="str">
            <val>19.99</val>
          </value>
          <value t="str">
            <val>13.01</val>
          </value>
        </values>
      </ddeItem>
      <ddeItem name="3701.TW-OperatingProfitRatio,NetProfitMargin,TFXRatio,MonthlyNetSalesYoY,ReturnOnAssets,DividendYear,ProfitFourSeason,CashDividendYieldRate,StockNetValue,ExchangeIndustry" advise="1">
        <values cols="10">
          <value t="str">
            <val>2.83</val>
          </value>
          <value t="str">
            <val>5.23</val>
          </value>
          <value t="str">
            <val>17.45</val>
          </value>
          <value t="str">
            <val>20.60</val>
          </value>
          <value t="str">
            <val>4.73</val>
          </value>
          <value>
            <val>0</val>
          </value>
          <value t="str">
            <val>1.06</val>
          </value>
          <value>
            <val>0</val>
          </value>
          <value t="str">
            <val>12.27</val>
          </value>
          <value t="str">
            <val>上市電腦及週邊設備</val>
          </value>
        </values>
      </ddeItem>
      <ddeItem name="3701.TW-PreTotalVolume,ChipsField25,ChipsField27,DateofMeetingofShareHolders,CompanyPos,TradingDate" advise="1">
        <values cols="6">
          <value>
            <val>16381</val>
          </value>
          <value t="str">
            <val>--</val>
          </value>
          <value t="str">
            <val>--</val>
          </value>
          <value t="str">
            <val>2021/08/04</val>
          </value>
          <value t="str">
            <val>大眾集團之控股公司</val>
          </value>
          <value t="str">
            <val>2021/12/17</val>
          </value>
        </values>
      </ddeItem>
      <ddeItem name="3712.TW-ID,Name,Price,PriceChangeRatio,Low,High,Volume,InOutRatioNumber,Capital,ProfitMargin" advise="1">
        <values cols="10">
          <value t="str">
            <val>3712</val>
          </value>
          <value t="str">
            <val>永崴投控</val>
          </value>
          <value>
            <val>31.8</val>
          </value>
          <value>
            <val>0.32</val>
          </value>
          <value>
            <val>31.75</val>
          </value>
          <value>
            <val>32.5</val>
          </value>
          <value>
            <val>39</val>
          </value>
          <value t="str">
            <val>51.12%</val>
          </value>
          <value t="str">
            <val>24.62</val>
          </value>
          <value t="str">
            <val>18.95</val>
          </value>
        </values>
      </ddeItem>
      <ddeItem name="3712.TW-OperatingProfitRatio,NetProfitMargin,TFXRatio,MonthlyNetSalesYoY,ReturnOnAssets,DividendYear,ProfitFourSeason,CashDividendYieldRate,StockNetValue,ExchangeIndustry" advise="1">
        <values cols="10">
          <value t="str">
            <val>4.94</val>
          </value>
          <value t="str">
            <val>5.65</val>
          </value>
          <value t="str">
            <val>18.01</val>
          </value>
          <value t="str">
            <val>85.74</val>
          </value>
          <value t="str">
            <val>1.87</val>
          </value>
          <value>
            <val>1</val>
          </value>
          <value t="str">
            <val>1.96</val>
          </value>
          <value>
            <val>3.14</val>
          </value>
          <value t="str">
            <val>27.93</val>
          </value>
          <value t="str">
            <val>上市電腦及週邊設備</val>
          </value>
        </values>
      </ddeItem>
      <ddeItem name="3712.TW-PreTotalVolume,ChipsField25,ChipsField27,DateofMeetingofShareHolders,CompanyPos,TradingDate" advise="1">
        <values cols="6">
          <value>
            <val>565</val>
          </value>
          <value t="str">
            <val>2021/08/05</val>
          </value>
          <value t="str">
            <val>--</val>
          </value>
          <value t="str">
            <val>2021/07/20</val>
          </value>
          <value t="str">
            <val>勁永、崴強、光燿科合併設立控股公司</val>
          </value>
          <value t="str">
            <val>2021/12/17</val>
          </value>
        </values>
      </ddeItem>
      <ddeItem name="4131.TW-ID,Name,Price,PriceChangeRatio,Low,High,Volume,InOutRatioNumber,Capital,ProfitMargin" advise="1">
        <values cols="10">
          <value t="str">
            <val>4131</val>
          </value>
          <value t="str">
            <val>晶宇</val>
          </value>
          <value>
            <val>6.2</val>
          </value>
          <value>
            <val>0</val>
          </value>
          <value>
            <val>6.2</val>
          </value>
          <value>
            <val>6.3</val>
          </value>
          <value>
            <val>2</val>
          </value>
          <value t="str">
            <val>63.93%</val>
          </value>
          <value t="str">
            <val>4.83</val>
          </value>
          <value t="str">
            <val>28.08</val>
          </value>
        </values>
      </ddeItem>
      <ddeItem name="4131.TW-OperatingProfitRatio,NetProfitMargin,TFXRatio,MonthlyNetSalesYoY,ReturnOnAssets,DividendYear,ProfitFourSeason,CashDividendYieldRate,StockNetValue,ExchangeIndustry" advise="1">
        <values cols="10">
          <value t="str">
            <val>-28.69</val>
          </value>
          <value t="str">
            <val>-22.99</val>
          </value>
          <value t="str">
            <val>-5.52</val>
          </value>
          <value t="str">
            <val>15.48</val>
          </value>
          <value t="str">
            <val>-4.65</val>
          </value>
          <value>
            <val>0</val>
          </value>
          <value t="str">
            <val>-0.37</val>
          </value>
          <value>
            <val>0</val>
          </value>
          <value t="str">
            <val>2.46</val>
          </value>
          <value t="str">
            <val>上櫃生技醫療</val>
          </value>
        </values>
      </ddeItem>
      <ddeItem name="4131.TW-PreTotalVolume,ChipsField25,ChipsField27,DateofMeetingofShareHolders,CompanyPos,TradingDate" advise="1">
        <values cols="6">
          <value>
            <val>27</val>
          </value>
          <value t="str">
            <val>--</val>
          </value>
          <value t="str">
            <val>--</val>
          </value>
          <value t="str">
            <val>2021/08/23</val>
          </value>
          <value t="str">
            <val>高分子生物檢驗晶片廠</val>
          </value>
          <value t="str">
            <val>2021/12/17</val>
          </value>
        </values>
      </ddeItem>
      <ddeItem name="4303.TW-ID,Name,Price,PriceChangeRatio,Low,High,Volume,InOutRatioNumber,Capital,ProfitMargin" advise="1">
        <values cols="10">
          <value t="str">
            <val>4303</val>
          </value>
          <value t="str">
            <val>信立</val>
          </value>
          <value>
            <val>26.35</val>
          </value>
          <value>
            <val>-1.5</val>
          </value>
          <value>
            <val>26.35</val>
          </value>
          <value>
            <val>26.85</val>
          </value>
          <value>
            <val>27</val>
          </value>
          <value t="str">
            <val>27.17%</val>
          </value>
          <value t="str">
            <val>7.00</val>
          </value>
          <value t="str">
            <val>16.85</val>
          </value>
        </values>
      </ddeItem>
      <ddeItem name="4303.TW-OperatingProfitRatio,NetProfitMargin,TFXRatio,MonthlyNetSalesYoY,ReturnOnAssets,DividendYear,ProfitFourSeason,CashDividendYieldRate,StockNetValue,ExchangeIndustry" advise="1">
        <values cols="10">
          <value t="str">
            <val>5.60</val>
          </value>
          <value t="str">
            <val>29.85</val>
          </value>
          <value t="str">
            <val>-3.89</val>
          </value>
          <value t="str">
            <val>1.22</val>
          </value>
          <value t="str">
            <val>7.24</val>
          </value>
          <value>
            <val>0.3</val>
          </value>
          <value t="str">
            <val>1.36</val>
          </value>
          <value>
            <val>1.1399999999999999</val>
          </value>
          <value t="str">
            <val>13.49</val>
          </value>
          <value t="str">
            <val>上櫃塑膠</val>
          </value>
        </values>
      </ddeItem>
      <ddeItem name="4303.TW-PreTotalVolume,ChipsField25,ChipsField27,DateofMeetingofShareHolders,CompanyPos,TradingDate" advise="1">
        <values cols="6">
          <value>
            <val>333</val>
          </value>
          <value t="str">
            <val>2021/08/30</val>
          </value>
          <value t="str">
            <val>--</val>
          </value>
          <value t="str">
            <val>2021/07/08</val>
          </value>
          <value t="str">
            <val>植毛絨布及PVC皮居領導地位之廠商</val>
          </value>
          <value t="str">
            <val>2021/12/17</val>
          </value>
        </values>
      </ddeItem>
      <ddeItem name="4554.TW-ID,Name,Price,PriceChangeRatio,Low,High,Volume,InOutRatioNumber,Capital,ProfitMargin" advise="1">
        <values cols="10">
          <value t="str">
            <val>4554</val>
          </value>
          <value t="str">
            <val>橙的</val>
          </value>
          <value>
            <val>36.049999999999997</val>
          </value>
          <value>
            <val>-7.56</val>
          </value>
          <value>
            <val>36.049999999999997</val>
          </value>
          <value>
            <val>38.950000000000003</val>
          </value>
          <value>
            <val>14</val>
          </value>
          <value t="str">
            <val>25.51%</val>
          </value>
          <value t="str">
            <val>2.14</val>
          </value>
          <value t="str">
            <val>41.35</val>
          </value>
        </values>
      </ddeItem>
      <ddeItem name="4554.TW-OperatingProfitRatio,NetProfitMargin,TFXRatio,MonthlyNetSalesYoY,ReturnOnAssets,DividendYear,ProfitFourSeason,CashDividendYieldRate,StockNetValue,ExchangeIndustry" advise="1">
        <values cols="10">
          <value t="str">
            <val>12.69</val>
          </value>
          <value t="str">
            <val>8.52</val>
          </value>
          <value t="str">
            <val>0.98</val>
          </value>
          <value t="str">
            <val>24.26</val>
          </value>
          <value t="str">
            <val>4.53</val>
          </value>
          <value>
            <val>0.14000000000000001</val>
          </value>
          <value t="str">
            <val>1.44</val>
          </value>
          <value>
            <val>0.39</val>
          </value>
          <value t="str">
            <val>19.44</val>
          </value>
          <value t="str">
            <val>上櫃其他電子</val>
          </value>
        </values>
      </ddeItem>
      <ddeItem name="4554.TW-PreTotalVolume,ChipsField25,ChipsField27,DateofMeetingofShareHolders,CompanyPos,TradingDate" advise="1">
        <values cols="6">
          <value>
            <val>443</val>
          </value>
          <value t="str">
            <val>2021/09/07</val>
          </value>
          <value t="str">
            <val>--</val>
          </value>
          <value t="str">
            <val>2021/08/20</val>
          </value>
          <value t="str">
            <val>胎壓偵測器在北美市佔率達7%以上</val>
          </value>
          <value t="str">
            <val>2021/12/17</val>
          </value>
        </values>
      </ddeItem>
      <ddeItem name="4924.TW-ID,Name,Price,PriceChangeRatio,Low,High,Volume,InOutRatioNumber,Capital,ProfitMargin" advise="1">
        <values cols="10">
          <value t="str">
            <val>4924</val>
          </value>
          <value t="str">
            <val>欣厚-KY</val>
          </value>
          <value>
            <val>14.5</val>
          </value>
          <value>
            <val>-0.34</val>
          </value>
          <value>
            <val>14.5</val>
          </value>
          <value>
            <val>14.65</val>
          </value>
          <value>
            <val>1</val>
          </value>
          <value t="str">
            <val>29.17%</val>
          </value>
          <value t="str">
            <val>3.72</val>
          </value>
          <value t="str">
            <val>28.65</val>
          </value>
        </values>
      </ddeItem>
      <ddeItem name="4924.TW-OperatingProfitRatio,NetProfitMargin,TFXRatio,MonthlyNetSalesYoY,ReturnOnAssets,DividendYear,ProfitFourSeason,CashDividendYieldRate,StockNetValue,ExchangeIndustry" advise="1">
        <values cols="10">
          <value t="str">
            <val>3.81</val>
          </value>
          <value t="str">
            <val>5.62</val>
          </value>
          <value t="str">
            <val>63.96</val>
          </value>
          <value t="str">
            <val>76.64</val>
          </value>
          <value t="str">
            <val>4.12</val>
          </value>
          <value>
            <val>0</val>
          </value>
          <value t="str">
            <val>0.69</val>
          </value>
          <value>
            <val>0</val>
          </value>
          <value t="str">
            <val>8.92</val>
          </value>
          <value t="str">
            <val>上櫃電腦及週邊設備</val>
          </value>
        </values>
      </ddeItem>
      <ddeItem name="4924.TW-PreTotalVolume,ChipsField25,ChipsField27,DateofMeetingofShareHolders,CompanyPos,TradingDate" advise="1">
        <values cols="6">
          <value>
            <val>40</val>
          </value>
          <value t="str">
            <val>--</val>
          </value>
          <value t="str">
            <val>--</val>
          </value>
          <value t="str">
            <val>2021/08/31</val>
          </value>
          <value t="str">
            <val>首家來台掛牌的馬來西亞模具沖壓廠</val>
          </value>
          <value t="str">
            <val>2021/12/17</val>
          </value>
        </values>
      </ddeItem>
      <ddeItem name="4944.TW-ID,Name,Price,PriceChangeRatio,Low,High,Volume,InOutRatioNumber,Capital,ProfitMargin" advise="1">
        <values cols="10">
          <value t="str">
            <val>4944</val>
          </value>
          <value t="str">
            <val>兆遠</val>
          </value>
          <value>
            <val>26.8</val>
          </value>
          <value>
            <val>0.37</val>
          </value>
          <value>
            <val>26.1</val>
          </value>
          <value>
            <val>27.1</val>
          </value>
          <value>
            <val>6</val>
          </value>
          <value t="str">
            <val>44.98%</val>
          </value>
          <value t="str">
            <val>8.81</val>
          </value>
          <value t="str">
            <val>-5.01</val>
          </value>
        </values>
      </ddeItem>
      <ddeItem name="4944.TW-OperatingProfitRatio,NetProfitMargin,TFXRatio,MonthlyNetSalesYoY,ReturnOnAssets,DividendYear,ProfitFourSeason,CashDividendYieldRate,StockNetValue,ExchangeIndustry" advise="1">
        <values cols="10">
          <value t="str">
            <val>-26.05</val>
          </value>
          <value t="str">
            <val>-19.50</val>
          </value>
          <value t="str">
            <val>0.92</val>
          </value>
          <value t="str">
            <val>-5.58</val>
          </value>
          <value t="str">
            <val>-4.79</val>
          </value>
          <value>
            <val>0</val>
          </value>
          <value t="str">
            <val>-1.79</val>
          </value>
          <value>
            <val>0</val>
          </value>
          <value t="str">
            <val>4.60</val>
          </value>
          <value t="str">
            <val>上櫃光電</val>
          </value>
        </values>
      </ddeItem>
      <ddeItem name="4944.TW-PreTotalVolume,ChipsField25,ChipsField27,DateofMeetingofShareHolders,CompanyPos,TradingDate" advise="1">
        <values cols="6">
          <value>
            <val>300</val>
          </value>
          <value t="str">
            <val>--</val>
          </value>
          <value t="str">
            <val>--</val>
          </value>
          <value t="str">
            <val>2021/08/20</val>
          </value>
          <value t="str">
            <val>台灣LED藍寶石基板大廠</val>
          </value>
          <value t="str">
            <val>2021/12/17</val>
          </value>
        </values>
      </ddeItem>
      <ddeItem name="4956.TW-ID,Name,Price,PriceChangeRatio,Low,High,Volume,InOutRatioNumber,Capital,ProfitMargin" advise="1">
        <values cols="10">
          <value t="str">
            <val>4956</val>
          </value>
          <value t="str">
            <val>光鋐</val>
          </value>
          <value>
            <val>25.85</val>
          </value>
          <value>
            <val>-2.82</val>
          </value>
          <value>
            <val>25.8</val>
          </value>
          <value>
            <val>26.5</val>
          </value>
          <value>
            <val>57</val>
          </value>
          <value t="str">
            <val>27.08%</val>
          </value>
          <value t="str">
            <val>10.04</val>
          </value>
          <value t="str">
            <val>21.17</val>
          </value>
        </values>
      </ddeItem>
      <ddeItem name="4956.TW-OperatingProfitRatio,NetProfitMargin,TFXRatio,MonthlyNetSalesYoY,ReturnOnAssets,DividendYear,ProfitFourSeason,CashDividendYieldRate,StockNetValue,ExchangeIndustry" advise="1">
        <values cols="10">
          <value t="str">
            <val>8.96</val>
          </value>
          <value t="str">
            <val>8.30</val>
          </value>
          <value t="str">
            <val>-3.01</val>
          </value>
          <value t="str">
            <val>0.09</val>
          </value>
          <value t="str">
            <val>4.10</val>
          </value>
          <value>
            <val>0</val>
          </value>
          <value t="str">
            <val>1.43</val>
          </value>
          <value>
            <val>0</val>
          </value>
          <value t="str">
            <val>19.35</val>
          </value>
          <value t="str">
            <val>上市光電</val>
          </value>
        </values>
      </ddeItem>
      <ddeItem name="4956.TW-PreTotalVolume,ChipsField25,ChipsField27,DateofMeetingofShareHolders,CompanyPos,TradingDate" advise="1">
        <values cols="6">
          <value>
            <val>1240</val>
          </value>
          <value t="str">
            <val>--</val>
          </value>
          <value t="str">
            <val>--</val>
          </value>
          <value t="str">
            <val>2021/07/08</val>
          </value>
          <value t="str">
            <val>鴻海集團轉投資的LED磊晶廠</val>
          </value>
          <value t="str">
            <val>2021/12/17</val>
          </value>
        </values>
      </ddeItem>
      <ddeItem name="4989.TW-ID,Name,Price,PriceChangeRatio,Low,High,Volume,InOutRatioNumber,Capital,ProfitMargin" advise="1">
        <values cols="10">
          <value t="str">
            <val>4989</val>
          </value>
          <value t="str">
            <val>榮科</val>
          </value>
          <value>
            <val>43.15</val>
          </value>
          <value>
            <val>-2.92</val>
          </value>
          <value>
            <val>43.05</val>
          </value>
          <value>
            <val>44.2</val>
          </value>
          <value>
            <val>50</val>
          </value>
          <value t="str">
            <val>20.71%</val>
          </value>
          <value t="str">
            <val>13.78</val>
          </value>
          <value t="str">
            <val>19.17</val>
          </value>
        </values>
      </ddeItem>
      <ddeItem name="4989.TW-OperatingProfitRatio,NetProfitMargin,TFXRatio,MonthlyNetSalesYoY,ReturnOnAssets,DividendYear,ProfitFourSeason,CashDividendYieldRate,StockNetValue,ExchangeIndustry" advise="1">
        <values cols="10">
          <value t="str">
            <val>16.09</val>
          </value>
          <value t="str">
            <val>12.68</val>
          </value>
          <value t="str">
            <val>-11.04</val>
          </value>
          <value t="str">
            <val>47.27</val>
          </value>
          <value t="str">
            <val>14.96</val>
          </value>
          <value>
            <val>0.67</val>
          </value>
          <value t="str">
            <val>2.81</val>
          </value>
          <value>
            <val>1.55</val>
          </value>
          <value t="str">
            <val>14.74</val>
          </value>
          <value t="str">
            <val>上市電子零組件</val>
          </value>
        </values>
      </ddeItem>
      <ddeItem name="4989.TW-PreTotalVolume,ChipsField25,ChipsField27,DateofMeetingofShareHolders,CompanyPos,TradingDate" advise="1">
        <values cols="6">
          <value>
            <val>1109</val>
          </value>
          <value t="str">
            <val>2021/12/02</val>
          </value>
          <value t="str">
            <val>--</val>
          </value>
          <value t="str">
            <val>2021/07/20</val>
          </value>
          <value t="str">
            <val>榮化轉投資的電解銅箔廠</val>
          </value>
          <value t="str">
            <val>2021/12/17</val>
          </value>
        </values>
      </ddeItem>
      <ddeItem name="5011.TW-ID,Name,Price,PriceChangeRatio,Low,High,Volume,InOutRatioNumber,Capital,ProfitMargin" advise="1">
        <values cols="10">
          <value t="str">
            <val>5011</val>
          </value>
          <value t="str">
            <val>久陽</val>
          </value>
          <value>
            <val>32.549999999999997</val>
          </value>
          <value>
            <val>-2.54</val>
          </value>
          <value>
            <val>32.549999999999997</val>
          </value>
          <value>
            <val>34.5</val>
          </value>
          <value>
            <val>169</val>
          </value>
          <value t="str">
            <val>32.17%</val>
          </value>
          <value t="str">
            <val>8.85</val>
          </value>
          <value t="str">
            <val>6.34</val>
          </value>
        </values>
      </ddeItem>
      <ddeItem name="5011.TW-OperatingProfitRatio,NetProfitMargin,TFXRatio,MonthlyNetSalesYoY,ReturnOnAssets,DividendYear,ProfitFourSeason,CashDividendYieldRate,StockNetValue,ExchangeIndustry" advise="1">
        <values cols="10">
          <value t="str">
            <val>2.57</val>
          </value>
          <value t="str">
            <val>3.39</val>
          </value>
          <value t="str">
            <val>-11.16</val>
          </value>
          <value t="str">
            <val>52.84</val>
          </value>
          <value t="str">
            <val>3.67</val>
          </value>
          <value>
            <val>0</val>
          </value>
          <value t="str">
            <val>1.02</val>
          </value>
          <value>
            <val>0</val>
          </value>
          <value t="str">
            <val>20.32</val>
          </value>
          <value t="str">
            <val>上櫃鋼鐵</val>
          </value>
        </values>
      </ddeItem>
      <ddeItem name="5011.TW-PreTotalVolume,ChipsField25,ChipsField27,DateofMeetingofShareHolders,CompanyPos,TradingDate" advise="1">
        <values cols="6">
          <value>
            <val>1451</val>
          </value>
          <value t="str">
            <val>--</val>
          </value>
          <value t="str">
            <val>--</val>
          </value>
          <value t="str">
            <val>2021/09/28</val>
          </value>
          <value t="str">
            <val>台鋼集團旗下，台灣大尺寸螺栓製造廠之一</val>
          </value>
          <value t="str">
            <val>2021/12/17</val>
          </value>
        </values>
      </ddeItem>
      <ddeItem name="5210.TW-ID,Name,Price,PriceChangeRatio,Low,High,Volume,InOutRatioNumber,Capital,ProfitMargin" advise="1">
        <values cols="10">
          <value t="str">
            <val>5210</val>
          </value>
          <value t="str">
            <val>寶碩</val>
          </value>
          <value>
            <val>17.100000000000001</val>
          </value>
          <value>
            <val>-3.39</val>
          </value>
          <value>
            <val>16.5</val>
          </value>
          <value>
            <val>17.55</val>
          </value>
          <value>
            <val>4</val>
          </value>
          <value t="str">
            <val>42.57%</val>
          </value>
          <value t="str">
            <val>6.22</val>
          </value>
          <value t="str">
            <val>36.31</val>
          </value>
        </values>
      </ddeItem>
      <ddeItem name="5210.TW-OperatingProfitRatio,NetProfitMargin,TFXRatio,MonthlyNetSalesYoY,ReturnOnAssets,DividendYear,ProfitFourSeason,CashDividendYieldRate,StockNetValue,ExchangeIndustry" advise="1">
        <values cols="10">
          <value t="str">
            <val>-12.17</val>
          </value>
          <value t="str">
            <val>-7.84</val>
          </value>
          <value t="str">
            <val>8.82</val>
          </value>
          <value t="str">
            <val>555.31</val>
          </value>
          <value t="str">
            <val>-3.80</val>
          </value>
          <value>
            <val>0</val>
          </value>
          <value t="str">
            <val>-0.60</val>
          </value>
          <value>
            <val>0</val>
          </value>
          <value t="str">
            <val>8.28</val>
          </value>
          <value t="str">
            <val>上櫃資訊服務</val>
          </value>
        </values>
      </ddeItem>
      <ddeItem name="5210.TW-PreTotalVolume,ChipsField25,ChipsField27,DateofMeetingofShareHolders,CompanyPos,TradingDate" advise="1">
        <values cols="6">
          <value>
            <val>308</val>
          </value>
          <value t="str">
            <val>--</val>
          </value>
          <value t="str">
            <val>--</val>
          </value>
          <value t="str">
            <val>2021/07/02</val>
          </value>
          <value t="str">
            <val>證券金融相關解決方案系統整合廠商</val>
          </value>
          <value t="str">
            <val>2021/12/17</val>
          </value>
        </values>
      </ddeItem>
      <ddeItem name="5230.TW-ID,Name,Price,PriceChangeRatio,Low,High,Volume,InOutRatioNumber,Capital,ProfitMargin" advise="1">
        <values cols="10">
          <value t="str">
            <val>5230</val>
          </value>
          <value t="str">
            <val>雷笛克光學</val>
          </value>
          <value>
            <val>31.5</val>
          </value>
          <value>
            <val>-2.17</val>
          </value>
          <value>
            <val>31.2</val>
          </value>
          <value>
            <val>32.299999999999997</val>
          </value>
          <value>
            <val>33</val>
          </value>
          <value t="str">
            <val>38.24%</val>
          </value>
          <value t="str">
            <val>4.70</val>
          </value>
          <value t="str">
            <val>35.92</val>
          </value>
        </values>
      </ddeItem>
      <ddeItem name="5230.TW-OperatingProfitRatio,NetProfitMargin,TFXRatio,MonthlyNetSalesYoY,ReturnOnAssets,DividendYear,ProfitFourSeason,CashDividendYieldRate,StockNetValue,ExchangeIndustry" advise="1">
        <values cols="10">
          <value t="str">
            <val>5.60</val>
          </value>
          <value t="str">
            <val>4.81</val>
          </value>
          <value t="str">
            <val>10.12</val>
          </value>
          <value t="str">
            <val>17.57</val>
          </value>
          <value t="str">
            <val>2.30</val>
          </value>
          <value>
            <val>0.6</val>
          </value>
          <value t="str">
            <val>0.91</val>
          </value>
          <value>
            <val>1.9</val>
          </value>
          <value t="str">
            <val>24.22</val>
          </value>
          <value t="str">
            <val>上櫃光電</val>
          </value>
        </values>
      </ddeItem>
      <ddeItem name="5230.TW-PreTotalVolume,ChipsField25,ChipsField27,DateofMeetingofShareHolders,CompanyPos,TradingDate" advise="1">
        <values cols="6">
          <value>
            <val>254</val>
          </value>
          <value t="str">
            <val>2021/08/11</val>
          </value>
          <value t="str">
            <val>--</val>
          </value>
          <value t="str">
            <val>2021/07/26</val>
          </value>
          <value t="str">
            <val>全球最大LED二次光學透鏡廠</val>
          </value>
          <value t="str">
            <val>2021/12/17</val>
          </value>
        </values>
      </ddeItem>
      <ddeItem name="5234.TW-ID,Name,Price,PriceChangeRatio,Low,High,Volume,InOutRatioNumber,Capital,ProfitMargin" advise="1">
        <values cols="10">
          <value t="str">
            <val>5234</val>
          </value>
          <value t="str">
            <val>達興材料</val>
          </value>
          <value>
            <val>126</val>
          </value>
          <value>
            <val>-1.56</val>
          </value>
          <value>
            <val>124</val>
          </value>
          <value>
            <val>131.5</val>
          </value>
          <value>
            <val>56</val>
          </value>
          <value t="str">
            <val>42.01%</val>
          </value>
          <value t="str">
            <val>10.27</val>
          </value>
          <value t="str">
            <val>36.20</val>
          </value>
        </values>
      </ddeItem>
      <ddeItem name="5234.TW-OperatingProfitRatio,NetProfitMargin,TFXRatio,MonthlyNetSalesYoY,ReturnOnAssets,DividendYear,ProfitFourSeason,CashDividendYieldRate,StockNetValue,ExchangeIndustry" advise="1">
        <values cols="10">
          <value t="str">
            <val>17.34</val>
          </value>
          <value t="str">
            <val>15.33</val>
          </value>
          <value t="str">
            <val>8.62</val>
          </value>
          <value t="str">
            <val>12.99</val>
          </value>
          <value t="str">
            <val>11.61</val>
          </value>
          <value>
            <val>5</val>
          </value>
          <value t="str">
            <val>6.43</val>
          </value>
          <value>
            <val>3.97</val>
          </value>
          <value t="str">
            <val>28.23</val>
          </value>
          <value t="str">
            <val>上市光電</val>
          </value>
        </values>
      </ddeItem>
      <ddeItem name="5234.TW-PreTotalVolume,ChipsField25,ChipsField27,DateofMeetingofShareHolders,CompanyPos,TradingDate" advise="1">
        <values cols="6">
          <value>
            <val>2128</val>
          </value>
          <value t="str">
            <val>2021/07/21</val>
          </value>
          <value t="str">
            <val>--</val>
          </value>
          <value t="str">
            <val>2021/07/20</val>
          </value>
          <value t="str">
            <val>友達為大股東之光電特用化學材料供應商</val>
          </value>
          <value t="str">
            <val>2021/12/17</val>
          </value>
        </values>
      </ddeItem>
      <ddeItem name="5263.TW-ID,Name,Price,PriceChangeRatio,Low,High,Volume,InOutRatioNumber,Capital,ProfitMargin" advise="1">
        <values cols="10">
          <value t="str">
            <val>5263</val>
          </value>
          <value t="str">
            <val>智崴</val>
          </value>
          <value>
            <val>122.5</val>
          </value>
          <value>
            <val>-0.81</val>
          </value>
          <value>
            <val>122</val>
          </value>
          <value>
            <val>125.5</val>
          </value>
          <value>
            <val>33</val>
          </value>
          <value t="str">
            <val>20.00%</val>
          </value>
          <value t="str">
            <val>6.09</val>
          </value>
          <value t="str">
            <val>46.25</val>
          </value>
        </values>
      </ddeItem>
      <ddeItem name="5263.TW-OperatingProfitRatio,NetProfitMargin,TFXRatio,MonthlyNetSalesYoY,ReturnOnAssets,DividendYear,ProfitFourSeason,CashDividendYieldRate,StockNetValue,ExchangeIndustry" advise="1">
        <values cols="10">
          <value t="str">
            <val>-17.86</val>
          </value>
          <value t="str">
            <val>-15.91</val>
          </value>
          <value t="str">
            <val>-4.74</val>
          </value>
          <value t="str">
            <val>-24.44</val>
          </value>
          <value t="str">
            <val>-1.62</val>
          </value>
          <value>
            <val>0</val>
          </value>
          <value t="str">
            <val>-1.99</val>
          </value>
          <value>
            <val>0</val>
          </value>
          <value t="str">
            <val>47.02</val>
          </value>
          <value t="str">
            <val>上櫃文化創意</val>
          </value>
        </values>
      </ddeItem>
      <ddeItem name="5263.TW-PreTotalVolume,ChipsField25,ChipsField27,DateofMeetingofShareHolders,CompanyPos,TradingDate" advise="1">
        <values cols="6">
          <value>
            <val>195</val>
          </value>
          <value t="str">
            <val>--</val>
          </value>
          <value t="str">
            <val>--</val>
          </value>
          <value t="str">
            <val>2021/08/31</val>
          </value>
          <value t="str">
            <val>台灣最大體感遊戲設備商</val>
          </value>
          <value t="str">
            <val>2021/12/17</val>
          </value>
        </values>
      </ddeItem>
      <ddeItem name="5309.TW-ID,Name,Price,PriceChangeRatio,Low,High,Volume,InOutRatioNumber,Capital,ProfitMargin" advise="1">
        <values cols="10">
          <value t="str">
            <val>5309</val>
          </value>
          <value t="str">
            <val>系統電</val>
          </value>
          <value>
            <val>40</val>
          </value>
          <value>
            <val>-2.91</val>
          </value>
          <value>
            <val>39.5</val>
          </value>
          <value>
            <val>41.35</val>
          </value>
          <value>
            <val>193</val>
          </value>
          <value t="str">
            <val>30.82%</val>
          </value>
          <value t="str">
            <val>15.53</val>
          </value>
          <value t="str">
            <val>18.11</val>
          </value>
        </values>
      </ddeItem>
      <ddeItem name="5309.TW-OperatingProfitRatio,NetProfitMargin,TFXRatio,MonthlyNetSalesYoY,ReturnOnAssets,DividendYear,ProfitFourSeason,CashDividendYieldRate,StockNetValue,ExchangeIndustry" advise="1">
        <values cols="10">
          <value t="str">
            <val>2.36</val>
          </value>
          <value t="str">
            <val>2.86</val>
          </value>
          <value t="str">
            <val>12.73</val>
          </value>
          <value t="str">
            <val>59.40</val>
          </value>
          <value t="str">
            <val>2.24</val>
          </value>
          <value>
            <val>0</val>
          </value>
          <value t="str">
            <val>0.23</val>
          </value>
          <value>
            <val>0</val>
          </value>
          <value t="str">
            <val>7.35</val>
          </value>
          <value t="str">
            <val>上櫃電子零組件</val>
          </value>
        </values>
      </ddeItem>
      <ddeItem name="5309.TW-PreTotalVolume,ChipsField25,ChipsField27,DateofMeetingofShareHolders,CompanyPos,TradingDate" advise="1">
        <values cols="6">
          <value>
            <val>3958</val>
          </value>
          <value t="str">
            <val>--</val>
          </value>
          <value t="str">
            <val>--</val>
          </value>
          <value t="str">
            <val>2021/07/30</val>
          </value>
          <value t="str">
            <val>電腦週邊及車用電子廠</val>
          </value>
          <value t="str">
            <val>2021/12/17</val>
          </value>
        </values>
      </ddeItem>
      <ddeItem name="5356.TW-ID,Name,Price,PriceChangeRatio,Low,High,Volume,InOutRatioNumber,Capital,ProfitMargin" advise="1">
        <values cols="10">
          <value t="str">
            <val>5356</val>
          </value>
          <value t="str">
            <val>協益</val>
          </value>
          <value>
            <val>28.9</val>
          </value>
          <value>
            <val>0.17</val>
          </value>
          <value>
            <val>28.8</val>
          </value>
          <value>
            <val>29.6</val>
          </value>
          <value>
            <val>35</val>
          </value>
          <value t="str">
            <val>45.59%</val>
          </value>
          <value t="str">
            <val>10.30</val>
          </value>
          <value t="str">
            <val>4.03</val>
          </value>
        </values>
      </ddeItem>
      <ddeItem name="5356.TW-OperatingProfitRatio,NetProfitMargin,TFXRatio,MonthlyNetSalesYoY,ReturnOnAssets,DividendYear,ProfitFourSeason,CashDividendYieldRate,StockNetValue,ExchangeIndustry" advise="1">
        <values cols="10">
          <value t="str">
            <val>-2.89</val>
          </value>
          <value t="str">
            <val>-0.21</val>
          </value>
          <value t="str">
            <val>5.93</val>
          </value>
          <value t="str">
            <val>19.02</val>
          </value>
          <value t="str">
            <val>-0.07</val>
          </value>
          <value>
            <val>2.2000000000000002</val>
          </value>
          <value t="str">
            <val>0.77</val>
          </value>
          <value>
            <val>7.61</val>
          </value>
          <value t="str">
            <val>41.67</val>
          </value>
          <value t="str">
            <val>上櫃電腦及週邊設備</val>
          </value>
        </values>
      </ddeItem>
      <ddeItem name="5356.TW-PreTotalVolume,ChipsField25,ChipsField27,DateofMeetingofShareHolders,CompanyPos,TradingDate" advise="1">
        <values cols="6">
          <value>
            <val>1612</val>
          </value>
          <value t="str">
            <val>2021/07/07</val>
          </value>
          <value t="str">
            <val>--</val>
          </value>
          <value t="str">
            <val>2021/08/04</val>
          </value>
          <value t="str">
            <val>經營電子零組件與周邊業之廠商</val>
          </value>
          <value t="str">
            <val>2021/12/17</val>
          </value>
        </values>
      </ddeItem>
      <ddeItem name="5383.TW-ID,Name,Price,PriceChangeRatio,Low,High,Volume,InOutRatioNumber,Capital,ProfitMargin" advise="1">
        <values cols="10">
          <value t="str">
            <val>5383</val>
          </value>
          <value t="str">
            <val>金利</val>
          </value>
          <value>
            <val>43.1</val>
          </value>
          <value>
            <val>-2.38</val>
          </value>
          <value>
            <val>42.4</val>
          </value>
          <value>
            <val>44.2</val>
          </value>
          <value>
            <val>16</val>
          </value>
          <value t="str">
            <val>21.15%</val>
          </value>
          <value t="str">
            <val>7.94</val>
          </value>
          <value t="str">
            <val>15.35</val>
          </value>
        </values>
      </ddeItem>
      <ddeItem name="5383.TW-OperatingProfitRatio,NetProfitMargin,TFXRatio,MonthlyNetSalesYoY,ReturnOnAssets,DividendYear,ProfitFourSeason,CashDividendYieldRate,StockNetValue,ExchangeIndustry" advise="1">
        <values cols="10">
          <value t="str">
            <val>5.57</val>
          </value>
          <value t="str">
            <val>3.38</val>
          </value>
          <value t="str">
            <val>5.84</val>
          </value>
          <value t="str">
            <val>45.95</val>
          </value>
          <value t="str">
            <val>2.47</val>
          </value>
          <value>
            <val>0</val>
          </value>
          <value t="str">
            <val>-0.07</val>
          </value>
          <value>
            <val>0</val>
          </value>
          <value t="str">
            <val>7.48</val>
          </value>
          <value t="str">
            <val>上櫃其他電子</val>
          </value>
        </values>
      </ddeItem>
      <ddeItem name="5383.TW-PreTotalVolume,ChipsField25,ChipsField27,DateofMeetingofShareHolders,CompanyPos,TradingDate" advise="1">
        <values cols="6">
          <value>
            <val>462</val>
          </value>
          <value t="str">
            <val>--</val>
          </value>
          <value t="str">
            <val>--</val>
          </value>
          <value t="str">
            <val>2021/08/24</val>
          </value>
          <value t="str">
            <val>建德旗下模具沖壓製造商</val>
          </value>
          <value t="str">
            <val>2021/12/17</val>
          </value>
        </values>
      </ddeItem>
      <ddeItem name="5432.TW-ID,Name,Price,PriceChangeRatio,Low,High,Volume,InOutRatioNumber,Capital,ProfitMargin" advise="1">
        <values cols="10">
          <value t="str">
            <val>5432</val>
          </value>
          <value t="str">
            <val>新門</val>
          </value>
          <value>
            <val>31.55</val>
          </value>
          <value>
            <val>2.94</val>
          </value>
          <value>
            <val>30.65</val>
          </value>
          <value>
            <val>32.049999999999997</val>
          </value>
          <value>
            <val>1</val>
          </value>
          <value t="str">
            <val>100.00%</val>
          </value>
          <value t="str">
            <val>2.07</val>
          </value>
          <value t="str">
            <val>21.30</val>
          </value>
        </values>
      </ddeItem>
      <ddeItem name="5432.TW-OperatingProfitRatio,NetProfitMargin,TFXRatio,MonthlyNetSalesYoY,ReturnOnAssets,DividendYear,ProfitFourSeason,CashDividendYieldRate,StockNetValue,ExchangeIndustry" advise="1">
        <values cols="10">
          <value t="str">
            <val>5.87</val>
          </value>
          <value t="str">
            <val>0.07</val>
          </value>
          <value t="str">
            <val>29.92</val>
          </value>
          <value t="str">
            <val>326.63</val>
          </value>
          <value t="str">
            <val>0.01</val>
          </value>
          <value>
            <val>0</val>
          </value>
          <value t="str">
            <val>-0.05</val>
          </value>
          <value>
            <val>0</val>
          </value>
          <value t="str">
            <val>15.95</val>
          </value>
          <value t="str">
            <val>上櫃光電</val>
          </value>
        </values>
      </ddeItem>
      <ddeItem name="5432.TW-PreTotalVolume,ChipsField25,ChipsField27,DateofMeetingofShareHolders,CompanyPos,TradingDate" advise="1">
        <values cols="6">
          <value>
            <val>8</val>
          </value>
          <value t="str">
            <val>--</val>
          </value>
          <value t="str">
            <val>--</val>
          </value>
          <value t="str">
            <val>2021/07/09</val>
          </value>
          <value t="str">
            <val>所羅門子公司，中小尺寸液晶顯示器模組廠</val>
          </value>
          <value t="str">
            <val>2021/12/17</val>
          </value>
        </values>
      </ddeItem>
      <ddeItem name="5438.TW-ID,Name,Price,PriceChangeRatio,Low,High,Volume,InOutRatioNumber,Capital,ProfitMargin" advise="1">
        <values cols="10">
          <value t="str">
            <val>5438</val>
          </value>
          <value t="str">
            <val>東友</val>
          </value>
          <value>
            <val>16.5</val>
          </value>
          <value>
            <val>-1.2</val>
          </value>
          <value>
            <val>16.5</val>
          </value>
          <value>
            <val>16.600000000000001</val>
          </value>
          <value>
            <val>4</val>
          </value>
          <value t="str">
            <val>22.22%</val>
          </value>
          <value t="str">
            <val>11.25</val>
          </value>
          <value t="str">
            <val>17.62</val>
          </value>
        </values>
      </ddeItem>
      <ddeItem name="5438.TW-OperatingProfitRatio,NetProfitMargin,TFXRatio,MonthlyNetSalesYoY,ReturnOnAssets,DividendYear,ProfitFourSeason,CashDividendYieldRate,StockNetValue,ExchangeIndustry" advise="1">
        <values cols="10">
          <value t="str">
            <val>0.07</val>
          </value>
          <value t="str">
            <val>5.77</val>
          </value>
          <value t="str">
            <val>33.72</val>
          </value>
          <value t="str">
            <val>27.17</val>
          </value>
          <value t="str">
            <val>2.86</val>
          </value>
          <value>
            <val>0.1</val>
          </value>
          <value t="str">
            <val>0.71</val>
          </value>
          <value>
            <val>0.61</val>
          </value>
          <value t="str">
            <val>20.26</val>
          </value>
          <value t="str">
            <val>上櫃電腦及週邊設備</val>
          </value>
        </values>
      </ddeItem>
      <ddeItem name="5438.TW-PreTotalVolume,ChipsField25,ChipsField27,DateofMeetingofShareHolders,CompanyPos,TradingDate" advise="1">
        <values cols="6">
          <value>
            <val>61</val>
          </value>
          <value t="str">
            <val>2021/08/24</val>
          </value>
          <value t="str">
            <val>--</val>
          </value>
          <value t="str">
            <val>2021/09/24</val>
          </value>
          <value t="str">
            <val>為Konica Minolta代工多功能事務機</val>
          </value>
          <value t="str">
            <val>2021/12/17</val>
          </value>
        </values>
      </ddeItem>
      <ddeItem name="5443.TW-ID,Name,Price,PriceChangeRatio,Low,High,Volume,InOutRatioNumber,Capital,ProfitMargin" advise="1">
        <values cols="10">
          <value t="str">
            <val>5443</val>
          </value>
          <value t="str">
            <val>均豪</val>
          </value>
          <value>
            <val>32.799999999999997</val>
          </value>
          <value>
            <val>-1.5</val>
          </value>
          <value>
            <val>32.799999999999997</val>
          </value>
          <value>
            <val>33.549999999999997</val>
          </value>
          <value>
            <val>33</val>
          </value>
          <value t="str">
            <val>13.98%</val>
          </value>
          <value t="str">
            <val>16.51</val>
          </value>
          <value t="str">
            <val>24.35</val>
          </value>
        </values>
      </ddeItem>
      <ddeItem name="5443.TW-OperatingProfitRatio,NetProfitMargin,TFXRatio,MonthlyNetSalesYoY,ReturnOnAssets,DividendYear,ProfitFourSeason,CashDividendYieldRate,StockNetValue,ExchangeIndustry" advise="1">
        <values cols="10">
          <value t="str">
            <val>8.28</val>
          </value>
          <value t="str">
            <val>8.22</val>
          </value>
          <value t="str">
            <val>-26.13</val>
          </value>
          <value t="str">
            <val>-37.53</val>
          </value>
          <value t="str">
            <val>5.03</val>
          </value>
          <value>
            <val>1</val>
          </value>
          <value t="str">
            <val>2.06</val>
          </value>
          <value>
            <val>3.05</val>
          </value>
          <value t="str">
            <val>14.42</val>
          </value>
          <value t="str">
            <val>上櫃光電</val>
          </value>
        </values>
      </ddeItem>
      <ddeItem name="5443.TW-PreTotalVolume,ChipsField25,ChipsField27,DateofMeetingofShareHolders,CompanyPos,TradingDate" advise="1">
        <values cols="6">
          <value>
            <val>294</val>
          </value>
          <value t="str">
            <val>2021/07/27</val>
          </value>
          <value t="str">
            <val>--</val>
          </value>
          <value t="str">
            <val>2021/07/05</val>
          </value>
          <value t="str">
            <val>台灣TFT製程及封裝設備供應商</val>
          </value>
          <value t="str">
            <val>2021/12/17</val>
          </value>
        </values>
      </ddeItem>
      <ddeItem name="5468.TW-ID,Name,Price,PriceChangeRatio,Low,High,Volume,InOutRatioNumber,Capital,ProfitMargin" advise="1">
        <values cols="10">
          <value t="str">
            <val>5468</val>
          </value>
          <value t="str">
            <val>凱鈺</val>
          </value>
          <value>
            <val>21.2</val>
          </value>
          <value>
            <val>-7.83</val>
          </value>
          <value>
            <val>21</val>
          </value>
          <value>
            <val>22.6</val>
          </value>
          <value>
            <val>2</val>
          </value>
          <value t="str">
            <val>21.21%</val>
          </value>
          <value t="str">
            <val>2.78</val>
          </value>
          <value t="str">
            <val>40.47</val>
          </value>
        </values>
      </ddeItem>
      <ddeItem name="5468.TW-OperatingProfitRatio,NetProfitMargin,TFXRatio,MonthlyNetSalesYoY,ReturnOnAssets,DividendYear,ProfitFourSeason,CashDividendYieldRate,StockNetValue,ExchangeIndustry" advise="1">
        <values cols="10">
          <value t="str">
            <val>5.64</val>
          </value>
          <value t="str">
            <val>2.55</val>
          </value>
          <value t="str">
            <val>4.77</val>
          </value>
          <value t="str">
            <val>4.22</val>
          </value>
          <value t="str">
            <val>1.22</val>
          </value>
          <value>
            <val>0</val>
          </value>
          <value t="str">
            <val>-0.32</val>
          </value>
          <value>
            <val>0</val>
          </value>
          <value t="str">
            <val>6.88</val>
          </value>
          <value t="str">
            <val>上櫃半導體</val>
          </value>
        </values>
      </ddeItem>
      <ddeItem name="5468.TW-PreTotalVolume,ChipsField25,ChipsField27,DateofMeetingofShareHolders,CompanyPos,TradingDate" advise="1">
        <values cols="6">
          <value>
            <val>562</val>
          </value>
          <value t="str">
            <val>--</val>
          </value>
          <value t="str">
            <val>--</val>
          </value>
          <value t="str">
            <val>2021/08/26</val>
          </value>
          <value t="str">
            <val>鈺創轉投資的LED驅動IC及光通訊IC廠</val>
          </value>
          <value t="str">
            <val>2021/12/17</val>
          </value>
        </values>
      </ddeItem>
      <ddeItem name="5474.TW-ID,Name,Price,PriceChangeRatio,Low,High,Volume,InOutRatioNumber,Capital,ProfitMargin" advise="1">
        <values cols="10">
          <value t="str">
            <val>5474</val>
          </value>
          <value t="str">
            <val>聰泰</val>
          </value>
          <value>
            <val>106</val>
          </value>
          <value>
            <val>-0.93</val>
          </value>
          <value>
            <val>106</val>
          </value>
          <value>
            <val>107</val>
          </value>
          <value>
            <val>1</val>
          </value>
          <value t="str">
            <val>33.33%</val>
          </value>
          <value t="str">
            <val>4.04</val>
          </value>
          <value t="str">
            <val>44.09</val>
          </value>
        </values>
      </ddeItem>
      <ddeItem name="5474.TW-OperatingProfitRatio,NetProfitMargin,TFXRatio,MonthlyNetSalesYoY,ReturnOnAssets,DividendYear,ProfitFourSeason,CashDividendYieldRate,StockNetValue,ExchangeIndustry" advise="1">
        <values cols="10">
          <value t="str">
            <val>25.86</val>
          </value>
          <value t="str">
            <val>19.70</val>
          </value>
          <value t="str">
            <val>-9.15</val>
          </value>
          <value t="str">
            <val>-57.04</val>
          </value>
          <value t="str">
            <val>12.94</val>
          </value>
          <value>
            <val>10</val>
          </value>
          <value t="str">
            <val>13.28</val>
          </value>
          <value>
            <val>9.43</val>
          </value>
          <value t="str">
            <val>38.72</val>
          </value>
          <value t="str">
            <val>上櫃電腦及週邊設備</val>
          </value>
        </values>
      </ddeItem>
      <ddeItem name="5474.TW-PreTotalVolume,ChipsField25,ChipsField27,DateofMeetingofShareHolders,CompanyPos,TradingDate" advise="1">
        <values cols="6">
          <value>
            <val>40</val>
          </value>
          <value t="str">
            <val>2021/08/06</val>
          </value>
          <value t="str">
            <val>2021/08/20</val>
          </value>
          <value t="str">
            <val>2021/07/20</val>
          </value>
          <value t="str">
            <val>數位監控、影音串流設備商</val>
          </value>
          <value t="str">
            <val>2021/12/17</val>
          </value>
        </values>
      </ddeItem>
      <ddeItem name="5904.TW-ID,Name,Price,PriceChangeRatio,Low,High,Volume,InOutRatioNumber,Capital,ProfitMargin" advise="1">
        <values cols="10">
          <value t="str">
            <val>5904</val>
          </value>
          <value t="str">
            <val>寶雅</val>
          </value>
          <value>
            <val>455</val>
          </value>
          <value>
            <val>-1.62</val>
          </value>
          <value>
            <val>455</val>
          </value>
          <value>
            <val>470.5</val>
          </value>
          <value>
            <val>112</val>
          </value>
          <value t="str">
            <val>31.44%</val>
          </value>
          <value t="str">
            <val>10.09</val>
          </value>
          <value t="str">
            <val>43.74</val>
          </value>
        </values>
      </ddeItem>
      <ddeItem name="5904.TW-OperatingProfitRatio,NetProfitMargin,TFXRatio,MonthlyNetSalesYoY,ReturnOnAssets,DividendYear,ProfitFourSeason,CashDividendYieldRate,StockNetValue,ExchangeIndustry" advise="1">
        <values cols="10">
          <value t="str">
            <val>12.78</val>
          </value>
          <value t="str">
            <val>10.11</val>
          </value>
          <value t="str">
            <val>-9.06</val>
          </value>
          <value t="str">
            <val>2.20</val>
          </value>
          <value t="str">
            <val>5.88</val>
          </value>
          <value>
            <val>19</val>
          </value>
          <value t="str">
            <val>18.43</val>
          </value>
          <value>
            <val>4.18</val>
          </value>
          <value t="str">
            <val>45.32</val>
          </value>
          <value t="str">
            <val>上櫃貿易百貨</val>
          </value>
        </values>
      </ddeItem>
      <ddeItem name="5904.TW-PreTotalVolume,ChipsField25,ChipsField27,DateofMeetingofShareHolders,CompanyPos,TradingDate" advise="1">
        <values cols="6">
          <value>
            <val>428</val>
          </value>
          <value t="str">
            <val>2021/08/12</val>
          </value>
          <value t="str">
            <val>2021/09/28</val>
          </value>
          <value t="str">
            <val>2021/08/24</val>
          </value>
          <value t="str">
            <val>台灣二線城市最大美妝及生活用品百貨</val>
          </value>
          <value t="str">
            <val>2021/12/17</val>
          </value>
        </values>
      </ddeItem>
      <ddeItem name="6129.TW-ID,Name,Price,PriceChangeRatio,Low,High,Volume,InOutRatioNumber,Capital,ProfitMargin" advise="1">
        <values cols="10">
          <value t="str">
            <val>6129</val>
          </value>
          <value t="str">
            <val>普誠</val>
          </value>
          <value>
            <val>36.049999999999997</val>
          </value>
          <value>
            <val>-3.09</val>
          </value>
          <value>
            <val>35.799999999999997</val>
          </value>
          <value>
            <val>37.950000000000003</val>
          </value>
          <value>
            <val>336</val>
          </value>
          <value t="str">
            <val>37.23%</val>
          </value>
          <value t="str">
            <val>18.09</val>
          </value>
          <value t="str">
            <val>39.31</val>
          </value>
        </values>
      </ddeItem>
      <ddeItem name="6129.TW-OperatingProfitRatio,NetProfitMargin,TFXRatio,MonthlyNetSalesYoY,ReturnOnAssets,DividendYear,ProfitFourSeason,CashDividendYieldRate,StockNetValue,ExchangeIndustry" advise="1">
        <values cols="10">
          <value t="str">
            <val>7.31</val>
          </value>
          <value t="str">
            <val>9.64</val>
          </value>
          <value t="str">
            <val>-9.47</val>
          </value>
          <value t="str">
            <val>19.80</val>
          </value>
          <value t="str">
            <val>5.13</val>
          </value>
          <value>
            <val>0</val>
          </value>
          <value t="str">
            <val>0.50</val>
          </value>
          <value>
            <val>0</val>
          </value>
          <value t="str">
            <val>9.88</val>
          </value>
          <value t="str">
            <val>上櫃半導體</val>
          </value>
        </values>
      </ddeItem>
      <ddeItem name="6129.TW-PreTotalVolume,ChipsField25,ChipsField27,DateofMeetingofShareHolders,CompanyPos,TradingDate" advise="1">
        <values cols="6">
          <value>
            <val>12041</val>
          </value>
          <value t="str">
            <val>--</val>
          </value>
          <value t="str">
            <val>--</val>
          </value>
          <value t="str">
            <val>2021/09/17</val>
          </value>
          <value t="str">
            <val>台灣消費性IC設計廠商，及車用IC設計公司</val>
          </value>
          <value t="str">
            <val>2021/12/17</val>
          </value>
        </values>
      </ddeItem>
      <ddeItem name="6217.TW-ID,Name,Price,PriceChangeRatio,Low,High,Volume,InOutRatioNumber,Capital,ProfitMargin" advise="1">
        <values cols="10">
          <value t="str">
            <val>6217</val>
          </value>
          <value t="str">
            <val>中探針</val>
          </value>
          <value>
            <val>50.6</val>
          </value>
          <value>
            <val>-2.88</val>
          </value>
          <value>
            <val>50.2</val>
          </value>
          <value>
            <val>52.3</val>
          </value>
          <value>
            <val>83</val>
          </value>
          <value t="str">
            <val>30.28%</val>
          </value>
          <value t="str">
            <val>6.65</val>
          </value>
          <value t="str">
            <val>31.37</val>
          </value>
        </values>
      </ddeItem>
      <ddeItem name="6217.TW-OperatingProfitRatio,NetProfitMargin,TFXRatio,MonthlyNetSalesYoY,ReturnOnAssets,DividendYear,ProfitFourSeason,CashDividendYieldRate,StockNetValue,ExchangeIndustry" advise="1">
        <values cols="10">
          <value t="str">
            <val>6.33</val>
          </value>
          <value t="str">
            <val>4.70</val>
          </value>
          <value t="str">
            <val>11.03</val>
          </value>
          <value t="str">
            <val>14.55</val>
          </value>
          <value t="str">
            <val>3.27</val>
          </value>
          <value>
            <val>1.05</val>
          </value>
          <value t="str">
            <val>2.46</val>
          </value>
          <value>
            <val>2.08</val>
          </value>
          <value t="str">
            <val>24.87</val>
          </value>
          <value t="str">
            <val>上櫃電子零組件</val>
          </value>
        </values>
      </ddeItem>
      <ddeItem name="6217.TW-PreTotalVolume,ChipsField25,ChipsField27,DateofMeetingofShareHolders,CompanyPos,TradingDate" advise="1">
        <values cols="6">
          <value>
            <val>1359</val>
          </value>
          <value t="str">
            <val>2021/07/30</val>
          </value>
          <value t="str">
            <val>--</val>
          </value>
          <value t="str">
            <val>2021/07/01</val>
          </value>
          <value t="str">
            <val>台灣第一家探針及探針式連接器製造廠</val>
          </value>
          <value t="str">
            <val>2021/12/17</val>
          </value>
        </values>
      </ddeItem>
      <ddeItem name="6224.TW-ID,Name,Price,PriceChangeRatio,Low,High,Volume,InOutRatioNumber,Capital,ProfitMargin" advise="1">
        <values cols="10">
          <value t="str">
            <val>6224</val>
          </value>
          <value t="str">
            <val>聚鼎</val>
          </value>
          <value>
            <val>123.5</val>
          </value>
          <value>
            <val>-1.59</val>
          </value>
          <value>
            <val>123</val>
          </value>
          <value>
            <val>126.5</val>
          </value>
          <value>
            <val>28</val>
          </value>
          <value t="str">
            <val>26.92%</val>
          </value>
          <value t="str">
            <val>8.56</val>
          </value>
          <value t="str">
            <val>37.98</val>
          </value>
        </values>
      </ddeItem>
      <ddeItem name="6224.TW-OperatingProfitRatio,NetProfitMargin,TFXRatio,MonthlyNetSalesYoY,ReturnOnAssets,DividendYear,ProfitFourSeason,CashDividendYieldRate,StockNetValue,ExchangeIndustry" advise="1">
        <values cols="10">
          <value t="str">
            <val>19.45</val>
          </value>
          <value t="str">
            <val>16.90</val>
          </value>
          <value t="str">
            <val>-2.06</val>
          </value>
          <value t="str">
            <val>55.72</val>
          </value>
          <value t="str">
            <val>8.99</val>
          </value>
          <value>
            <val>4.25</val>
          </value>
          <value t="str">
            <val>6.67</val>
          </value>
          <value>
            <val>3.44</val>
          </value>
          <value t="str">
            <val>32.07</val>
          </value>
          <value t="str">
            <val>上市電子零組件</val>
          </value>
        </values>
      </ddeItem>
      <ddeItem name="6224.TW-PreTotalVolume,ChipsField25,ChipsField27,DateofMeetingofShareHolders,CompanyPos,TradingDate" advise="1">
        <values cols="6">
          <value>
            <val>798</val>
          </value>
          <value t="str">
            <val>2021/04/08</val>
          </value>
          <value t="str">
            <val>--</val>
          </value>
          <value t="str">
            <val>2021/08/10</val>
          </value>
          <value t="str">
            <val>全球第二大PPTC保護元件大廠</val>
          </value>
          <value t="str">
            <val>2021/12/17</val>
          </value>
        </values>
      </ddeItem>
      <ddeItem name="6228.TW-ID,Name,Price,PriceChangeRatio,Low,High,Volume,InOutRatioNumber,Capital,ProfitMargin" advise="1">
        <values cols="10">
          <value t="str">
            <val>6228</val>
          </value>
          <value t="str">
            <val>全譜</val>
          </value>
          <value>
            <val>13.3</val>
          </value>
          <value>
            <val>-6.99</val>
          </value>
          <value>
            <val>13.3</val>
          </value>
          <value>
            <val>14.3</val>
          </value>
          <value>
            <val>2</val>
          </value>
          <value t="str">
            <val>4.85%</val>
          </value>
          <value t="str">
            <val>4.00</val>
          </value>
          <value t="str">
            <val>32.10</val>
          </value>
        </values>
      </ddeItem>
      <ddeItem name="6228.TW-OperatingProfitRatio,NetProfitMargin,TFXRatio,MonthlyNetSalesYoY,ReturnOnAssets,DividendYear,ProfitFourSeason,CashDividendYieldRate,StockNetValue,ExchangeIndustry" advise="1">
        <values cols="10">
          <value t="str">
            <val>-6.38</val>
          </value>
          <value t="str">
            <val>-9.17</val>
          </value>
          <value t="str">
            <val>-6.49</val>
          </value>
          <value t="str">
            <val>692.10</val>
          </value>
          <value t="str">
            <val>-1.84</val>
          </value>
          <value>
            <val>0</val>
          </value>
          <value t="str">
            <val>-0.53</val>
          </value>
          <value>
            <val>0</val>
          </value>
          <value t="str">
            <val>5.58</val>
          </value>
          <value t="str">
            <val>上櫃電腦及週邊設備</val>
          </value>
        </values>
      </ddeItem>
      <ddeItem name="6228.TW-PreTotalVolume,ChipsField25,ChipsField27,DateofMeetingofShareHolders,CompanyPos,TradingDate" advise="1">
        <values cols="6">
          <value>
            <val>128</val>
          </value>
          <value t="str">
            <val>--</val>
          </value>
          <value t="str">
            <val>--</val>
          </value>
          <value t="str">
            <val>2021/08/26</val>
          </value>
          <value t="str">
            <val>台灣底片掃瞄器及生物研究影像設備製造廠</val>
          </value>
          <value t="str">
            <val>2021/12/17</val>
          </value>
        </values>
      </ddeItem>
      <ddeItem name="6243.TW-ID,Name,Price,PriceChangeRatio,Low,High,Volume,InOutRatioNumber,Capital,ProfitMargin" advise="1">
        <values cols="10">
          <value t="str">
            <val>6243</val>
          </value>
          <value t="str">
            <val>迅杰</val>
          </value>
          <value>
            <val>58.6</val>
          </value>
          <value>
            <val>-5.48</val>
          </value>
          <value>
            <val>57.5</val>
          </value>
          <value>
            <val>63.4</val>
          </value>
          <value>
            <val>166</val>
          </value>
          <value t="str">
            <val>45.09%</val>
          </value>
          <value t="str">
            <val>4.43</val>
          </value>
          <value t="str">
            <val>31.40</val>
          </value>
        </values>
      </ddeItem>
      <ddeItem name="6243.TW-OperatingProfitRatio,NetProfitMargin,TFXRatio,MonthlyNetSalesYoY,ReturnOnAssets,DividendYear,ProfitFourSeason,CashDividendYieldRate,StockNetValue,ExchangeIndustry" advise="1">
        <values cols="10">
          <value t="str">
            <val>8.33</val>
          </value>
          <value t="str">
            <val>7.14</val>
          </value>
          <value t="str">
            <val>-17.54</val>
          </value>
          <value t="str">
            <val>31.24</val>
          </value>
          <value t="str">
            <val>5.34</val>
          </value>
          <value>
            <val>0</val>
          </value>
          <value t="str">
            <val>0.24</val>
          </value>
          <value>
            <val>0</val>
          </value>
          <value t="str">
            <val>13.37</val>
          </value>
          <value t="str">
            <val>上市半導體</val>
          </value>
        </values>
      </ddeItem>
      <ddeItem name="6243.TW-PreTotalVolume,ChipsField25,ChipsField27,DateofMeetingofShareHolders,CompanyPos,TradingDate" advise="1">
        <values cols="6">
          <value>
            <val>2098</val>
          </value>
          <value t="str">
            <val>--</val>
          </value>
          <value t="str">
            <val>--</val>
          </value>
          <value t="str">
            <val>2021/08/03</val>
          </value>
          <value t="str">
            <val>全球第二大鍵盤控制IC設計供應商</val>
          </value>
          <value t="str">
            <val>2021/12/17</val>
          </value>
        </values>
      </ddeItem>
      <ddeItem name="6259.TW-ID,Name,Price,PriceChangeRatio,Low,High,Volume,InOutRatioNumber,Capital,ProfitMargin" advise="1">
        <values cols="10">
          <value t="str">
            <val>6259</val>
          </value>
          <value t="str">
            <val>百徽</val>
          </value>
          <value>
            <val>32.15</val>
          </value>
          <value>
            <val>-2.87</val>
          </value>
          <value>
            <val>32.1</val>
          </value>
          <value>
            <val>33.799999999999997</val>
          </value>
          <value>
            <val>2</val>
          </value>
          <value t="str">
            <val>41.03%</val>
          </value>
          <value t="str">
            <val>1.73</val>
          </value>
          <value t="str">
            <val>21.78</val>
          </value>
        </values>
      </ddeItem>
      <ddeItem name="6259.TW-OperatingProfitRatio,NetProfitMargin,TFXRatio,MonthlyNetSalesYoY,ReturnOnAssets,DividendYear,ProfitFourSeason,CashDividendYieldRate,StockNetValue,ExchangeIndustry" advise="1">
        <values cols="10">
          <value t="str">
            <val>-0.32</val>
          </value>
          <value t="str">
            <val>-1.68</val>
          </value>
          <value t="str">
            <val>31.52</val>
          </value>
          <value t="str">
            <val>221.23</val>
          </value>
          <value t="str">
            <val>-0.95</val>
          </value>
          <value>
            <val>0</val>
          </value>
          <value t="str">
            <val>0.52</val>
          </value>
          <value>
            <val>0</val>
          </value>
          <value t="str">
            <val>13.58</val>
          </value>
          <value t="str">
            <val>上櫃電子零組件</val>
          </value>
        </values>
      </ddeItem>
      <ddeItem name="6259.TW-PreTotalVolume,ChipsField25,ChipsField27,DateofMeetingofShareHolders,CompanyPos,TradingDate" advise="1">
        <values cols="6">
          <value>
            <val>62</val>
          </value>
          <value t="str">
            <val>--</val>
          </value>
          <value t="str">
            <val>--</val>
          </value>
          <value t="str">
            <val>2021/08/30</val>
          </value>
          <value t="str">
            <val>主要代理電磁波防制元件和電源相關元件</val>
          </value>
          <value t="str">
            <val>2021/12/17</val>
          </value>
        </values>
      </ddeItem>
      <ddeItem name="6265.TW-ID,Name,Price,PriceChangeRatio,Low,High,Volume,InOutRatioNumber,Capital,ProfitMargin" advise="1">
        <values cols="10">
          <value t="str">
            <val>6265</val>
          </value>
          <value t="str">
            <val>方土昶</val>
          </value>
          <value>
            <val>17.100000000000001</val>
          </value>
          <value>
            <val>-2.56</val>
          </value>
          <value>
            <val>16.7</val>
          </value>
          <value>
            <val>17.649999999999999</val>
          </value>
          <value>
            <val>183</val>
          </value>
          <value t="str">
            <val>45.41%</val>
          </value>
          <value t="str">
            <val>11.82</val>
          </value>
          <value t="str">
            <val>11.78</val>
          </value>
        </values>
      </ddeItem>
      <ddeItem name="6265.TW-OperatingProfitRatio,NetProfitMargin,TFXRatio,MonthlyNetSalesYoY,ReturnOnAssets,DividendYear,ProfitFourSeason,CashDividendYieldRate,StockNetValue,ExchangeIndustry" advise="1">
        <values cols="10">
          <value t="str">
            <val>6.86</val>
          </value>
          <value t="str">
            <val>7.06</val>
          </value>
          <value t="str">
            <val>-2.72</val>
          </value>
          <value t="str">
            <val>63.25</val>
          </value>
          <value t="str">
            <val>5.17</val>
          </value>
          <value>
            <val>0</val>
          </value>
          <value t="str">
            <val>0.65</val>
          </value>
          <value>
            <val>0</val>
          </value>
          <value t="str">
            <val>11.67</val>
          </value>
          <value t="str">
            <val>上櫃電子通路</val>
          </value>
        </values>
      </ddeItem>
      <ddeItem name="6265.TW-PreTotalVolume,ChipsField25,ChipsField27,DateofMeetingofShareHolders,CompanyPos,TradingDate" advise="1">
        <values cols="6">
          <value>
            <val>3639</val>
          </value>
          <value t="str">
            <val>--</val>
          </value>
          <value t="str">
            <val>--</val>
          </value>
          <value t="str">
            <val>2021/08/27</val>
          </value>
          <value t="str">
            <val>IC零組件通路商，並跨足保健食品</val>
          </value>
          <value t="str">
            <val>2021/12/17</val>
          </value>
        </values>
      </ddeItem>
      <ddeItem name="6275.TW-ID,Name,Price,PriceChangeRatio,Low,High,Volume,InOutRatioNumber,Capital,ProfitMargin" advise="1">
        <values cols="10">
          <value t="str">
            <val>6275</val>
          </value>
          <value t="str">
            <val>元山</val>
          </value>
          <value>
            <val>36.65</val>
          </value>
          <value>
            <val>-2.5299999999999998</val>
          </value>
          <value>
            <val>36.4</val>
          </value>
          <value>
            <val>38.200000000000003</val>
          </value>
          <value>
            <val>120</val>
          </value>
          <value t="str">
            <val>39.46%</val>
          </value>
          <value t="str">
            <val>6.98</val>
          </value>
          <value t="str">
            <val>18.26</val>
          </value>
        </values>
      </ddeItem>
      <ddeItem name="6275.TW-OperatingProfitRatio,NetProfitMargin,TFXRatio,MonthlyNetSalesYoY,ReturnOnAssets,DividendYear,ProfitFourSeason,CashDividendYieldRate,StockNetValue,ExchangeIndustry" advise="1">
        <values cols="10">
          <value t="str">
            <val>6.33</val>
          </value>
          <value t="str">
            <val>5.10</val>
          </value>
          <value t="str">
            <val>9.54</val>
          </value>
          <value t="str">
            <val>28.77</val>
          </value>
          <value t="str">
            <val>5.37</val>
          </value>
          <value>
            <val>1.5</val>
          </value>
          <value t="str">
            <val>2.84</val>
          </value>
          <value>
            <val>4.09</val>
          </value>
          <value t="str">
            <val>16.79</val>
          </value>
          <value t="str">
            <val>上櫃電子零組件</val>
          </value>
        </values>
      </ddeItem>
      <ddeItem name="6275.TW-PreTotalVolume,ChipsField25,ChipsField27,DateofMeetingofShareHolders,CompanyPos,TradingDate" advise="1">
        <values cols="6">
          <value>
            <val>5117</val>
          </value>
          <value t="str">
            <val>2021/06/21</val>
          </value>
          <value t="str">
            <val>--</val>
          </value>
          <value t="str">
            <val>2021/07/15</val>
          </value>
          <value t="str">
            <val>以小家電起家，並跨入交直流無刷馬達散熱風扇廠商</val>
          </value>
          <value t="str">
            <val>2021/12/17</val>
          </value>
        </values>
      </ddeItem>
      <ddeItem name="6287.TW-ID,Name,Price,PriceChangeRatio,Low,High,Volume,InOutRatioNumber,Capital,ProfitMargin" advise="1">
        <values cols="10">
          <value t="str">
            <val>6287</val>
          </value>
          <value t="str">
            <val>元隆</val>
          </value>
          <value>
            <val>11.8</val>
          </value>
          <value>
            <val>-0.84</val>
          </value>
          <value>
            <val>11.8</val>
          </value>
          <value>
            <val>11.85</val>
          </value>
          <value>
            <val>15</val>
          </value>
          <value t="str">
            <val>43.59%</val>
          </value>
          <value t="str">
            <val>43.81</val>
          </value>
          <value t="str">
            <val>10.84</val>
          </value>
        </values>
      </ddeItem>
      <ddeItem name="6287.TW-OperatingProfitRatio,NetProfitMargin,TFXRatio,MonthlyNetSalesYoY,ReturnOnAssets,DividendYear,ProfitFourSeason,CashDividendYieldRate,StockNetValue,ExchangeIndustry" advise="1">
        <values cols="10">
          <value t="str">
            <val>6.94</val>
          </value>
          <value t="str">
            <val>5.73</val>
          </value>
          <value t="str">
            <val>-0.84</val>
          </value>
          <value t="str">
            <val>33.99</val>
          </value>
          <value t="str">
            <val>5.42</val>
          </value>
          <value>
            <val>0</val>
          </value>
          <value t="str">
            <val>0.10</val>
          </value>
          <value>
            <val>0</val>
          </value>
          <value t="str">
            <val>0.34</val>
          </value>
          <value t="str">
            <val>上櫃半導體</val>
          </value>
        </values>
      </ddeItem>
      <ddeItem name="6287.TW-PreTotalVolume,ChipsField25,ChipsField27,DateofMeetingofShareHolders,CompanyPos,TradingDate" advise="1">
        <values cols="6">
          <value>
            <val>54</val>
          </value>
          <value t="str">
            <val>--</val>
          </value>
          <value t="str">
            <val>--</val>
          </value>
          <value t="str">
            <val>2021/08/20</val>
          </value>
          <value t="str">
            <val>台灣功率半導體及類比IC晶圓代工廠</val>
          </value>
          <value t="str">
            <val>2021/12/17</val>
          </value>
        </values>
      </ddeItem>
      <ddeItem name="6411.TW-ID,Name,Price,PriceChangeRatio,Low,High,Volume,InOutRatioNumber,Capital,ProfitMargin" advise="1">
        <values cols="10">
          <value t="str">
            <val>6411</val>
          </value>
          <value t="str">
            <val>晶焱</val>
          </value>
          <value>
            <val>244.5</val>
          </value>
          <value>
            <val>-0.61</val>
          </value>
          <value>
            <val>242</val>
          </value>
          <value>
            <val>253.5</val>
          </value>
          <value>
            <val>669</val>
          </value>
          <value t="str">
            <val>38.19%</val>
          </value>
          <value t="str">
            <val>9.15</val>
          </value>
          <value t="str">
            <val>44.03</val>
          </value>
        </values>
      </ddeItem>
      <ddeItem name="6411.TW-OperatingProfitRatio,NetProfitMargin,TFXRatio,MonthlyNetSalesYoY,ReturnOnAssets,DividendYear,ProfitFourSeason,CashDividendYieldRate,StockNetValue,ExchangeIndustry" advise="1">
        <values cols="10">
          <value t="str">
            <val>24.43</val>
          </value>
          <value t="str">
            <val>19.95</val>
          </value>
          <value t="str">
            <val>-14.50</val>
          </value>
          <value t="str">
            <val>16.89</val>
          </value>
          <value t="str">
            <val>11.68</val>
          </value>
          <value>
            <val>5.03</val>
          </value>
          <value t="str">
            <val>8.82</val>
          </value>
          <value>
            <val>2.06</val>
          </value>
          <value t="str">
            <val>40.72</val>
          </value>
          <value t="str">
            <val>上櫃半導體</val>
          </value>
        </values>
      </ddeItem>
      <ddeItem name="6411.TW-PreTotalVolume,ChipsField25,ChipsField27,DateofMeetingofShareHolders,CompanyPos,TradingDate" advise="1">
        <values cols="6">
          <value>
            <val>12001</val>
          </value>
          <value t="str">
            <val>2021/08/02</val>
          </value>
          <value t="str">
            <val>--</val>
          </value>
          <value t="str">
            <val>2021/07/12</val>
          </value>
          <value t="str">
            <val>台灣首家靜電放電防護IC設計公司</val>
          </value>
          <value t="str">
            <val>2021/12/17</val>
          </value>
        </values>
      </ddeItem>
      <ddeItem name="6418.TW-ID,Name,Price,PriceChangeRatio,Low,High,Volume,InOutRatioNumber,Capital,ProfitMargin" advise="1">
        <values cols="10">
          <value t="str">
            <val>6418</val>
          </value>
          <value t="str">
            <val>詠昇</val>
          </value>
          <value>
            <val>21.75</val>
          </value>
          <value>
            <val>-0.23</val>
          </value>
          <value>
            <val>21.7</val>
          </value>
          <value>
            <val>22.3</val>
          </value>
          <value>
            <val>23</val>
          </value>
          <value t="str">
            <val>37.64%</val>
          </value>
          <value t="str">
            <val>3.45</val>
          </value>
          <value t="str">
            <val>13.12</val>
          </value>
        </values>
      </ddeItem>
      <ddeItem name="6418.TW-OperatingProfitRatio,NetProfitMargin,TFXRatio,MonthlyNetSalesYoY,ReturnOnAssets,DividendYear,ProfitFourSeason,CashDividendYieldRate,StockNetValue,ExchangeIndustry" advise="1">
        <values cols="10">
          <value t="str">
            <val>-2.15</val>
          </value>
          <value t="str">
            <val>-2.67</val>
          </value>
          <value t="str">
            <val>19.55</val>
          </value>
          <value t="str">
            <val>43.34</val>
          </value>
          <value t="str">
            <val>-1.69</val>
          </value>
          <value>
            <val>0.2</val>
          </value>
          <value t="str">
            <val>-0.73</val>
          </value>
          <value>
            <val>0.92</val>
          </value>
          <value t="str">
            <val>13.18</val>
          </value>
          <value t="str">
            <val>上櫃電子零組件</val>
          </value>
        </values>
      </ddeItem>
      <ddeItem name="6418.TW-PreTotalVolume,ChipsField25,ChipsField27,DateofMeetingofShareHolders,CompanyPos,TradingDate" advise="1">
        <values cols="6">
          <value>
            <val>2540</val>
          </value>
          <value t="str">
            <val>2021/08/25</val>
          </value>
          <value t="str">
            <val>--</val>
          </value>
          <value t="str">
            <val>2021/08/09</val>
          </value>
          <value t="str">
            <val>PC、TV、NB、3C用連接器生產廠</val>
          </value>
          <value t="str">
            <val>2021/12/17</val>
          </value>
        </values>
      </ddeItem>
      <ddeItem name="6425.TW-ID,Name,Price,PriceChangeRatio,Low,High,Volume,InOutRatioNumber,Capital,ProfitMargin" advise="1">
        <values cols="10">
          <value t="str">
            <val>6425</val>
          </value>
          <value t="str">
            <val>易發</val>
          </value>
          <value>
            <val>25.7</val>
          </value>
          <value>
            <val>-0.39</val>
          </value>
          <value>
            <val>25.45</val>
          </value>
          <value>
            <val>26.2</val>
          </value>
          <value>
            <val>3</val>
          </value>
          <value t="str">
            <val>43.48%</val>
          </value>
          <value t="str">
            <val>4.36</val>
          </value>
          <value t="str">
            <val>13.60</val>
          </value>
        </values>
      </ddeItem>
      <ddeItem name="6425.TW-OperatingProfitRatio,NetProfitMargin,TFXRatio,MonthlyNetSalesYoY,ReturnOnAssets,DividendYear,ProfitFourSeason,CashDividendYieldRate,StockNetValue,ExchangeIndustry" advise="1">
        <values cols="10">
          <value t="str">
            <val>-9.24</val>
          </value>
          <value t="str">
            <val>-8.68</val>
          </value>
          <value t="str">
            <val>9.68</val>
          </value>
          <value t="str">
            <val>29.31</val>
          </value>
          <value t="str">
            <val>-3.74</val>
          </value>
          <value>
            <val>0.5</val>
          </value>
          <value t="str">
            <val>-3.15</val>
          </value>
          <value>
            <val>1.95</val>
          </value>
          <value t="str">
            <val>21.21</val>
          </value>
          <value t="str">
            <val>上櫃電機機械</val>
          </value>
        </values>
      </ddeItem>
      <ddeItem name="6425.TW-PreTotalVolume,ChipsField25,ChipsField27,DateofMeetingofShareHolders,CompanyPos,TradingDate" advise="1">
        <values cols="6">
          <value>
            <val>29</val>
          </value>
          <value t="str">
            <val>2021/06/11</val>
          </value>
          <value t="str">
            <val>--</val>
          </value>
          <value t="str">
            <val>2021/04/16</val>
          </value>
          <value t="str">
            <val>深耕面板製程設備，並跨足半導體及動力電池設備之廠商</val>
          </value>
          <value t="str">
            <val>2021/12/17</val>
          </value>
        </values>
      </ddeItem>
      <ddeItem name="6446.TW-ID,Name,Price,PriceChangeRatio,Low,High,Volume,InOutRatioNumber,Capital,ProfitMargin" advise="1">
        <values cols="10">
          <value t="str">
            <val>6446</val>
          </value>
          <value t="str">
            <val>藥華藥</val>
          </value>
          <value>
            <val>333</val>
          </value>
          <value>
            <val>-10</val>
          </value>
          <value>
            <val>333</val>
          </value>
          <value>
            <val>345</val>
          </value>
          <value>
            <val>501</val>
          </value>
          <value t="str">
            <val>0.00%</val>
          </value>
          <value t="str">
            <val>27.04</val>
          </value>
          <value t="str">
            <val>22.76</val>
          </value>
        </values>
      </ddeItem>
      <ddeItem name="6446.TW-OperatingProfitRatio,NetProfitMargin,TFXRatio,MonthlyNetSalesYoY,ReturnOnAssets,DividendYear,ProfitFourSeason,CashDividendYieldRate,StockNetValue,ExchangeIndustry" advise="1">
        <values cols="10">
          <value t="str">
            <val>-676.48</val>
          </value>
          <value t="str">
            <val>-695.90</val>
          </value>
          <value t="str">
            <val>431.51</val>
          </value>
          <value t="str">
            <val>3.02</val>
          </value>
          <value t="str">
            <val>-42.58</val>
          </value>
          <value>
            <val>0</val>
          </value>
          <value t="str">
            <val>-10.79</val>
          </value>
          <value>
            <val>0</val>
          </value>
          <value t="str">
            <val>7.43</val>
          </value>
          <value t="str">
            <val>上櫃生技醫療</val>
          </value>
        </values>
      </ddeItem>
      <ddeItem name="6446.TW-PreTotalVolume,ChipsField25,ChipsField27,DateofMeetingofShareHolders,CompanyPos,TradingDate" advise="1">
        <values cols="6">
          <value>
            <val>1807</val>
          </value>
          <value t="str">
            <val>--</val>
          </value>
          <value t="str">
            <val>--</val>
          </value>
          <value t="str">
            <val>2021/08/05</val>
          </value>
          <value t="str">
            <val>罕見真性紅血球增生症藥物研發廠商</val>
          </value>
          <value t="str">
            <val>2021/12/17</val>
          </value>
        </values>
      </ddeItem>
      <ddeItem name="6465.TW-ID,Name,Price,PriceChangeRatio,Low,High,Volume,InOutRatioNumber,Capital,ProfitMargin" advise="1">
        <values cols="10">
          <value t="str">
            <val>6465</val>
          </value>
          <value t="str">
            <val>威潤</val>
          </value>
          <value>
            <val>29.25</val>
          </value>
          <value>
            <val>-1.68</val>
          </value>
          <value>
            <val>28.6</val>
          </value>
          <value>
            <val>29.75</val>
          </value>
          <value>
            <val>2</val>
          </value>
          <value t="str">
            <val>48.06%</val>
          </value>
          <value t="str">
            <val>3.28</val>
          </value>
          <value t="str">
            <val>38.71</val>
          </value>
        </values>
      </ddeItem>
      <ddeItem name="6465.TW-OperatingProfitRatio,NetProfitMargin,TFXRatio,MonthlyNetSalesYoY,ReturnOnAssets,DividendYear,ProfitFourSeason,CashDividendYieldRate,StockNetValue,ExchangeIndustry" advise="1">
        <values cols="10">
          <value t="str">
            <val>-21.43</val>
          </value>
          <value t="str">
            <val>-13.84</val>
          </value>
          <value t="str">
            <val>11.08</val>
          </value>
          <value t="str">
            <val>-13.00</val>
          </value>
          <value t="str">
            <val>-2.62</val>
          </value>
          <value>
            <val>0</val>
          </value>
          <value t="str">
            <val>-1.55</val>
          </value>
          <value>
            <val>0</val>
          </value>
          <value t="str">
            <val>8.82</val>
          </value>
          <value t="str">
            <val>上櫃通信網路</val>
          </value>
        </values>
      </ddeItem>
      <ddeItem name="6465.TW-PreTotalVolume,ChipsField25,ChipsField27,DateofMeetingofShareHolders,CompanyPos,TradingDate" advise="1">
        <values cols="6">
          <value>
            <val>152</val>
          </value>
          <value t="str">
            <val>--</val>
          </value>
          <value t="str">
            <val>--</val>
          </value>
          <value t="str">
            <val>2021/07/16</val>
          </value>
          <value t="str">
            <val>以自有品牌「ATrack」行銷衛星定位監控系統廠商</val>
          </value>
          <value t="str">
            <val>2021/12/17</val>
          </value>
        </values>
      </ddeItem>
      <ddeItem name="6472.TW-ID,Name,Price,PriceChangeRatio,Low,High,Volume,InOutRatioNumber,Capital,ProfitMargin" advise="1">
        <values cols="10">
          <value t="str">
            <val>6472</val>
          </value>
          <value t="str">
            <val>保瑞</val>
          </value>
          <value>
            <val>185</val>
          </value>
          <value>
            <val>-2.37</val>
          </value>
          <value>
            <val>184</val>
          </value>
          <value>
            <val>188</val>
          </value>
          <value>
            <val>16</val>
          </value>
          <value t="str">
            <val>30.73%</val>
          </value>
          <value t="str">
            <val>6.85</val>
          </value>
          <value t="str">
            <val>34.59</val>
          </value>
        </values>
      </ddeItem>
      <ddeItem name="6472.TW-OperatingProfitRatio,NetProfitMargin,TFXRatio,MonthlyNetSalesYoY,ReturnOnAssets,DividendYear,ProfitFourSeason,CashDividendYieldRate,StockNetValue,ExchangeIndustry" advise="1">
        <values cols="10">
          <value t="str">
            <val>22.92</val>
          </value>
          <value t="str">
            <val>16.26</val>
          </value>
          <value t="str">
            <val>-7.45</val>
          </value>
          <value t="str">
            <val>147.41</val>
          </value>
          <value t="str">
            <val>8.61</val>
          </value>
          <value>
            <val>4.47</val>
          </value>
          <value t="str">
            <val>18.16</val>
          </value>
          <value>
            <val>2.42</val>
          </value>
          <value t="str">
            <val>44.12</val>
          </value>
          <value t="str">
            <val>上櫃生技醫療</val>
          </value>
        </values>
      </ddeItem>
      <ddeItem name="6472.TW-PreTotalVolume,ChipsField25,ChipsField27,DateofMeetingofShareHolders,CompanyPos,TradingDate" advise="1">
        <values cols="6">
          <value>
            <val>193</val>
          </value>
          <value t="str">
            <val>2021/09/07</val>
          </value>
          <value t="str">
            <val>2021/09/07</val>
          </value>
          <value t="str">
            <val>2021/07/09</val>
          </value>
          <value t="str">
            <val>專注於改良劑型新藥研發公司</val>
          </value>
          <value t="str">
            <val>2021/12/17</val>
          </value>
        </values>
      </ddeItem>
      <ddeItem name="6523.TW-ID,Name,Price,PriceChangeRatio,Low,High,Volume,InOutRatioNumber,Capital,ProfitMargin" advise="1">
        <values cols="10">
          <value t="str">
            <val>6523</val>
          </value>
          <value t="str">
            <val>達爾膚</val>
          </value>
          <value>
            <val>98.5</val>
          </value>
          <value>
            <val>-3.43</val>
          </value>
          <value>
            <val>98</val>
          </value>
          <value>
            <val>103</val>
          </value>
          <value>
            <val>33</val>
          </value>
          <value t="str">
            <val>37.64%</val>
          </value>
          <value t="str">
            <val>4.50</val>
          </value>
          <value t="str">
            <val>62.56</val>
          </value>
        </values>
      </ddeItem>
      <ddeItem name="6523.TW-OperatingProfitRatio,NetProfitMargin,TFXRatio,MonthlyNetSalesYoY,ReturnOnAssets,DividendYear,ProfitFourSeason,CashDividendYieldRate,StockNetValue,ExchangeIndustry" advise="1">
        <values cols="10">
          <value t="str">
            <val>35.53</val>
          </value>
          <value t="str">
            <val>26.52</val>
          </value>
          <value t="str">
            <val>-4.13</val>
          </value>
          <value t="str">
            <val>36.43</val>
          </value>
          <value t="str">
            <val>9.74</val>
          </value>
          <value>
            <val>4</val>
          </value>
          <value t="str">
            <val>16.46</val>
          </value>
          <value>
            <val>4.0599999999999996</val>
          </value>
          <value t="str">
            <val>37.30</val>
          </value>
          <value t="str">
            <val>上櫃生技醫療</val>
          </value>
        </values>
      </ddeItem>
      <ddeItem name="6523.TW-PreTotalVolume,ChipsField25,ChipsField27,DateofMeetingofShareHolders,CompanyPos,TradingDate" advise="1">
        <values cols="6">
          <value>
            <val>773</val>
          </value>
          <value t="str">
            <val>2021/12/02</val>
          </value>
          <value t="str">
            <val>--</val>
          </value>
          <value t="str">
            <val>2021/07/07</val>
          </value>
          <value t="str">
            <val>台灣第一大醫美品牌DR.WU</val>
          </value>
          <value t="str">
            <val>2021/12/17</val>
          </value>
        </values>
      </ddeItem>
      <ddeItem name="6531.TW-ID,Name,Price,PriceChangeRatio,Low,High,Volume,InOutRatioNumber,Capital,ProfitMargin" advise="1">
        <values cols="10">
          <value t="str">
            <val>6531</val>
          </value>
          <value t="str">
            <val>愛普*</val>
          </value>
          <value>
            <val>480.5</val>
          </value>
          <value>
            <val>-3.13</val>
          </value>
          <value>
            <val>480</val>
          </value>
          <value>
            <val>489</val>
          </value>
          <value>
            <val>327</val>
          </value>
          <value t="str">
            <val>41.19%</val>
          </value>
          <value t="str">
            <val>7.43</val>
          </value>
          <value t="str">
            <val>45.75</val>
          </value>
        </values>
      </ddeItem>
      <ddeItem name="6531.TW-OperatingProfitRatio,NetProfitMargin,TFXRatio,MonthlyNetSalesYoY,ReturnOnAssets,DividendYear,ProfitFourSeason,CashDividendYieldRate,StockNetValue,ExchangeIndustry" advise="1">
        <values cols="10">
          <value t="str">
            <val>35.78</val>
          </value>
          <value t="str">
            <val>30.38</val>
          </value>
          <value t="str">
            <val>-4.56</val>
          </value>
          <value t="str">
            <val>73.93</val>
          </value>
          <value t="str">
            <val>30.94</val>
          </value>
          <value>
            <val>5</val>
          </value>
          <value t="str">
            <val>11.12</val>
          </value>
          <value>
            <val>1.04</val>
          </value>
          <value t="str">
            <val>28.61</val>
          </value>
          <value t="str">
            <val>上市半導體</val>
          </value>
        </values>
      </ddeItem>
      <ddeItem name="6531.TW-PreTotalVolume,ChipsField25,ChipsField27,DateofMeetingofShareHolders,CompanyPos,TradingDate" advise="1">
        <values cols="6">
          <value>
            <val>2655</val>
          </value>
          <value t="str">
            <val>2021/08/16</val>
          </value>
          <value t="str">
            <val>--</val>
          </value>
          <value t="str">
            <val>2021/12/06</val>
          </value>
          <value t="str">
            <val>從事行動記憶體IC設計的公司</val>
          </value>
          <value t="str">
            <val>2021/12/17</val>
          </value>
        </values>
      </ddeItem>
      <ddeItem name="6538.TW-ID,Name,Price,PriceChangeRatio,Low,High,Volume,InOutRatioNumber,Capital,ProfitMargin" advise="1">
        <values cols="10">
          <value t="str">
            <val>6538</val>
          </value>
          <value t="str">
            <val>倉和</val>
          </value>
          <value>
            <val>78</val>
          </value>
          <value>
            <val>-0.38</val>
          </value>
          <value>
            <val>77.7</val>
          </value>
          <value>
            <val>78.900000000000006</val>
          </value>
          <value>
            <val>6</val>
          </value>
          <value t="str">
            <val>27.59%</val>
          </value>
          <value t="str">
            <val>3.73</val>
          </value>
          <value t="str">
            <val>41.74</val>
          </value>
        </values>
      </ddeItem>
      <ddeItem name="6538.TW-OperatingProfitRatio,NetProfitMargin,TFXRatio,MonthlyNetSalesYoY,ReturnOnAssets,DividendYear,ProfitFourSeason,CashDividendYieldRate,StockNetValue,ExchangeIndustry" advise="1">
        <values cols="10">
          <value t="str">
            <val>16.88</val>
          </value>
          <value t="str">
            <val>11.85</val>
          </value>
          <value t="str">
            <val>33.46</val>
          </value>
          <value t="str">
            <val>-17.29</val>
          </value>
          <value t="str">
            <val>5.04</val>
          </value>
          <value>
            <val>7</val>
          </value>
          <value t="str">
            <val>5.16</val>
          </value>
          <value>
            <val>8.9700000000000006</val>
          </value>
          <value t="str">
            <val>43.62</val>
          </value>
          <value t="str">
            <val>上櫃電子零組件</val>
          </value>
        </values>
      </ddeItem>
      <ddeItem name="6538.TW-PreTotalVolume,ChipsField25,ChipsField27,DateofMeetingofShareHolders,CompanyPos,TradingDate" advise="1">
        <values cols="6">
          <value>
            <val>131</val>
          </value>
          <value t="str">
            <val>2021/08/27</val>
          </value>
          <value t="str">
            <val>--</val>
          </value>
          <value t="str">
            <val>2021/08/11</val>
          </value>
          <value t="str">
            <val>國內最大的太陽能精密網版廠</val>
          </value>
          <value t="str">
            <val>2021/12/17</val>
          </value>
        </values>
      </ddeItem>
      <ddeItem name="6560.TW-ID,Name,Price,PriceChangeRatio,Low,High,Volume,InOutRatioNumber,Capital,ProfitMargin" advise="1">
        <values cols="10">
          <value t="str">
            <val>6560</val>
          </value>
          <value t="str">
            <val>欣普羅</val>
          </value>
          <value>
            <val>75.8</val>
          </value>
          <value>
            <val>-0.13</val>
          </value>
          <value>
            <val>74.099999999999994</val>
          </value>
          <value>
            <val>76.2</val>
          </value>
          <value>
            <val>3</val>
          </value>
          <value t="str">
            <val>56.14%</val>
          </value>
          <value t="str">
            <val>2.07</val>
          </value>
          <value t="str">
            <val>29.40</val>
          </value>
        </values>
      </ddeItem>
      <ddeItem name="6560.TW-OperatingProfitRatio,NetProfitMargin,TFXRatio,MonthlyNetSalesYoY,ReturnOnAssets,DividendYear,ProfitFourSeason,CashDividendYieldRate,StockNetValue,ExchangeIndustry" advise="1">
        <values cols="10">
          <value t="str">
            <val>20.19</val>
          </value>
          <value t="str">
            <val>15.98</val>
          </value>
          <value t="str">
            <val>-41.73</val>
          </value>
          <value t="str">
            <val>-42.23</val>
          </value>
          <value t="str">
            <val>21.58</val>
          </value>
          <value>
            <val>4.3499999999999996</val>
          </value>
          <value t="str">
            <val>11.50</val>
          </value>
          <value>
            <val>5.74</val>
          </value>
          <value t="str">
            <val>25.42</val>
          </value>
          <value t="str">
            <val>上櫃光電</val>
          </value>
        </values>
      </ddeItem>
      <ddeItem name="6560.TW-PreTotalVolume,ChipsField25,ChipsField27,DateofMeetingofShareHolders,CompanyPos,TradingDate" advise="1">
        <values cols="6">
          <value>
            <val>55</val>
          </value>
          <value t="str">
            <val>2021/08/27</val>
          </value>
          <value t="str">
            <val>2021/08/27</val>
          </value>
          <value t="str">
            <val>2021/07/16</val>
          </value>
          <value t="str">
            <val>專業影像處理及軟硬體開發廠商</val>
          </value>
          <value t="str">
            <val>2021/12/17</val>
          </value>
        </values>
      </ddeItem>
      <ddeItem name="6582.TW-ID,Name,Price,PriceChangeRatio,Low,High,Volume,InOutRatioNumber,Capital,ProfitMargin" advise="1">
        <values cols="10">
          <value t="str">
            <val>6582</val>
          </value>
          <value t="str">
            <val>申豐</val>
          </value>
          <value>
            <val>161</val>
          </value>
          <value>
            <val>1.26</val>
          </value>
          <value>
            <val>159</val>
          </value>
          <value>
            <val>162.5</val>
          </value>
          <value>
            <val>25</val>
          </value>
          <value t="str">
            <val>39.84%</val>
          </value>
          <value t="str">
            <val>10.62</val>
          </value>
          <value t="str">
            <val>62.18</val>
          </value>
        </values>
      </ddeItem>
      <ddeItem name="6582.TW-OperatingProfitRatio,NetProfitMargin,TFXRatio,MonthlyNetSalesYoY,ReturnOnAssets,DividendYear,ProfitFourSeason,CashDividendYieldRate,StockNetValue,ExchangeIndustry" advise="1">
        <values cols="10">
          <value t="str">
            <val>55.97</val>
          </value>
          <value t="str">
            <val>44.47</val>
          </value>
          <value t="str">
            <val>-75.22</val>
          </value>
          <value t="str">
            <val>-78.21</val>
          </value>
          <value t="str">
            <val>44.48</val>
          </value>
          <value>
            <val>10</val>
          </value>
          <value t="str">
            <val>38.15</val>
          </value>
          <value>
            <val>6.21</val>
          </value>
          <value t="str">
            <val>66.55</val>
          </value>
          <value t="str">
            <val>上市橡膠</val>
          </value>
        </values>
      </ddeItem>
      <ddeItem name="6582.TW-PreTotalVolume,ChipsField25,ChipsField27,DateofMeetingofShareHolders,CompanyPos,TradingDate" advise="1">
        <values cols="6">
          <value>
            <val>136</val>
          </value>
          <value t="str">
            <val>2021/08/12</val>
          </value>
          <value t="str">
            <val>--</val>
          </value>
          <value t="str">
            <val>2021/07/20</val>
          </value>
          <value t="str">
            <val>永豐餘旗下合成乳膠廠，全球前7大NBR乳膠廠</val>
          </value>
          <value t="str">
            <val>2021/12/17</val>
          </value>
        </values>
      </ddeItem>
      <ddeItem name="6594.TW-ID,Name,Price,PriceChangeRatio,Low,High,Volume,InOutRatioNumber,Capital,ProfitMargin" advise="1">
        <values cols="10">
          <value t="str">
            <val>6594</val>
          </value>
          <value t="str">
            <val>展匯科</val>
          </value>
          <value>
            <val>40.549999999999997</val>
          </value>
          <value>
            <val>-1.58</val>
          </value>
          <value>
            <val>40.049999999999997</val>
          </value>
          <value>
            <val>41.7</val>
          </value>
          <value>
            <val>1</val>
          </value>
          <value t="str">
            <val>30.77%</val>
          </value>
          <value t="str">
            <val>3.02</val>
          </value>
          <value t="str">
            <val>45.92</val>
          </value>
        </values>
      </ddeItem>
      <ddeItem name="6594.TW-OperatingProfitRatio,NetProfitMargin,TFXRatio,MonthlyNetSalesYoY,ReturnOnAssets,DividendYear,ProfitFourSeason,CashDividendYieldRate,StockNetValue,ExchangeIndustry" advise="1">
        <values cols="10">
          <value t="str">
            <val>3.44</val>
          </value>
          <value t="str">
            <val>4.20</val>
          </value>
          <value t="str">
            <val>9.03</val>
          </value>
          <value t="str">
            <val>1.18</val>
          </value>
          <value t="str">
            <val>2.02</val>
          </value>
          <value>
            <val>1.6</val>
          </value>
          <value t="str">
            <val>1.15</val>
          </value>
          <value>
            <val>3.95</val>
          </value>
          <value t="str">
            <val>22.47</val>
          </value>
          <value t="str">
            <val>上櫃半導體</val>
          </value>
        </values>
      </ddeItem>
      <ddeItem name="6594.TW-PreTotalVolume,ChipsField25,ChipsField27,DateofMeetingofShareHolders,CompanyPos,TradingDate" advise="1">
        <values cols="6">
          <value>
            <val>41</val>
          </value>
          <value t="str">
            <val>2021/08/10</val>
          </value>
          <value t="str">
            <val>2021/08/10</val>
          </value>
          <value t="str">
            <val>2021/07/09</val>
          </value>
          <value t="str">
            <val>安國轉投資之USB控制IC設計公司</val>
          </value>
          <value t="str">
            <val>2021/12/17</val>
          </value>
        </values>
      </ddeItem>
      <ddeItem name="6640.TW-ID,Name,Price,PriceChangeRatio,Low,High,Volume,InOutRatioNumber,Capital,ProfitMargin" advise="1">
        <values cols="10">
          <value t="str">
            <val>6640</val>
          </value>
          <value t="str">
            <val>均華</val>
          </value>
          <value>
            <val>100</val>
          </value>
          <value>
            <val>-0.99</val>
          </value>
          <value>
            <val>100</val>
          </value>
          <value>
            <val>102</val>
          </value>
          <value>
            <val>1</val>
          </value>
          <value t="str">
            <val>23.08%</val>
          </value>
          <value t="str">
            <val>2.83</val>
          </value>
          <value t="str">
            <val>34.64</val>
          </value>
        </values>
      </ddeItem>
      <ddeItem name="6640.TW-OperatingProfitRatio,NetProfitMargin,TFXRatio,MonthlyNetSalesYoY,ReturnOnAssets,DividendYear,ProfitFourSeason,CashDividendYieldRate,StockNetValue,ExchangeIndustry" advise="1">
        <values cols="10">
          <value t="str">
            <val>12.42</val>
          </value>
          <value t="str">
            <val>11.74</val>
          </value>
          <value t="str">
            <val>-32.63</val>
          </value>
          <value t="str">
            <val>25.20</val>
          </value>
          <value t="str">
            <val>6.22</val>
          </value>
          <value>
            <val>3</val>
          </value>
          <value t="str">
            <val>3.42</val>
          </value>
          <value>
            <val>3</val>
          </value>
          <value t="str">
            <val>32.31</val>
          </value>
          <value t="str">
            <val>上櫃半導體</val>
          </value>
        </values>
      </ddeItem>
      <ddeItem name="6640.TW-PreTotalVolume,ChipsField25,ChipsField27,DateofMeetingofShareHolders,CompanyPos,TradingDate" advise="1">
        <values cols="6">
          <value>
            <val>13</val>
          </value>
          <value t="str">
            <val>2021/07/19</val>
          </value>
          <value t="str">
            <val>--</val>
          </value>
          <value t="str">
            <val>2021/07/02</val>
          </value>
          <value t="str">
            <val>均豪子公司，從事半導體封裝設備的製造</val>
          </value>
          <value t="str">
            <val>2021/12/17</val>
          </value>
        </values>
      </ddeItem>
      <ddeItem name="6654.TW-ID,Name,Price,PriceChangeRatio,Low,High,Volume,InOutRatioNumber,Capital,ProfitMargin" advise="1">
        <values cols="10">
          <value t="str">
            <val>6654</val>
          </value>
          <value t="str">
            <val>天正國際</val>
          </value>
          <value>
            <val>91.5</val>
          </value>
          <value>
            <val>-2.56</val>
          </value>
          <value>
            <val>90.8</val>
          </value>
          <value>
            <val>94</val>
          </value>
          <value>
            <val>21</val>
          </value>
          <value t="str">
            <val>20.35%</val>
          </value>
          <value t="str">
            <val>3.33</val>
          </value>
          <value t="str">
            <val>35.60</val>
          </value>
        </values>
      </ddeItem>
      <ddeItem name="6654.TW-OperatingProfitRatio,NetProfitMargin,TFXRatio,MonthlyNetSalesYoY,ReturnOnAssets,DividendYear,ProfitFourSeason,CashDividendYieldRate,StockNetValue,ExchangeIndustry" advise="1">
        <values cols="10">
          <value t="str">
            <val>26.18</val>
          </value>
          <value t="str">
            <val>20.34</val>
          </value>
          <value t="str">
            <val>-0.86</val>
          </value>
          <value t="str">
            <val>177.33</val>
          </value>
          <value t="str">
            <val>10.39</val>
          </value>
          <value>
            <val>1.5</val>
          </value>
          <value t="str">
            <val>5.66</val>
          </value>
          <value>
            <val>1.64</val>
          </value>
          <value t="str">
            <val>27.72</val>
          </value>
          <value t="str">
            <val>上櫃其他電子</val>
          </value>
        </values>
      </ddeItem>
      <ddeItem name="6654.TW-PreTotalVolume,ChipsField25,ChipsField27,DateofMeetingofShareHolders,CompanyPos,TradingDate" advise="1">
        <values cols="6">
          <value>
            <val>329</val>
          </value>
          <value t="str">
            <val>2021/06/07</val>
          </value>
          <value t="str">
            <val>--</val>
          </value>
          <value t="str">
            <val>2021/08/11</val>
          </value>
          <value t="str">
            <val>專業的被動元件後段自動化生產設備開發商</val>
          </value>
          <value t="str">
            <val>2021/12/17</val>
          </value>
        </values>
      </ddeItem>
      <ddeItem name="6667.TW-ID,Name,Price,PriceChangeRatio,Low,High,Volume,InOutRatioNumber,Capital,ProfitMargin" advise="1">
        <values cols="10">
          <value t="str">
            <val>6667</val>
          </value>
          <value t="str">
            <val>信紘科</val>
          </value>
          <value>
            <val>73.3</val>
          </value>
          <value>
            <val>-2.91</val>
          </value>
          <value>
            <val>72.8</val>
          </value>
          <value>
            <val>75.8</val>
          </value>
          <value>
            <val>8</val>
          </value>
          <value t="str">
            <val>22.73%</val>
          </value>
          <value t="str">
            <val>3.98</val>
          </value>
          <value t="str">
            <val>21.22</val>
          </value>
        </values>
      </ddeItem>
      <ddeItem name="6667.TW-OperatingProfitRatio,NetProfitMargin,TFXRatio,MonthlyNetSalesYoY,ReturnOnAssets,DividendYear,ProfitFourSeason,CashDividendYieldRate,StockNetValue,ExchangeIndustry" advise="1">
        <values cols="10">
          <value t="str">
            <val>8.43</val>
          </value>
          <value t="str">
            <val>7.16</val>
          </value>
          <value t="str">
            <val>-7.90</val>
          </value>
          <value t="str">
            <val>67.01</val>
          </value>
          <value t="str">
            <val>4.78</val>
          </value>
          <value>
            <val>1.66</val>
          </value>
          <value t="str">
            <val>2.24</val>
          </value>
          <value>
            <val>2.2599999999999998</val>
          </value>
          <value t="str">
            <val>25.02</val>
          </value>
          <value t="str">
            <val>上櫃其他電子</val>
          </value>
        </values>
      </ddeItem>
      <ddeItem name="6667.TW-PreTotalVolume,ChipsField25,ChipsField27,DateofMeetingofShareHolders,CompanyPos,TradingDate" advise="1">
        <values cols="6">
          <value>
            <val>90</val>
          </value>
          <value t="str">
            <val>2021/07/26</val>
          </value>
          <value t="str">
            <val>--</val>
          </value>
          <value t="str">
            <val>2021/07/06</val>
          </value>
          <value t="str">
            <val>高科技廠務工程及製程設備領域之專業廠商</val>
          </value>
          <value t="str">
            <val>2021/12/17</val>
          </value>
        </values>
      </ddeItem>
      <ddeItem name="6747.TW-ID,Name,Price,PriceChangeRatio,Low,High,Volume,InOutRatioNumber,Capital,ProfitMargin" advise="1">
        <values cols="10">
          <value t="str">
            <val>6747</val>
          </value>
          <value t="str">
            <val>亨泰光</val>
          </value>
          <value>
            <val>314</val>
          </value>
          <value>
            <val>-2.79</val>
          </value>
          <value>
            <val>314</val>
          </value>
          <value>
            <val>320.5</val>
          </value>
          <value>
            <val>1</val>
          </value>
          <value t="str">
            <val>0.00%</val>
          </value>
          <value t="str">
            <val>2.42</val>
          </value>
          <value t="str">
            <val>67.21</val>
          </value>
        </values>
      </ddeItem>
      <ddeItem name="6747.TW-OperatingProfitRatio,NetProfitMargin,TFXRatio,MonthlyNetSalesYoY,ReturnOnAssets,DividendYear,ProfitFourSeason,CashDividendYieldRate,StockNetValue,ExchangeIndustry" advise="1">
        <values cols="10">
          <value t="str">
            <val>37.06</val>
          </value>
          <value t="str">
            <val>45.04</val>
          </value>
          <value t="str">
            <val>-11.13</val>
          </value>
          <value t="str">
            <val>1.06</val>
          </value>
          <value t="str">
            <val>21.06</val>
          </value>
          <value>
            <val>5.37</val>
          </value>
          <value t="str">
            <val>10.14</val>
          </value>
          <value>
            <val>1.71</val>
          </value>
          <value t="str">
            <val>44.58</val>
          </value>
          <value t="str">
            <val>上櫃生技醫療</val>
          </value>
        </values>
      </ddeItem>
      <ddeItem name="6747.TW-PreTotalVolume,ChipsField25,ChipsField27,DateofMeetingofShareHolders,CompanyPos,TradingDate" advise="1">
        <values cols="6">
          <value>
            <val>17</val>
          </value>
          <value t="str">
            <val>2021/08/03</val>
          </value>
          <value t="str">
            <val>--</val>
          </value>
          <value t="str">
            <val>2021/07/08</val>
          </value>
          <value t="str">
            <val>訂製型硬式隱形眼鏡、角膜塑型鏡供應商</val>
          </value>
          <value t="str">
            <val>2021/12/17</val>
          </value>
        </values>
      </ddeItem>
      <ddeItem name="6781.TW-ID,Name,Price,PriceChangeRatio,Low,High,Volume,InOutRatioNumber,Capital,ProfitMargin" advise="1">
        <values cols="10">
          <value t="str">
            <val>6781</val>
          </value>
          <value t="str">
            <val>AES-KY</val>
          </value>
          <value>
            <val>1560</val>
          </value>
          <value>
            <val>-2.5</val>
          </value>
          <value>
            <val>1555</val>
          </value>
          <value>
            <val>1630</val>
          </value>
          <value>
            <val>22</val>
          </value>
          <value t="str">
            <val>39.26%</val>
          </value>
          <value t="str">
            <val>8.54</val>
          </value>
          <value t="str">
            <val>36.15</val>
          </value>
        </values>
      </ddeItem>
      <ddeItem name="6781.TW-OperatingProfitRatio,NetProfitMargin,TFXRatio,MonthlyNetSalesYoY,ReturnOnAssets,DividendYear,ProfitFourSeason,CashDividendYieldRate,StockNetValue,ExchangeIndustry" advise="1">
        <values cols="10">
          <value t="str">
            <val>27.09</val>
          </value>
          <value t="str">
            <val>21.87</val>
          </value>
          <value t="str">
            <val>1.29</val>
          </value>
          <value t="str">
            <val>39.18</val>
          </value>
          <value t="str">
            <val>18.00</val>
          </value>
          <value>
            <val>5.3</val>
          </value>
          <value t="str">
            <val>29.89</val>
          </value>
          <value>
            <val>0.34</val>
          </value>
          <value t="str">
            <val>113.53</val>
          </value>
          <value t="str">
            <val>上市電子零組件</val>
          </value>
        </values>
      </ddeItem>
      <ddeItem name="6781.TW-PreTotalVolume,ChipsField25,ChipsField27,DateofMeetingofShareHolders,CompanyPos,TradingDate" advise="1">
        <values cols="6">
          <value>
            <val>418</val>
          </value>
          <value t="str">
            <val>2021/08/11</val>
          </value>
          <value t="str">
            <val>--</val>
          </value>
          <value t="str">
            <val>2021/08/10</val>
          </value>
          <value t="str">
            <val>新普轉投資之鋰電池模組製造商</val>
          </value>
          <value t="str">
            <val>2021/12/17</val>
          </value>
        </values>
      </ddeItem>
      <ddeItem name="6788.TW-ID,Name,Price,PriceChangeRatio,Low,High,Volume,InOutRatioNumber,Capital,ProfitMargin" advise="1">
        <values cols="10">
          <value t="str">
            <val>6788</val>
          </value>
          <value t="str">
            <val>華景電</val>
          </value>
          <value>
            <val>195</val>
          </value>
          <value>
            <val>-2.99</val>
          </value>
          <value>
            <val>193</val>
          </value>
          <value>
            <val>200</val>
          </value>
          <value>
            <val>12</val>
          </value>
          <value t="str">
            <val>30.94%</val>
          </value>
          <value t="str">
            <val>3.47</val>
          </value>
          <value t="str">
            <val>51.67</val>
          </value>
        </values>
      </ddeItem>
      <ddeItem name="6788.TW-OperatingProfitRatio,NetProfitMargin,TFXRatio,MonthlyNetSalesYoY,ReturnOnAssets,DividendYear,ProfitFourSeason,CashDividendYieldRate,StockNetValue,ExchangeIndustry" advise="1">
        <values cols="10">
          <value t="str">
            <val>26.02</val>
          </value>
          <value t="str">
            <val>20.46</val>
          </value>
          <value t="str">
            <val>10.42</val>
          </value>
          <value t="str">
            <val>115.56</val>
          </value>
          <value t="str">
            <val>11.02</val>
          </value>
          <value>
            <val>4</val>
          </value>
          <value t="str">
            <val>6.08</val>
          </value>
          <value>
            <val>2.0499999999999998</val>
          </value>
          <value t="str">
            <val>37.89</val>
          </value>
          <value t="str">
            <val>上櫃半導體</val>
          </value>
        </values>
      </ddeItem>
      <ddeItem name="6788.TW-PreTotalVolume,ChipsField25,ChipsField27,DateofMeetingofShareHolders,CompanyPos,TradingDate" advise="1">
        <values cols="6">
          <value>
            <val>184</val>
          </value>
          <value t="str">
            <val>2021/08/04</val>
          </value>
          <value t="str">
            <val>--</val>
          </value>
          <value t="str">
            <val>2021/07/20</val>
          </value>
          <value t="str">
            <val>國內晶圓製程AMC防治設備龍頭</val>
          </value>
          <value t="str">
            <val>2021/12/17</val>
          </value>
        </values>
      </ddeItem>
      <ddeItem name="8084.TW-ID,Name,Price,PriceChangeRatio,Low,High,Volume,InOutRatioNumber,Capital,ProfitMargin" advise="1">
        <values cols="10">
          <value t="str">
            <val>8084</val>
          </value>
          <value t="str">
            <val>巨虹</val>
          </value>
          <value>
            <val>60.2</val>
          </value>
          <value>
            <val>-0.66</val>
          </value>
          <value>
            <val>59</val>
          </value>
          <value>
            <val>61</val>
          </value>
          <value>
            <val>7</val>
          </value>
          <value t="str">
            <val>16.85%</val>
          </value>
          <value t="str">
            <val>6.95</val>
          </value>
          <value t="str">
            <val>12.33</val>
          </value>
        </values>
      </ddeItem>
      <ddeItem name="8084.TW-OperatingProfitRatio,NetProfitMargin,TFXRatio,MonthlyNetSalesYoY,ReturnOnAssets,DividendYear,ProfitFourSeason,CashDividendYieldRate,StockNetValue,ExchangeIndustry" advise="1">
        <values cols="10">
          <value t="str">
            <val>-8.20</val>
          </value>
          <value t="str">
            <val>-7.73</val>
          </value>
          <value t="str">
            <val>39.49</val>
          </value>
          <value t="str">
            <val>-12.37</val>
          </value>
          <value t="str">
            <val>-3.50</val>
          </value>
          <value>
            <val>0</val>
          </value>
          <value t="str">
            <val>-1.29</val>
          </value>
          <value>
            <val>0</val>
          </value>
          <value t="str">
            <val>5.47</val>
          </value>
          <value t="str">
            <val>上櫃電子通路</val>
          </value>
        </values>
      </ddeItem>
      <ddeItem name="8084.TW-PreTotalVolume,ChipsField25,ChipsField27,DateofMeetingofShareHolders,CompanyPos,TradingDate" advise="1">
        <values cols="6">
          <value>
            <val>33</val>
          </value>
          <value t="str">
            <val>--</val>
          </value>
          <value t="str">
            <val>--</val>
          </value>
          <value t="str">
            <val>2021/08/18</val>
          </value>
          <value t="str">
            <val>記憶卡為主營收項，並轉型為手機資安系統設計商</val>
          </value>
          <value t="str">
            <val>2021/12/17</val>
          </value>
        </values>
      </ddeItem>
      <ddeItem name="8121.TW-ID,Name,Price,PriceChangeRatio,Low,High,Volume,InOutRatioNumber,Capital,ProfitMargin" advise="1">
        <values cols="10">
          <value t="str">
            <val>8121</val>
          </value>
          <value t="str">
            <val>越峰</val>
          </value>
          <value>
            <val>50.6</val>
          </value>
          <value>
            <val>-2.69</val>
          </value>
          <value>
            <val>50</val>
          </value>
          <value>
            <val>51.1</val>
          </value>
          <value>
            <val>44</val>
          </value>
          <value t="str">
            <val>36.68%</val>
          </value>
          <value t="str">
            <val>18.30</val>
          </value>
          <value t="str">
            <val>20.25</val>
          </value>
        </values>
      </ddeItem>
      <ddeItem name="8121.TW-OperatingProfitRatio,NetProfitMargin,TFXRatio,MonthlyNetSalesYoY,ReturnOnAssets,DividendYear,ProfitFourSeason,CashDividendYieldRate,StockNetValue,ExchangeIndustry" advise="1">
        <values cols="10">
          <value t="str">
            <val>5.28</val>
          </value>
          <value t="str">
            <val>2.92</val>
          </value>
          <value t="str">
            <val>10.48</val>
          </value>
          <value t="str">
            <val>41.36</val>
          </value>
          <value t="str">
            <val>1.99</val>
          </value>
          <value>
            <val>0</val>
          </value>
          <value t="str">
            <val>0.22</val>
          </value>
          <value>
            <val>0</val>
          </value>
          <value t="str">
            <val>7.16</val>
          </value>
          <value t="str">
            <val>上櫃電子零組件</val>
          </value>
        </values>
      </ddeItem>
      <ddeItem name="8121.TW-PreTotalVolume,ChipsField25,ChipsField27,DateofMeetingofShareHolders,CompanyPos,TradingDate" advise="1">
        <values cols="6">
          <value>
            <val>1625</val>
          </value>
          <value t="str">
            <val>--</val>
          </value>
          <value t="str">
            <val>--</val>
          </value>
          <value t="str">
            <val>2021/07/27</val>
          </value>
          <value t="str">
            <val>台聚旗下、台灣最大錳鋅系列鐵芯等電感類製造廠</val>
          </value>
          <value t="str">
            <val>2021/12/17</val>
          </value>
        </values>
      </ddeItem>
      <ddeItem name="8171.TW-ID,Name,Price,PriceChangeRatio,Low,High,Volume,InOutRatioNumber,Capital,ProfitMargin" advise="1">
        <values cols="10">
          <value t="str">
            <val>8171</val>
          </value>
          <value t="str">
            <val>天宇</val>
          </value>
          <value>
            <val>54.2</val>
          </value>
          <value>
            <val>-1.63</val>
          </value>
          <value>
            <val>54.2</val>
          </value>
          <value>
            <val>55.3</val>
          </value>
          <value>
            <val>69</val>
          </value>
          <value t="str">
            <val>32.54%</val>
          </value>
          <value t="str">
            <val>5.87</val>
          </value>
          <value t="str">
            <val>5.10</val>
          </value>
        </values>
      </ddeItem>
      <ddeItem name="8171.TW-OperatingProfitRatio,NetProfitMargin,TFXRatio,MonthlyNetSalesYoY,ReturnOnAssets,DividendYear,ProfitFourSeason,CashDividendYieldRate,StockNetValue,ExchangeIndustry" advise="1">
        <values cols="10">
          <value t="str">
            <val>-7.55</val>
          </value>
          <value t="str">
            <val>-8.61</val>
          </value>
          <value t="str">
            <val>240.13</val>
          </value>
          <value t="str">
            <val>718.16</val>
          </value>
          <value t="str">
            <val>-4.11</val>
          </value>
          <value>
            <val>0</val>
          </value>
          <value t="str">
            <val>-1.55</val>
          </value>
          <value>
            <val>0</val>
          </value>
          <value t="str">
            <val>15.08</val>
          </value>
          <value t="str">
            <val>上櫃通信網路</val>
          </value>
        </values>
      </ddeItem>
      <ddeItem name="8171.TW-PreTotalVolume,ChipsField25,ChipsField27,DateofMeetingofShareHolders,CompanyPos,TradingDate" advise="1">
        <values cols="6">
          <value>
            <val>870</val>
          </value>
          <value t="str">
            <val>--</val>
          </value>
          <value t="str">
            <val>--</val>
          </value>
          <value t="str">
            <val>2021/08/26</val>
          </value>
          <value t="str">
            <val>專攻電池模組與電源管理模組之廠商</val>
          </value>
          <value t="str">
            <val>2021/12/17</val>
          </value>
        </values>
      </ddeItem>
      <ddeItem name="8182.TW-ID,Name,Price,PriceChangeRatio,Low,High,Volume,InOutRatioNumber,Capital,ProfitMargin" advise="1">
        <values cols="10">
          <value t="str">
            <val>8182</val>
          </value>
          <value t="str">
            <val>加高</val>
          </value>
          <value>
            <val>54.6</val>
          </value>
          <value>
            <val>-2.15</val>
          </value>
          <value>
            <val>54</val>
          </value>
          <value>
            <val>56.2</val>
          </value>
          <value>
            <val>80</val>
          </value>
          <value t="str">
            <val>31.96%</val>
          </value>
          <value t="str">
            <val>10.70</val>
          </value>
          <value t="str">
            <val>27.52</val>
          </value>
        </values>
      </ddeItem>
      <ddeItem name="8182.TW-OperatingProfitRatio,NetProfitMargin,TFXRatio,MonthlyNetSalesYoY,ReturnOnAssets,DividendYear,ProfitFourSeason,CashDividendYieldRate,StockNetValue,ExchangeIndustry" advise="1">
        <values cols="10">
          <value t="str">
            <val>17.24</val>
          </value>
          <value t="str">
            <val>13.81</val>
          </value>
          <value t="str">
            <val>-8.44</val>
          </value>
          <value t="str">
            <val>-1.17</val>
          </value>
          <value t="str">
            <val>7.18</val>
          </value>
          <value>
            <val>1.5</val>
          </value>
          <value t="str">
            <val>3.97</val>
          </value>
          <value>
            <val>2.75</val>
          </value>
          <value t="str">
            <val>30.52</val>
          </value>
          <value t="str">
            <val>上櫃電子零組件</val>
          </value>
        </values>
      </ddeItem>
      <ddeItem name="8182.TW-PreTotalVolume,ChipsField25,ChipsField27,DateofMeetingofShareHolders,CompanyPos,TradingDate" advise="1">
        <values cols="6">
          <value>
            <val>2589</val>
          </value>
          <value t="str">
            <val>2021/07/08</val>
          </value>
          <value t="str">
            <val>--</val>
          </value>
          <value t="str">
            <val>2021/07/01</val>
          </value>
          <value t="str">
            <val>日本大真空轉投資，為台灣石英元件製造商</val>
          </value>
          <value t="str">
            <val>2021/12/17</val>
          </value>
        </values>
      </ddeItem>
      <ddeItem name="8183.TW-ID,Name,Price,PriceChangeRatio,Low,High,Volume,InOutRatioNumber,Capital,ProfitMargin" advise="1">
        <values cols="10">
          <value t="str">
            <val>8183</val>
          </value>
          <value t="str">
            <val>精星</val>
          </value>
          <value>
            <val>63.1</val>
          </value>
          <value>
            <val>-3.37</val>
          </value>
          <value>
            <val>63</val>
          </value>
          <value>
            <val>64.8</val>
          </value>
          <value>
            <val>200</val>
          </value>
          <value t="str">
            <val>33.43%</val>
          </value>
          <value t="str">
            <val>12.13</val>
          </value>
          <value t="str">
            <val>21.40</val>
          </value>
        </values>
      </ddeItem>
      <ddeItem name="8183.TW-OperatingProfitRatio,NetProfitMargin,TFXRatio,MonthlyNetSalesYoY,ReturnOnAssets,DividendYear,ProfitFourSeason,CashDividendYieldRate,StockNetValue,ExchangeIndustry" advise="1">
        <values cols="10">
          <value t="str">
            <val>10.99</val>
          </value>
          <value t="str">
            <val>7.86</val>
          </value>
          <value t="str">
            <val>3.07</val>
          </value>
          <value t="str">
            <val>44.96</val>
          </value>
          <value t="str">
            <val>6.40</val>
          </value>
          <value>
            <val>0.8</val>
          </value>
          <value t="str">
            <val>3.02</val>
          </value>
          <value>
            <val>1.27</val>
          </value>
          <value t="str">
            <val>18.43</val>
          </value>
          <value t="str">
            <val>上櫃其他電子</val>
          </value>
        </values>
      </ddeItem>
      <ddeItem name="8183.TW-PreTotalVolume,ChipsField25,ChipsField27,DateofMeetingofShareHolders,CompanyPos,TradingDate" advise="1">
        <values cols="6">
          <value>
            <val>5572</val>
          </value>
          <value t="str">
            <val>2021/08/12</val>
          </value>
          <value t="str">
            <val>--</val>
          </value>
          <value t="str">
            <val>2021/07/05</val>
          </value>
          <value t="str">
            <val>專業電子製造服務(EMS)廠商</val>
          </value>
          <value t="str">
            <val>2021/12/17</val>
          </value>
        </values>
      </ddeItem>
      <ddeItem name="8426.TW-ID,Name,Price,PriceChangeRatio,Low,High,Volume,InOutRatioNumber,Capital,ProfitMargin" advise="1">
        <values cols="10">
          <value t="str">
            <val>8426</val>
          </value>
          <value t="str">
            <val>紅木-KY</val>
          </value>
          <value>
            <val>15.95</val>
          </value>
          <value>
            <val>-6.45</val>
          </value>
          <value>
            <val>15.95</val>
          </value>
          <value>
            <val>16.899999999999999</val>
          </value>
          <value>
            <val>5</val>
          </value>
          <value t="str">
            <val>3.42%</val>
          </value>
          <value t="str">
            <val>5.02</val>
          </value>
          <value t="str">
            <val>20.74</val>
          </value>
        </values>
      </ddeItem>
      <ddeItem name="8426.TW-OperatingProfitRatio,NetProfitMargin,TFXRatio,MonthlyNetSalesYoY,ReturnOnAssets,DividendYear,ProfitFourSeason,CashDividendYieldRate,StockNetValue,ExchangeIndustry" advise="1">
        <values cols="10">
          <value t="str">
            <val>-5.51</val>
          </value>
          <value t="str">
            <val>-3.35</val>
          </value>
          <value t="str">
            <val>-33.65</val>
          </value>
          <value t="str">
            <val>42.85</val>
          </value>
          <value t="str">
            <val>-1.26</val>
          </value>
          <value>
            <val>0</val>
          </value>
          <value t="str">
            <val>-0.96</val>
          </value>
          <value>
            <val>0</val>
          </value>
          <value t="str">
            <val>13.60</val>
          </value>
          <value t="str">
            <val>上櫃其他</val>
          </value>
        </values>
      </ddeItem>
      <ddeItem name="8426.TW-PreTotalVolume,ChipsField25,ChipsField27,DateofMeetingofShareHolders,CompanyPos,TradingDate" advise="1">
        <values cols="6">
          <value>
            <val>30</val>
          </value>
          <value t="str">
            <val>--</val>
          </value>
          <value t="str">
            <val>--</val>
          </value>
          <value t="str">
            <val>2021/08/04</val>
          </value>
          <value t="str">
            <val>國際精品的裝潢承包商</val>
          </value>
          <value t="str">
            <val>2021/12/17</val>
          </value>
        </values>
      </ddeItem>
      <ddeItem name="8476.TW-ID,Name,Price,PriceChangeRatio,Low,High,Volume,InOutRatioNumber,Capital,ProfitMargin" advise="1">
        <values cols="10">
          <value t="str">
            <val>8476</val>
          </value>
          <value t="str">
            <val>台境</val>
          </value>
          <value>
            <val>59</val>
          </value>
          <value>
            <val>-0.17</val>
          </value>
          <value>
            <val>58.1</val>
          </value>
          <value>
            <val>59.8</val>
          </value>
          <value>
            <val>15</val>
          </value>
          <value t="str">
            <val>41.61%</val>
          </value>
          <value t="str">
            <val>7.05</val>
          </value>
          <value t="str">
            <val>11.35</val>
          </value>
        </values>
      </ddeItem>
      <ddeItem name="8476.TW-OperatingProfitRatio,NetProfitMargin,TFXRatio,MonthlyNetSalesYoY,ReturnOnAssets,DividendYear,ProfitFourSeason,CashDividendYieldRate,StockNetValue,ExchangeIndustry" advise="1">
        <values cols="10">
          <value t="str">
            <val>-2.26</val>
          </value>
          <value t="str">
            <val>-8.61</val>
          </value>
          <value t="str">
            <val>-12.43</val>
          </value>
          <value t="str">
            <val>88.12</val>
          </value>
          <value t="str">
            <val>-1.56</val>
          </value>
          <value>
            <val>0</val>
          </value>
          <value t="str">
            <val>-0.35</val>
          </value>
          <value>
            <val>0</val>
          </value>
          <value t="str">
            <val>6.55</val>
          </value>
          <value t="str">
            <val>上櫃其他</val>
          </value>
        </values>
      </ddeItem>
      <ddeItem name="8476.TW-PreTotalVolume,ChipsField25,ChipsField27,DateofMeetingofShareHolders,CompanyPos,TradingDate" advise="1">
        <values cols="6">
          <value>
            <val>89</val>
          </value>
          <value t="str">
            <val>--</val>
          </value>
          <value t="str">
            <val>--</val>
          </value>
          <value t="str">
            <val>2021/08/03</val>
          </value>
          <value t="str">
            <val>專注發展土壤、地下水領域的環保工程服務商</val>
          </value>
          <value t="str">
            <val>2021/12/17</val>
          </value>
        </values>
      </ddeItem>
      <ddeItem name="8477.TW-ID,Name,Price,PriceChangeRatio,Low,High,Volume,InOutRatioNumber,Capital,ProfitMargin" advise="1">
        <values cols="10">
          <value t="str">
            <val>8477</val>
          </value>
          <value t="str">
            <val>創業家</val>
          </value>
          <value>
            <val>32.799999999999997</val>
          </value>
          <value>
            <val>-0.61</val>
          </value>
          <value>
            <val>32.65</val>
          </value>
          <value>
            <val>33.700000000000003</val>
          </value>
          <value>
            <val>2</val>
          </value>
          <value t="str">
            <val>15.38%</val>
          </value>
          <value t="str">
            <val>3.16</val>
          </value>
          <value t="str">
            <val>18.27</val>
          </value>
        </values>
      </ddeItem>
      <ddeItem name="8477.TW-OperatingProfitRatio,NetProfitMargin,TFXRatio,MonthlyNetSalesYoY,ReturnOnAssets,DividendYear,ProfitFourSeason,CashDividendYieldRate,StockNetValue,ExchangeIndustry" advise="1">
        <values cols="10">
          <value t="str">
            <val>-0.67</val>
          </value>
          <value t="str">
            <val>0.05</val>
          </value>
          <value t="str">
            <val>24.34</val>
          </value>
          <value t="str">
            <val>-22.82</val>
          </value>
          <value t="str">
            <val>0.20</val>
          </value>
          <value>
            <val>1.94</val>
          </value>
          <value t="str">
            <val>-0.57</val>
          </value>
          <value>
            <val>5.91</val>
          </value>
          <value t="str">
            <val>14.48</val>
          </value>
          <value t="str">
            <val>上櫃電子商務</val>
          </value>
        </values>
      </ddeItem>
      <ddeItem name="8477.TW-PreTotalVolume,ChipsField25,ChipsField27,DateofMeetingofShareHolders,CompanyPos,TradingDate" advise="1">
        <values cols="6">
          <value>
            <val>36</val>
          </value>
          <value t="str">
            <val>2021/06/25</val>
          </value>
          <value t="str">
            <val>--</val>
          </value>
          <value t="str">
            <val>2021/05/18</val>
          </value>
          <value t="str">
            <val>台灣知名品牌垂直型電子商務平台</val>
          </value>
          <value t="str">
            <val>2021/12/17</val>
          </value>
        </values>
      </ddeItem>
      <ddeItem name="9802.TW-ID,Name,Price,PriceChangeRatio,Low,High,Volume,InOutRatioNumber,Capital,ProfitMargin" advise="1">
        <values cols="10">
          <value t="str">
            <val>9802</val>
          </value>
          <value t="str">
            <val>鈺齊-KY</val>
          </value>
          <value>
            <val>92.3</val>
          </value>
          <value>
            <val>-2.74</val>
          </value>
          <value>
            <val>92</val>
          </value>
          <value>
            <val>94.9</val>
          </value>
          <value>
            <val>30</val>
          </value>
          <value t="str">
            <val>15.79%</val>
          </value>
          <value t="str">
            <val>18.62</val>
          </value>
          <value t="str">
            <val>17.58</val>
          </value>
        </values>
      </ddeItem>
      <ddeItem name="9802.TW-OperatingProfitRatio,NetProfitMargin,TFXRatio,MonthlyNetSalesYoY,ReturnOnAssets,DividendYear,ProfitFourSeason,CashDividendYieldRate,StockNetValue,ExchangeIndustry" advise="1">
        <values cols="10">
          <value t="str">
            <val>8.62</val>
          </value>
          <value t="str">
            <val>7.21</val>
          </value>
          <value t="str">
            <val>-6.09</val>
          </value>
          <value t="str">
            <val>54.66</val>
          </value>
          <value t="str">
            <val>5.29</val>
          </value>
          <value>
            <val>3.8</val>
          </value>
          <value t="str">
            <val>5.36</val>
          </value>
          <value>
            <val>4.12</val>
          </value>
          <value t="str">
            <val>47.73</val>
          </value>
          <value t="str">
            <val>上市其他</val>
          </value>
        </values>
      </ddeItem>
      <ddeItem name="9802.TW-PreTotalVolume,ChipsField25,ChipsField27,DateofMeetingofShareHolders,CompanyPos,TradingDate" advise="1">
        <values cols="6">
          <value>
            <val>1193</val>
          </value>
          <value t="str">
            <val>2021/10/12</val>
          </value>
          <value t="str">
            <val>--</val>
          </value>
          <value t="str">
            <val>2021/08/27</val>
          </value>
          <value t="str">
            <val>主要從事各種功能鞋款代工研發的廠商</val>
          </value>
          <value t="str">
            <val>2021/12/17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3702-A8B2-4DD6-A72D-77F20CC8215F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tr">
        <f t="array" ref="A2:J2">[1]!'6523.TW-ID,Name,Price,PriceChangeRatio,Low,High,Volume,InOutRatioNumber,Capital,ProfitMargin'</f>
        <v>6523</v>
      </c>
      <c r="B2" t="str">
        <v>達爾膚</v>
      </c>
      <c r="C2">
        <v>98.5</v>
      </c>
      <c r="D2">
        <v>-3.43</v>
      </c>
      <c r="E2">
        <v>98</v>
      </c>
      <c r="F2">
        <v>103</v>
      </c>
      <c r="G2">
        <v>33</v>
      </c>
      <c r="H2" t="str">
        <v>37.64%</v>
      </c>
      <c r="I2" t="str">
        <v>4.50</v>
      </c>
      <c r="J2" t="str">
        <v>62.56</v>
      </c>
      <c r="K2" t="str">
        <f t="array" ref="K2:T2">[1]!'6523.TW-OperatingProfitRatio,NetProfitMargin,TFXRatio,MonthlyNetSalesYoY,ReturnOnAssets,DividendYear,ProfitFourSeason,CashDividendYieldRate,StockNetValue,ExchangeIndustry'</f>
        <v>35.53</v>
      </c>
      <c r="L2" t="str">
        <v>26.52</v>
      </c>
      <c r="M2" t="str">
        <v>-4.13</v>
      </c>
      <c r="N2" t="str">
        <v>36.43</v>
      </c>
      <c r="O2" t="str">
        <v>9.74</v>
      </c>
      <c r="P2">
        <v>4</v>
      </c>
      <c r="Q2" t="str">
        <v>16.46</v>
      </c>
      <c r="R2">
        <v>4.0599999999999996</v>
      </c>
      <c r="S2" t="str">
        <v>37.30</v>
      </c>
      <c r="T2" t="str">
        <v>上櫃生技醫療</v>
      </c>
      <c r="U2">
        <f t="array" ref="U2:Z2">[1]!'6523.TW-PreTotalVolume,ChipsField25,ChipsField27,DateofMeetingofShareHolders,CompanyPos,TradingDate'</f>
        <v>773</v>
      </c>
      <c r="V2" t="str">
        <v>2021/12/02</v>
      </c>
      <c r="W2" t="str">
        <v>--</v>
      </c>
      <c r="X2" t="str">
        <v>2021/07/07</v>
      </c>
      <c r="Y2" t="str">
        <v>台灣第一大醫美品牌DR.WU</v>
      </c>
      <c r="Z2" t="str">
        <v>2021/12/17</v>
      </c>
    </row>
    <row r="3" spans="1:26" x14ac:dyDescent="0.3">
      <c r="A3" t="str">
        <f t="array" ref="A3:J3">[1]!'6243.TW-ID,Name,Price,PriceChangeRatio,Low,High,Volume,InOutRatioNumber,Capital,ProfitMargin'</f>
        <v>6243</v>
      </c>
      <c r="B3" t="str">
        <v>迅杰</v>
      </c>
      <c r="C3">
        <v>58.6</v>
      </c>
      <c r="D3">
        <v>-5.48</v>
      </c>
      <c r="E3">
        <v>57.5</v>
      </c>
      <c r="F3">
        <v>63.4</v>
      </c>
      <c r="G3">
        <v>166</v>
      </c>
      <c r="H3" t="str">
        <v>45.09%</v>
      </c>
      <c r="I3" t="str">
        <v>4.43</v>
      </c>
      <c r="J3" t="str">
        <v>31.40</v>
      </c>
      <c r="K3" t="str">
        <f t="array" ref="K3:T3">[1]!'6243.TW-OperatingProfitRatio,NetProfitMargin,TFXRatio,MonthlyNetSalesYoY,ReturnOnAssets,DividendYear,ProfitFourSeason,CashDividendYieldRate,StockNetValue,ExchangeIndustry'</f>
        <v>8.33</v>
      </c>
      <c r="L3" t="str">
        <v>7.14</v>
      </c>
      <c r="M3" t="str">
        <v>-17.54</v>
      </c>
      <c r="N3" t="str">
        <v>31.24</v>
      </c>
      <c r="O3" t="str">
        <v>5.34</v>
      </c>
      <c r="P3">
        <v>0</v>
      </c>
      <c r="Q3" t="str">
        <v>0.24</v>
      </c>
      <c r="R3">
        <v>0</v>
      </c>
      <c r="S3" t="str">
        <v>13.37</v>
      </c>
      <c r="T3" t="str">
        <v>上市半導體</v>
      </c>
      <c r="U3">
        <f t="array" ref="U3:Z3">[1]!'6243.TW-PreTotalVolume,ChipsField25,ChipsField27,DateofMeetingofShareHolders,CompanyPos,TradingDate'</f>
        <v>2098</v>
      </c>
      <c r="V3" t="str">
        <v>--</v>
      </c>
      <c r="W3" t="str">
        <v>--</v>
      </c>
      <c r="X3" t="str">
        <v>2021/08/03</v>
      </c>
      <c r="Y3" t="str">
        <v>全球第二大鍵盤控制IC設計供應商</v>
      </c>
      <c r="Z3" t="str">
        <v>2021/12/17</v>
      </c>
    </row>
    <row r="4" spans="1:26" x14ac:dyDescent="0.3">
      <c r="A4" t="str">
        <f t="array" ref="A4:J4">[1]!'3701.TW-ID,Name,Price,PriceChangeRatio,Low,High,Volume,InOutRatioNumber,Capital,ProfitMargin'</f>
        <v>3701</v>
      </c>
      <c r="B4" t="str">
        <v>大眾控</v>
      </c>
      <c r="C4">
        <v>76</v>
      </c>
      <c r="D4">
        <v>-1.68</v>
      </c>
      <c r="E4">
        <v>74.3</v>
      </c>
      <c r="F4">
        <v>83</v>
      </c>
      <c r="G4">
        <v>507</v>
      </c>
      <c r="H4" t="str">
        <v>47.86%</v>
      </c>
      <c r="I4" t="str">
        <v>19.99</v>
      </c>
      <c r="J4" t="str">
        <v>13.01</v>
      </c>
      <c r="K4" t="str">
        <f t="array" ref="K4:T4">[1]!'3701.TW-OperatingProfitRatio,NetProfitMargin,TFXRatio,MonthlyNetSalesYoY,ReturnOnAssets,DividendYear,ProfitFourSeason,CashDividendYieldRate,StockNetValue,ExchangeIndustry'</f>
        <v>2.83</v>
      </c>
      <c r="L4" t="str">
        <v>5.23</v>
      </c>
      <c r="M4" t="str">
        <v>17.45</v>
      </c>
      <c r="N4" t="str">
        <v>20.60</v>
      </c>
      <c r="O4" t="str">
        <v>4.73</v>
      </c>
      <c r="P4">
        <v>0</v>
      </c>
      <c r="Q4" t="str">
        <v>1.06</v>
      </c>
      <c r="R4">
        <v>0</v>
      </c>
      <c r="S4" t="str">
        <v>12.27</v>
      </c>
      <c r="T4" t="str">
        <v>上市電腦及週邊設備</v>
      </c>
      <c r="U4">
        <f t="array" ref="U4:Z4">[1]!'3701.TW-PreTotalVolume,ChipsField25,ChipsField27,DateofMeetingofShareHolders,CompanyPos,TradingDate'</f>
        <v>16381</v>
      </c>
      <c r="V4" t="str">
        <v>--</v>
      </c>
      <c r="W4" t="str">
        <v>--</v>
      </c>
      <c r="X4" t="str">
        <v>2021/08/04</v>
      </c>
      <c r="Y4" t="str">
        <v>大眾集團之控股公司</v>
      </c>
      <c r="Z4" t="str">
        <v>2021/12/17</v>
      </c>
    </row>
    <row r="5" spans="1:26" x14ac:dyDescent="0.3">
      <c r="A5" t="str">
        <f t="array" ref="A5:J5">[1]!'3419.TW-ID,Name,Price,PriceChangeRatio,Low,High,Volume,InOutRatioNumber,Capital,ProfitMargin'</f>
        <v>3419</v>
      </c>
      <c r="B5" t="str">
        <v>譁裕</v>
      </c>
      <c r="C5">
        <v>25.4</v>
      </c>
      <c r="D5">
        <v>-5.4</v>
      </c>
      <c r="E5">
        <v>24.9</v>
      </c>
      <c r="F5">
        <v>26.6</v>
      </c>
      <c r="G5">
        <v>378</v>
      </c>
      <c r="H5" t="str">
        <v>28.42%</v>
      </c>
      <c r="I5" t="str">
        <v>12.05</v>
      </c>
      <c r="J5" t="str">
        <v>17.24</v>
      </c>
      <c r="K5" t="str">
        <f t="array" ref="K5:T5">[1]!'3419.TW-OperatingProfitRatio,NetProfitMargin,TFXRatio,MonthlyNetSalesYoY,ReturnOnAssets,DividendYear,ProfitFourSeason,CashDividendYieldRate,StockNetValue,ExchangeIndustry'</f>
        <v>-2.80</v>
      </c>
      <c r="L5" t="str">
        <v>-1.25</v>
      </c>
      <c r="M5" t="str">
        <v>-16.55</v>
      </c>
      <c r="N5" t="str">
        <v>-16.90</v>
      </c>
      <c r="O5" t="str">
        <v>-0.58</v>
      </c>
      <c r="P5">
        <v>0.5</v>
      </c>
      <c r="Q5" t="str">
        <v>-0.08</v>
      </c>
      <c r="R5">
        <v>1.97</v>
      </c>
      <c r="S5" t="str">
        <v>11.93</v>
      </c>
      <c r="T5" t="str">
        <v>上市通信網路</v>
      </c>
      <c r="U5">
        <f t="array" ref="U5:Z5">[1]!'3419.TW-PreTotalVolume,ChipsField25,ChipsField27,DateofMeetingofShareHolders,CompanyPos,TradingDate'</f>
        <v>10979</v>
      </c>
      <c r="V5" t="str">
        <v>2021/08/26</v>
      </c>
      <c r="W5" t="str">
        <v>--</v>
      </c>
      <c r="X5" t="str">
        <v>2021/07/30</v>
      </c>
      <c r="Y5" t="str">
        <v>全球最大的WiFi天線製造商</v>
      </c>
      <c r="Z5" t="str">
        <v>2021/12/17</v>
      </c>
    </row>
    <row r="6" spans="1:26" x14ac:dyDescent="0.3">
      <c r="A6" t="str">
        <f t="array" ref="A6:J6">[1]!'2345.TW-ID,Name,Price,PriceChangeRatio,Low,High,Volume,InOutRatioNumber,Capital,ProfitMargin'</f>
        <v>2345</v>
      </c>
      <c r="B6" t="str">
        <v>智邦</v>
      </c>
      <c r="C6">
        <v>257.5</v>
      </c>
      <c r="D6">
        <v>-6.53</v>
      </c>
      <c r="E6">
        <v>252.5</v>
      </c>
      <c r="F6">
        <v>270</v>
      </c>
      <c r="G6">
        <v>1168</v>
      </c>
      <c r="H6" t="str">
        <v>52.28%</v>
      </c>
      <c r="I6" t="str">
        <v>55.99</v>
      </c>
      <c r="J6" t="str">
        <v>18.46</v>
      </c>
      <c r="K6" t="str">
        <f t="array" ref="K6:T6">[1]!'2345.TW-OperatingProfitRatio,NetProfitMargin,TFXRatio,MonthlyNetSalesYoY,ReturnOnAssets,DividendYear,ProfitFourSeason,CashDividendYieldRate,StockNetValue,ExchangeIndustry'</f>
        <v>8.64</v>
      </c>
      <c r="L6" t="str">
        <v>7.49</v>
      </c>
      <c r="M6" t="str">
        <v>5.62</v>
      </c>
      <c r="N6" t="str">
        <v>7.28</v>
      </c>
      <c r="O6" t="str">
        <v>10.11</v>
      </c>
      <c r="P6">
        <v>6.5</v>
      </c>
      <c r="Q6" t="str">
        <v>8.15</v>
      </c>
      <c r="R6">
        <v>2.52</v>
      </c>
      <c r="S6" t="str">
        <v>25.06</v>
      </c>
      <c r="T6" t="str">
        <v>上市通信網路</v>
      </c>
      <c r="U6">
        <f t="array" ref="U6:Z6">[1]!'2345.TW-PreTotalVolume,ChipsField25,ChipsField27,DateofMeetingofShareHolders,CompanyPos,TradingDate'</f>
        <v>6870</v>
      </c>
      <c r="V6" t="str">
        <v>2021/08/09</v>
      </c>
      <c r="W6" t="str">
        <v>--</v>
      </c>
      <c r="X6" t="str">
        <v>2021/07/08</v>
      </c>
      <c r="Y6" t="str">
        <v>以網路交換器為主產品的網通設備代工大廠</v>
      </c>
      <c r="Z6" t="str">
        <v>2021/12/17</v>
      </c>
    </row>
    <row r="7" spans="1:26" x14ac:dyDescent="0.3">
      <c r="A7" t="str">
        <f t="array" ref="A7:J7">[1]!'5210.TW-ID,Name,Price,PriceChangeRatio,Low,High,Volume,InOutRatioNumber,Capital,ProfitMargin'</f>
        <v>5210</v>
      </c>
      <c r="B7" t="str">
        <v>寶碩</v>
      </c>
      <c r="C7">
        <v>17.100000000000001</v>
      </c>
      <c r="D7">
        <v>-3.39</v>
      </c>
      <c r="E7">
        <v>16.5</v>
      </c>
      <c r="F7">
        <v>17.55</v>
      </c>
      <c r="G7">
        <v>4</v>
      </c>
      <c r="H7" t="str">
        <v>42.57%</v>
      </c>
      <c r="I7" t="str">
        <v>6.22</v>
      </c>
      <c r="J7" t="str">
        <v>36.31</v>
      </c>
      <c r="K7" t="str">
        <f t="array" ref="K7:T7">[1]!'5210.TW-OperatingProfitRatio,NetProfitMargin,TFXRatio,MonthlyNetSalesYoY,ReturnOnAssets,DividendYear,ProfitFourSeason,CashDividendYieldRate,StockNetValue,ExchangeIndustry'</f>
        <v>-12.17</v>
      </c>
      <c r="L7" t="str">
        <v>-7.84</v>
      </c>
      <c r="M7" t="str">
        <v>8.82</v>
      </c>
      <c r="N7" t="str">
        <v>555.31</v>
      </c>
      <c r="O7" t="str">
        <v>-3.80</v>
      </c>
      <c r="P7">
        <v>0</v>
      </c>
      <c r="Q7" t="str">
        <v>-0.60</v>
      </c>
      <c r="R7">
        <v>0</v>
      </c>
      <c r="S7" t="str">
        <v>8.28</v>
      </c>
      <c r="T7" t="str">
        <v>上櫃資訊服務</v>
      </c>
      <c r="U7">
        <f t="array" ref="U7:Z7">[1]!'5210.TW-PreTotalVolume,ChipsField25,ChipsField27,DateofMeetingofShareHolders,CompanyPos,TradingDate'</f>
        <v>308</v>
      </c>
      <c r="V7" t="str">
        <v>--</v>
      </c>
      <c r="W7" t="str">
        <v>--</v>
      </c>
      <c r="X7" t="str">
        <v>2021/07/02</v>
      </c>
      <c r="Y7" t="str">
        <v>證券金融相關解決方案系統整合廠商</v>
      </c>
      <c r="Z7" t="str">
        <v>2021/12/17</v>
      </c>
    </row>
    <row r="8" spans="1:26" x14ac:dyDescent="0.3">
      <c r="A8" t="str">
        <f t="array" ref="A8:J8">[1]!'1721.TW-ID,Name,Price,PriceChangeRatio,Low,High,Volume,InOutRatioNumber,Capital,ProfitMargin'</f>
        <v>1721</v>
      </c>
      <c r="B8" t="str">
        <v>三晃</v>
      </c>
      <c r="C8">
        <v>24.7</v>
      </c>
      <c r="D8">
        <v>-3.7</v>
      </c>
      <c r="E8">
        <v>24.2</v>
      </c>
      <c r="F8">
        <v>26.15</v>
      </c>
      <c r="G8">
        <v>416</v>
      </c>
      <c r="H8" t="str">
        <v>40.71%</v>
      </c>
      <c r="I8" t="str">
        <v>18.90</v>
      </c>
      <c r="J8" t="str">
        <v>1.25</v>
      </c>
      <c r="K8" t="str">
        <f t="array" ref="K8:T8">[1]!'1721.TW-OperatingProfitRatio,NetProfitMargin,TFXRatio,MonthlyNetSalesYoY,ReturnOnAssets,DividendYear,ProfitFourSeason,CashDividendYieldRate,StockNetValue,ExchangeIndustry'</f>
        <v>-7.01</v>
      </c>
      <c r="L8" t="str">
        <v>-5.41</v>
      </c>
      <c r="M8" t="str">
        <v>13.55</v>
      </c>
      <c r="N8" t="str">
        <v>29.27</v>
      </c>
      <c r="O8" t="str">
        <v>-2.32</v>
      </c>
      <c r="P8">
        <v>0.5</v>
      </c>
      <c r="Q8" t="str">
        <v>-0.84</v>
      </c>
      <c r="R8">
        <v>2.02</v>
      </c>
      <c r="S8" t="str">
        <v>12.35</v>
      </c>
      <c r="T8" t="str">
        <v>上市化工</v>
      </c>
      <c r="U8">
        <f t="array" ref="U8:Z8">[1]!'1721.TW-PreTotalVolume,ChipsField25,ChipsField27,DateofMeetingofShareHolders,CompanyPos,TradingDate'</f>
        <v>10679</v>
      </c>
      <c r="V8" t="str">
        <v>2021/08/05</v>
      </c>
      <c r="W8" t="str">
        <v>--</v>
      </c>
      <c r="X8" t="str">
        <v>2021/07/20</v>
      </c>
      <c r="Y8" t="str">
        <v>油墨、表面處理劑、PU樹脂生產企業</v>
      </c>
      <c r="Z8" t="str">
        <v>2021/12/17</v>
      </c>
    </row>
    <row r="9" spans="1:26" x14ac:dyDescent="0.3">
      <c r="A9" t="str">
        <f t="array" ref="A9:J9">[1]!'4944.TW-ID,Name,Price,PriceChangeRatio,Low,High,Volume,InOutRatioNumber,Capital,ProfitMargin'</f>
        <v>4944</v>
      </c>
      <c r="B9" t="str">
        <v>兆遠</v>
      </c>
      <c r="C9">
        <v>26.8</v>
      </c>
      <c r="D9">
        <v>0.37</v>
      </c>
      <c r="E9">
        <v>26.1</v>
      </c>
      <c r="F9">
        <v>27.1</v>
      </c>
      <c r="G9">
        <v>6</v>
      </c>
      <c r="H9" t="str">
        <v>44.98%</v>
      </c>
      <c r="I9" t="str">
        <v>8.81</v>
      </c>
      <c r="J9" t="str">
        <v>-5.01</v>
      </c>
      <c r="K9" t="str">
        <f t="array" ref="K9:T9">[1]!'4944.TW-OperatingProfitRatio,NetProfitMargin,TFXRatio,MonthlyNetSalesYoY,ReturnOnAssets,DividendYear,ProfitFourSeason,CashDividendYieldRate,StockNetValue,ExchangeIndustry'</f>
        <v>-26.05</v>
      </c>
      <c r="L9" t="str">
        <v>-19.50</v>
      </c>
      <c r="M9" t="str">
        <v>0.92</v>
      </c>
      <c r="N9" t="str">
        <v>-5.58</v>
      </c>
      <c r="O9" t="str">
        <v>-4.79</v>
      </c>
      <c r="P9">
        <v>0</v>
      </c>
      <c r="Q9" t="str">
        <v>-1.79</v>
      </c>
      <c r="R9">
        <v>0</v>
      </c>
      <c r="S9" t="str">
        <v>4.60</v>
      </c>
      <c r="T9" t="str">
        <v>上櫃光電</v>
      </c>
      <c r="U9">
        <f t="array" ref="U9:Z9">[1]!'4944.TW-PreTotalVolume,ChipsField25,ChipsField27,DateofMeetingofShareHolders,CompanyPos,TradingDate'</f>
        <v>300</v>
      </c>
      <c r="V9" t="str">
        <v>--</v>
      </c>
      <c r="W9" t="str">
        <v>--</v>
      </c>
      <c r="X9" t="str">
        <v>2021/08/20</v>
      </c>
      <c r="Y9" t="str">
        <v>台灣LED藍寶石基板大廠</v>
      </c>
      <c r="Z9" t="str">
        <v>2021/12/17</v>
      </c>
    </row>
    <row r="10" spans="1:26" x14ac:dyDescent="0.3">
      <c r="A10" t="str">
        <f t="array" ref="A10:J10">[1]!'8121.TW-ID,Name,Price,PriceChangeRatio,Low,High,Volume,InOutRatioNumber,Capital,ProfitMargin'</f>
        <v>8121</v>
      </c>
      <c r="B10" t="str">
        <v>越峰</v>
      </c>
      <c r="C10">
        <v>50.6</v>
      </c>
      <c r="D10">
        <v>-2.69</v>
      </c>
      <c r="E10">
        <v>50</v>
      </c>
      <c r="F10">
        <v>51.1</v>
      </c>
      <c r="G10">
        <v>44</v>
      </c>
      <c r="H10" t="str">
        <v>36.68%</v>
      </c>
      <c r="I10" t="str">
        <v>18.30</v>
      </c>
      <c r="J10" t="str">
        <v>20.25</v>
      </c>
      <c r="K10" t="str">
        <f t="array" ref="K10:T10">[1]!'8121.TW-OperatingProfitRatio,NetProfitMargin,TFXRatio,MonthlyNetSalesYoY,ReturnOnAssets,DividendYear,ProfitFourSeason,CashDividendYieldRate,StockNetValue,ExchangeIndustry'</f>
        <v>5.28</v>
      </c>
      <c r="L10" t="str">
        <v>2.92</v>
      </c>
      <c r="M10" t="str">
        <v>10.48</v>
      </c>
      <c r="N10" t="str">
        <v>41.36</v>
      </c>
      <c r="O10" t="str">
        <v>1.99</v>
      </c>
      <c r="P10">
        <v>0</v>
      </c>
      <c r="Q10" t="str">
        <v>0.22</v>
      </c>
      <c r="R10">
        <v>0</v>
      </c>
      <c r="S10" t="str">
        <v>7.16</v>
      </c>
      <c r="T10" t="str">
        <v>上櫃電子零組件</v>
      </c>
      <c r="U10">
        <f t="array" ref="U10:Z10">[1]!'8121.TW-PreTotalVolume,ChipsField25,ChipsField27,DateofMeetingofShareHolders,CompanyPos,TradingDate'</f>
        <v>1625</v>
      </c>
      <c r="V10" t="str">
        <v>--</v>
      </c>
      <c r="W10" t="str">
        <v>--</v>
      </c>
      <c r="X10" t="str">
        <v>2021/07/27</v>
      </c>
      <c r="Y10" t="str">
        <v>台聚旗下、台灣最大錳鋅系列鐵芯等電感類製造廠</v>
      </c>
      <c r="Z10" t="str">
        <v>2021/12/17</v>
      </c>
    </row>
    <row r="11" spans="1:26" x14ac:dyDescent="0.3">
      <c r="A11" t="str">
        <f t="array" ref="A11:J11">[1]!'5356.TW-ID,Name,Price,PriceChangeRatio,Low,High,Volume,InOutRatioNumber,Capital,ProfitMargin'</f>
        <v>5356</v>
      </c>
      <c r="B11" t="str">
        <v>協益</v>
      </c>
      <c r="C11">
        <v>28.9</v>
      </c>
      <c r="D11">
        <v>0.17</v>
      </c>
      <c r="E11">
        <v>28.8</v>
      </c>
      <c r="F11">
        <v>29.6</v>
      </c>
      <c r="G11">
        <v>35</v>
      </c>
      <c r="H11" t="str">
        <v>45.59%</v>
      </c>
      <c r="I11" t="str">
        <v>10.30</v>
      </c>
      <c r="J11" t="str">
        <v>4.03</v>
      </c>
      <c r="K11" t="str">
        <f t="array" ref="K11:T11">[1]!'5356.TW-OperatingProfitRatio,NetProfitMargin,TFXRatio,MonthlyNetSalesYoY,ReturnOnAssets,DividendYear,ProfitFourSeason,CashDividendYieldRate,StockNetValue,ExchangeIndustry'</f>
        <v>-2.89</v>
      </c>
      <c r="L11" t="str">
        <v>-0.21</v>
      </c>
      <c r="M11" t="str">
        <v>5.93</v>
      </c>
      <c r="N11" t="str">
        <v>19.02</v>
      </c>
      <c r="O11" t="str">
        <v>-0.07</v>
      </c>
      <c r="P11">
        <v>2.2000000000000002</v>
      </c>
      <c r="Q11" t="str">
        <v>0.77</v>
      </c>
      <c r="R11">
        <v>7.61</v>
      </c>
      <c r="S11" t="str">
        <v>41.67</v>
      </c>
      <c r="T11" t="str">
        <v>上櫃電腦及週邊設備</v>
      </c>
      <c r="U11">
        <f t="array" ref="U11:Z11">[1]!'5356.TW-PreTotalVolume,ChipsField25,ChipsField27,DateofMeetingofShareHolders,CompanyPos,TradingDate'</f>
        <v>1612</v>
      </c>
      <c r="V11" t="str">
        <v>2021/07/07</v>
      </c>
      <c r="W11" t="str">
        <v>--</v>
      </c>
      <c r="X11" t="str">
        <v>2021/08/04</v>
      </c>
      <c r="Y11" t="str">
        <v>經營電子零組件與周邊業之廠商</v>
      </c>
      <c r="Z11" t="str">
        <v>2021/12/17</v>
      </c>
    </row>
    <row r="12" spans="1:26" x14ac:dyDescent="0.3">
      <c r="A12" t="str">
        <f t="array" ref="A12:J12">[1]!'2429.TW-ID,Name,Price,PriceChangeRatio,Low,High,Volume,InOutRatioNumber,Capital,ProfitMargin'</f>
        <v>2429</v>
      </c>
      <c r="B12" t="str">
        <v>銘旺科</v>
      </c>
      <c r="C12">
        <v>20.7</v>
      </c>
      <c r="D12">
        <v>-0.48</v>
      </c>
      <c r="E12">
        <v>19.5</v>
      </c>
      <c r="F12">
        <v>21</v>
      </c>
      <c r="G12">
        <v>1</v>
      </c>
      <c r="H12" t="str">
        <v>45.83%</v>
      </c>
      <c r="I12" t="str">
        <v>3.97</v>
      </c>
      <c r="J12" t="str">
        <v>13.84</v>
      </c>
      <c r="K12" t="str">
        <f t="array" ref="K12:T12">[1]!'2429.TW-OperatingProfitRatio,NetProfitMargin,TFXRatio,MonthlyNetSalesYoY,ReturnOnAssets,DividendYear,ProfitFourSeason,CashDividendYieldRate,StockNetValue,ExchangeIndustry'</f>
        <v>-1.61</v>
      </c>
      <c r="L12" t="str">
        <v>-1.16</v>
      </c>
      <c r="M12" t="str">
        <v>-12.28</v>
      </c>
      <c r="N12" t="str">
        <v>-47.54</v>
      </c>
      <c r="O12" t="str">
        <v>-0.26</v>
      </c>
      <c r="P12">
        <v>0</v>
      </c>
      <c r="Q12" t="str">
        <v>-0.03</v>
      </c>
      <c r="R12">
        <v>0</v>
      </c>
      <c r="S12" t="str">
        <v>6.88</v>
      </c>
      <c r="T12" t="str">
        <v>上市光電</v>
      </c>
      <c r="U12">
        <f t="array" ref="U12:Z12">[1]!'2429.TW-PreTotalVolume,ChipsField25,ChipsField27,DateofMeetingofShareHolders,CompanyPos,TradingDate'</f>
        <v>58</v>
      </c>
      <c r="V12" t="str">
        <v>--</v>
      </c>
      <c r="W12" t="str">
        <v>--</v>
      </c>
      <c r="X12" t="str">
        <v>2021/12/28</v>
      </c>
      <c r="Y12" t="str">
        <v>台灣PCB廠，跨足ITO玻璃基板業務</v>
      </c>
      <c r="Z12" t="str">
        <v>2021/12/17</v>
      </c>
    </row>
    <row r="13" spans="1:26" x14ac:dyDescent="0.3">
      <c r="A13" t="str">
        <f t="array" ref="A13:J13">[1]!'6654.TW-ID,Name,Price,PriceChangeRatio,Low,High,Volume,InOutRatioNumber,Capital,ProfitMargin'</f>
        <v>6654</v>
      </c>
      <c r="B13" t="str">
        <v>天正國際</v>
      </c>
      <c r="C13">
        <v>91.5</v>
      </c>
      <c r="D13">
        <v>-2.56</v>
      </c>
      <c r="E13">
        <v>90.8</v>
      </c>
      <c r="F13">
        <v>94</v>
      </c>
      <c r="G13">
        <v>21</v>
      </c>
      <c r="H13" t="str">
        <v>20.35%</v>
      </c>
      <c r="I13" t="str">
        <v>3.33</v>
      </c>
      <c r="J13" t="str">
        <v>35.60</v>
      </c>
      <c r="K13" t="str">
        <f t="array" ref="K13:T13">[1]!'6654.TW-OperatingProfitRatio,NetProfitMargin,TFXRatio,MonthlyNetSalesYoY,ReturnOnAssets,DividendYear,ProfitFourSeason,CashDividendYieldRate,StockNetValue,ExchangeIndustry'</f>
        <v>26.18</v>
      </c>
      <c r="L13" t="str">
        <v>20.34</v>
      </c>
      <c r="M13" t="str">
        <v>-0.86</v>
      </c>
      <c r="N13" t="str">
        <v>177.33</v>
      </c>
      <c r="O13" t="str">
        <v>10.39</v>
      </c>
      <c r="P13">
        <v>1.5</v>
      </c>
      <c r="Q13" t="str">
        <v>5.66</v>
      </c>
      <c r="R13">
        <v>1.64</v>
      </c>
      <c r="S13" t="str">
        <v>27.72</v>
      </c>
      <c r="T13" t="str">
        <v>上櫃其他電子</v>
      </c>
      <c r="U13">
        <f t="array" ref="U13:Z13">[1]!'6654.TW-PreTotalVolume,ChipsField25,ChipsField27,DateofMeetingofShareHolders,CompanyPos,TradingDate'</f>
        <v>329</v>
      </c>
      <c r="V13" t="str">
        <v>2021/06/07</v>
      </c>
      <c r="W13" t="str">
        <v>--</v>
      </c>
      <c r="X13" t="str">
        <v>2021/08/11</v>
      </c>
      <c r="Y13" t="str">
        <v>專業的被動元件後段自動化生產設備開發商</v>
      </c>
      <c r="Z13" t="str">
        <v>2021/12/17</v>
      </c>
    </row>
    <row r="14" spans="1:26" x14ac:dyDescent="0.3">
      <c r="A14" t="str">
        <f t="array" ref="A14:J14">[1]!'6788.TW-ID,Name,Price,PriceChangeRatio,Low,High,Volume,InOutRatioNumber,Capital,ProfitMargin'</f>
        <v>6788</v>
      </c>
      <c r="B14" t="str">
        <v>華景電</v>
      </c>
      <c r="C14">
        <v>195</v>
      </c>
      <c r="D14">
        <v>-2.99</v>
      </c>
      <c r="E14">
        <v>193</v>
      </c>
      <c r="F14">
        <v>200</v>
      </c>
      <c r="G14">
        <v>12</v>
      </c>
      <c r="H14" t="str">
        <v>30.94%</v>
      </c>
      <c r="I14" t="str">
        <v>3.47</v>
      </c>
      <c r="J14" t="str">
        <v>51.67</v>
      </c>
      <c r="K14" t="str">
        <f t="array" ref="K14:T14">[1]!'6788.TW-OperatingProfitRatio,NetProfitMargin,TFXRatio,MonthlyNetSalesYoY,ReturnOnAssets,DividendYear,ProfitFourSeason,CashDividendYieldRate,StockNetValue,ExchangeIndustry'</f>
        <v>26.02</v>
      </c>
      <c r="L14" t="str">
        <v>20.46</v>
      </c>
      <c r="M14" t="str">
        <v>10.42</v>
      </c>
      <c r="N14" t="str">
        <v>115.56</v>
      </c>
      <c r="O14" t="str">
        <v>11.02</v>
      </c>
      <c r="P14">
        <v>4</v>
      </c>
      <c r="Q14" t="str">
        <v>6.08</v>
      </c>
      <c r="R14">
        <v>2.0499999999999998</v>
      </c>
      <c r="S14" t="str">
        <v>37.89</v>
      </c>
      <c r="T14" t="str">
        <v>上櫃半導體</v>
      </c>
      <c r="U14">
        <f t="array" ref="U14:Z14">[1]!'6788.TW-PreTotalVolume,ChipsField25,ChipsField27,DateofMeetingofShareHolders,CompanyPos,TradingDate'</f>
        <v>184</v>
      </c>
      <c r="V14" t="str">
        <v>2021/08/04</v>
      </c>
      <c r="W14" t="str">
        <v>--</v>
      </c>
      <c r="X14" t="str">
        <v>2021/07/20</v>
      </c>
      <c r="Y14" t="str">
        <v>國內晶圓製程AMC防治設備龍頭</v>
      </c>
      <c r="Z14" t="str">
        <v>2021/12/17</v>
      </c>
    </row>
    <row r="15" spans="1:26" x14ac:dyDescent="0.3">
      <c r="A15" t="str">
        <f t="array" ref="A15:J15">[1]!'6560.TW-ID,Name,Price,PriceChangeRatio,Low,High,Volume,InOutRatioNumber,Capital,ProfitMargin'</f>
        <v>6560</v>
      </c>
      <c r="B15" t="str">
        <v>欣普羅</v>
      </c>
      <c r="C15">
        <v>75.8</v>
      </c>
      <c r="D15">
        <v>-0.13</v>
      </c>
      <c r="E15">
        <v>74.099999999999994</v>
      </c>
      <c r="F15">
        <v>76.2</v>
      </c>
      <c r="G15">
        <v>3</v>
      </c>
      <c r="H15" t="str">
        <v>56.14%</v>
      </c>
      <c r="I15" t="str">
        <v>2.07</v>
      </c>
      <c r="J15" t="str">
        <v>29.40</v>
      </c>
      <c r="K15" t="str">
        <f t="array" ref="K15:T15">[1]!'6560.TW-OperatingProfitRatio,NetProfitMargin,TFXRatio,MonthlyNetSalesYoY,ReturnOnAssets,DividendYear,ProfitFourSeason,CashDividendYieldRate,StockNetValue,ExchangeIndustry'</f>
        <v>20.19</v>
      </c>
      <c r="L15" t="str">
        <v>15.98</v>
      </c>
      <c r="M15" t="str">
        <v>-41.73</v>
      </c>
      <c r="N15" t="str">
        <v>-42.23</v>
      </c>
      <c r="O15" t="str">
        <v>21.58</v>
      </c>
      <c r="P15">
        <v>4.3499999999999996</v>
      </c>
      <c r="Q15" t="str">
        <v>11.50</v>
      </c>
      <c r="R15">
        <v>5.74</v>
      </c>
      <c r="S15" t="str">
        <v>25.42</v>
      </c>
      <c r="T15" t="str">
        <v>上櫃光電</v>
      </c>
      <c r="U15">
        <f t="array" ref="U15:Z15">[1]!'6560.TW-PreTotalVolume,ChipsField25,ChipsField27,DateofMeetingofShareHolders,CompanyPos,TradingDate'</f>
        <v>55</v>
      </c>
      <c r="V15" t="str">
        <v>2021/08/27</v>
      </c>
      <c r="W15" t="str">
        <v>2021/08/27</v>
      </c>
      <c r="X15" t="str">
        <v>2021/07/16</v>
      </c>
      <c r="Y15" t="str">
        <v>專業影像處理及軟硬體開發廠商</v>
      </c>
      <c r="Z15" t="str">
        <v>2021/12/17</v>
      </c>
    </row>
    <row r="16" spans="1:26" x14ac:dyDescent="0.3">
      <c r="A16" t="str">
        <f t="array" ref="A16:J16">[1]!'5309.TW-ID,Name,Price,PriceChangeRatio,Low,High,Volume,InOutRatioNumber,Capital,ProfitMargin'</f>
        <v>5309</v>
      </c>
      <c r="B16" t="str">
        <v>系統電</v>
      </c>
      <c r="C16">
        <v>40</v>
      </c>
      <c r="D16">
        <v>-2.91</v>
      </c>
      <c r="E16">
        <v>39.5</v>
      </c>
      <c r="F16">
        <v>41.35</v>
      </c>
      <c r="G16">
        <v>193</v>
      </c>
      <c r="H16" t="str">
        <v>30.82%</v>
      </c>
      <c r="I16" t="str">
        <v>15.53</v>
      </c>
      <c r="J16" t="str">
        <v>18.11</v>
      </c>
      <c r="K16" t="str">
        <f t="array" ref="K16:T16">[1]!'5309.TW-OperatingProfitRatio,NetProfitMargin,TFXRatio,MonthlyNetSalesYoY,ReturnOnAssets,DividendYear,ProfitFourSeason,CashDividendYieldRate,StockNetValue,ExchangeIndustry'</f>
        <v>2.36</v>
      </c>
      <c r="L16" t="str">
        <v>2.86</v>
      </c>
      <c r="M16" t="str">
        <v>12.73</v>
      </c>
      <c r="N16" t="str">
        <v>59.40</v>
      </c>
      <c r="O16" t="str">
        <v>2.24</v>
      </c>
      <c r="P16">
        <v>0</v>
      </c>
      <c r="Q16" t="str">
        <v>0.23</v>
      </c>
      <c r="R16">
        <v>0</v>
      </c>
      <c r="S16" t="str">
        <v>7.35</v>
      </c>
      <c r="T16" t="str">
        <v>上櫃電子零組件</v>
      </c>
      <c r="U16">
        <f t="array" ref="U16:Z16">[1]!'5309.TW-PreTotalVolume,ChipsField25,ChipsField27,DateofMeetingofShareHolders,CompanyPos,TradingDate'</f>
        <v>3958</v>
      </c>
      <c r="V16" t="str">
        <v>--</v>
      </c>
      <c r="W16" t="str">
        <v>--</v>
      </c>
      <c r="X16" t="str">
        <v>2021/07/30</v>
      </c>
      <c r="Y16" t="str">
        <v>電腦週邊及車用電子廠</v>
      </c>
      <c r="Z16" t="str">
        <v>2021/12/17</v>
      </c>
    </row>
    <row r="17" spans="1:26" x14ac:dyDescent="0.3">
      <c r="A17" t="str">
        <f t="array" ref="A17:J17">[1]!'4924.TW-ID,Name,Price,PriceChangeRatio,Low,High,Volume,InOutRatioNumber,Capital,ProfitMargin'</f>
        <v>4924</v>
      </c>
      <c r="B17" t="str">
        <v>欣厚-KY</v>
      </c>
      <c r="C17">
        <v>14.5</v>
      </c>
      <c r="D17">
        <v>-0.34</v>
      </c>
      <c r="E17">
        <v>14.5</v>
      </c>
      <c r="F17">
        <v>14.65</v>
      </c>
      <c r="G17">
        <v>1</v>
      </c>
      <c r="H17" t="str">
        <v>29.17%</v>
      </c>
      <c r="I17" t="str">
        <v>3.72</v>
      </c>
      <c r="J17" t="str">
        <v>28.65</v>
      </c>
      <c r="K17" t="str">
        <f t="array" ref="K17:T17">[1]!'4924.TW-OperatingProfitRatio,NetProfitMargin,TFXRatio,MonthlyNetSalesYoY,ReturnOnAssets,DividendYear,ProfitFourSeason,CashDividendYieldRate,StockNetValue,ExchangeIndustry'</f>
        <v>3.81</v>
      </c>
      <c r="L17" t="str">
        <v>5.62</v>
      </c>
      <c r="M17" t="str">
        <v>63.96</v>
      </c>
      <c r="N17" t="str">
        <v>76.64</v>
      </c>
      <c r="O17" t="str">
        <v>4.12</v>
      </c>
      <c r="P17">
        <v>0</v>
      </c>
      <c r="Q17" t="str">
        <v>0.69</v>
      </c>
      <c r="R17">
        <v>0</v>
      </c>
      <c r="S17" t="str">
        <v>8.92</v>
      </c>
      <c r="T17" t="str">
        <v>上櫃電腦及週邊設備</v>
      </c>
      <c r="U17">
        <f t="array" ref="U17:Z17">[1]!'4924.TW-PreTotalVolume,ChipsField25,ChipsField27,DateofMeetingofShareHolders,CompanyPos,TradingDate'</f>
        <v>40</v>
      </c>
      <c r="V17" t="str">
        <v>--</v>
      </c>
      <c r="W17" t="str">
        <v>--</v>
      </c>
      <c r="X17" t="str">
        <v>2021/08/31</v>
      </c>
      <c r="Y17" t="str">
        <v>首家來台掛牌的馬來西亞模具沖壓廠</v>
      </c>
      <c r="Z17" t="str">
        <v>2021/12/17</v>
      </c>
    </row>
    <row r="18" spans="1:26" x14ac:dyDescent="0.3">
      <c r="A18" t="str">
        <f t="array" ref="A18:J18">[1]!'2618.TW-ID,Name,Price,PriceChangeRatio,Low,High,Volume,InOutRatioNumber,Capital,ProfitMargin'</f>
        <v>2618</v>
      </c>
      <c r="B18" t="str">
        <v>長榮航</v>
      </c>
      <c r="C18">
        <v>26.4</v>
      </c>
      <c r="D18">
        <v>-1.49</v>
      </c>
      <c r="E18">
        <v>26.3</v>
      </c>
      <c r="F18">
        <v>27.35</v>
      </c>
      <c r="G18">
        <v>5690</v>
      </c>
      <c r="H18" t="str">
        <v>45.25%</v>
      </c>
      <c r="I18" t="str">
        <v>513.89</v>
      </c>
      <c r="J18" t="str">
        <v>11.18</v>
      </c>
      <c r="K18" t="str">
        <f t="array" ref="K18:T18">[1]!'2618.TW-OperatingProfitRatio,NetProfitMargin,TFXRatio,MonthlyNetSalesYoY,ReturnOnAssets,DividendYear,ProfitFourSeason,CashDividendYieldRate,StockNetValue,ExchangeIndustry'</f>
        <v>1.94</v>
      </c>
      <c r="L18" t="str">
        <v>-0.84</v>
      </c>
      <c r="M18" t="str">
        <v>10.63</v>
      </c>
      <c r="N18" t="str">
        <v>57.10</v>
      </c>
      <c r="O18" t="str">
        <v>0.56</v>
      </c>
      <c r="P18">
        <v>0</v>
      </c>
      <c r="Q18" t="str">
        <v>-0.06</v>
      </c>
      <c r="R18">
        <v>0</v>
      </c>
      <c r="S18" t="str">
        <v>14.67</v>
      </c>
      <c r="T18" t="str">
        <v>上市航運業</v>
      </c>
      <c r="U18">
        <f t="array" ref="U18:Z18">[1]!'2618.TW-PreTotalVolume,ChipsField25,ChipsField27,DateofMeetingofShareHolders,CompanyPos,TradingDate'</f>
        <v>138765</v>
      </c>
      <c r="V18" t="str">
        <v>--</v>
      </c>
      <c r="W18" t="str">
        <v>--</v>
      </c>
      <c r="X18" t="str">
        <v>2021/07/16</v>
      </c>
      <c r="Y18" t="str">
        <v>台灣第2大航空公司</v>
      </c>
      <c r="Z18" t="str">
        <v>2021/12/17</v>
      </c>
    </row>
    <row r="19" spans="1:26" x14ac:dyDescent="0.3">
      <c r="A19" t="str">
        <f t="array" ref="A19:J19">[1]!'2338.TW-ID,Name,Price,PriceChangeRatio,Low,High,Volume,InOutRatioNumber,Capital,ProfitMargin'</f>
        <v>2338</v>
      </c>
      <c r="B19" t="str">
        <v>光罩</v>
      </c>
      <c r="C19">
        <v>96.5</v>
      </c>
      <c r="D19">
        <v>-2.82</v>
      </c>
      <c r="E19">
        <v>96.5</v>
      </c>
      <c r="F19">
        <v>99</v>
      </c>
      <c r="G19">
        <v>910</v>
      </c>
      <c r="H19" t="str">
        <v>28.09%</v>
      </c>
      <c r="I19" t="str">
        <v>25.50</v>
      </c>
      <c r="J19" t="str">
        <v>22.77</v>
      </c>
      <c r="K19" t="str">
        <f t="array" ref="K19:T19">[1]!'2338.TW-OperatingProfitRatio,NetProfitMargin,TFXRatio,MonthlyNetSalesYoY,ReturnOnAssets,DividendYear,ProfitFourSeason,CashDividendYieldRate,StockNetValue,ExchangeIndustry'</f>
        <v>6.08</v>
      </c>
      <c r="L19" t="str">
        <v>16.27</v>
      </c>
      <c r="M19" t="str">
        <v>9.73</v>
      </c>
      <c r="N19" t="str">
        <v>33.02</v>
      </c>
      <c r="O19" t="str">
        <v>6.21</v>
      </c>
      <c r="P19">
        <v>1.5</v>
      </c>
      <c r="Q19" t="str">
        <v>6.82</v>
      </c>
      <c r="R19">
        <v>1.55</v>
      </c>
      <c r="S19" t="str">
        <v>23.10</v>
      </c>
      <c r="T19" t="str">
        <v>上市半導體</v>
      </c>
      <c r="U19">
        <f t="array" ref="U19:Z19">[1]!'2338.TW-PreTotalVolume,ChipsField25,ChipsField27,DateofMeetingofShareHolders,CompanyPos,TradingDate'</f>
        <v>13079</v>
      </c>
      <c r="V19" t="str">
        <v>2021/07/27</v>
      </c>
      <c r="W19" t="str">
        <v>--</v>
      </c>
      <c r="X19" t="str">
        <v>2021/07/05</v>
      </c>
      <c r="Y19" t="str">
        <v>台灣專業光罩廠商</v>
      </c>
      <c r="Z19" t="str">
        <v>2021/12/17</v>
      </c>
    </row>
    <row r="20" spans="1:26" x14ac:dyDescent="0.3">
      <c r="A20" t="str">
        <f t="array" ref="A20:J20">[1]!'6582.TW-ID,Name,Price,PriceChangeRatio,Low,High,Volume,InOutRatioNumber,Capital,ProfitMargin'</f>
        <v>6582</v>
      </c>
      <c r="B20" t="str">
        <v>申豐</v>
      </c>
      <c r="C20">
        <v>161</v>
      </c>
      <c r="D20">
        <v>1.26</v>
      </c>
      <c r="E20">
        <v>159</v>
      </c>
      <c r="F20">
        <v>162.5</v>
      </c>
      <c r="G20">
        <v>25</v>
      </c>
      <c r="H20" t="str">
        <v>39.84%</v>
      </c>
      <c r="I20" t="str">
        <v>10.62</v>
      </c>
      <c r="J20" t="str">
        <v>62.18</v>
      </c>
      <c r="K20" t="str">
        <f t="array" ref="K20:T20">[1]!'6582.TW-OperatingProfitRatio,NetProfitMargin,TFXRatio,MonthlyNetSalesYoY,ReturnOnAssets,DividendYear,ProfitFourSeason,CashDividendYieldRate,StockNetValue,ExchangeIndustry'</f>
        <v>55.97</v>
      </c>
      <c r="L20" t="str">
        <v>44.47</v>
      </c>
      <c r="M20" t="str">
        <v>-75.22</v>
      </c>
      <c r="N20" t="str">
        <v>-78.21</v>
      </c>
      <c r="O20" t="str">
        <v>44.48</v>
      </c>
      <c r="P20">
        <v>10</v>
      </c>
      <c r="Q20" t="str">
        <v>38.15</v>
      </c>
      <c r="R20">
        <v>6.21</v>
      </c>
      <c r="S20" t="str">
        <v>66.55</v>
      </c>
      <c r="T20" t="str">
        <v>上市橡膠</v>
      </c>
      <c r="U20">
        <f t="array" ref="U20:Z20">[1]!'6582.TW-PreTotalVolume,ChipsField25,ChipsField27,DateofMeetingofShareHolders,CompanyPos,TradingDate'</f>
        <v>136</v>
      </c>
      <c r="V20" t="str">
        <v>2021/08/12</v>
      </c>
      <c r="W20" t="str">
        <v>--</v>
      </c>
      <c r="X20" t="str">
        <v>2021/07/20</v>
      </c>
      <c r="Y20" t="str">
        <v>永豐餘旗下合成乳膠廠，全球前7大NBR乳膠廠</v>
      </c>
      <c r="Z20" t="str">
        <v>2021/12/17</v>
      </c>
    </row>
    <row r="21" spans="1:26" x14ac:dyDescent="0.3">
      <c r="A21" t="str">
        <f t="array" ref="A21:J21">[1]!'3224.TW-ID,Name,Price,PriceChangeRatio,Low,High,Volume,InOutRatioNumber,Capital,ProfitMargin'</f>
        <v>3224</v>
      </c>
      <c r="B21" t="str">
        <v>三顧</v>
      </c>
      <c r="C21">
        <v>60.1</v>
      </c>
      <c r="D21">
        <v>-1.96</v>
      </c>
      <c r="E21">
        <v>58.5</v>
      </c>
      <c r="F21">
        <v>62.1</v>
      </c>
      <c r="G21">
        <v>20</v>
      </c>
      <c r="H21" t="str">
        <v>29.54%</v>
      </c>
      <c r="I21" t="str">
        <v>6.80</v>
      </c>
      <c r="J21" t="str">
        <v>13.39</v>
      </c>
      <c r="K21" t="str">
        <f t="array" ref="K21:T21">[1]!'3224.TW-OperatingProfitRatio,NetProfitMargin,TFXRatio,MonthlyNetSalesYoY,ReturnOnAssets,DividendYear,ProfitFourSeason,CashDividendYieldRate,StockNetValue,ExchangeIndustry'</f>
        <v>-2.37</v>
      </c>
      <c r="L21" t="str">
        <v>-3.30</v>
      </c>
      <c r="M21" t="str">
        <v>19.98</v>
      </c>
      <c r="N21" t="str">
        <v>123.99</v>
      </c>
      <c r="O21" t="str">
        <v>-1.44</v>
      </c>
      <c r="P21">
        <v>0</v>
      </c>
      <c r="Q21" t="str">
        <v>-0.96</v>
      </c>
      <c r="R21">
        <v>0</v>
      </c>
      <c r="S21" t="str">
        <v>18.75</v>
      </c>
      <c r="T21" t="str">
        <v>上櫃電子通路</v>
      </c>
      <c r="U21">
        <f t="array" ref="U21:Z21">[1]!'3224.TW-PreTotalVolume,ChipsField25,ChipsField27,DateofMeetingofShareHolders,CompanyPos,TradingDate'</f>
        <v>321</v>
      </c>
      <c r="V21" t="str">
        <v>--</v>
      </c>
      <c r="W21" t="str">
        <v>--</v>
      </c>
      <c r="X21" t="str">
        <v>2021/07/20</v>
      </c>
      <c r="Y21" t="str">
        <v>台灣電子材料批發銷售廠商並切入醫療美容產品服務</v>
      </c>
      <c r="Z21" t="str">
        <v>2021/12/17</v>
      </c>
    </row>
    <row r="22" spans="1:26" x14ac:dyDescent="0.3">
      <c r="A22" t="str">
        <f t="array" ref="A22:J22">[1]!'9802.TW-ID,Name,Price,PriceChangeRatio,Low,High,Volume,InOutRatioNumber,Capital,ProfitMargin'</f>
        <v>9802</v>
      </c>
      <c r="B22" t="str">
        <v>鈺齊-KY</v>
      </c>
      <c r="C22">
        <v>92.3</v>
      </c>
      <c r="D22">
        <v>-2.74</v>
      </c>
      <c r="E22">
        <v>92</v>
      </c>
      <c r="F22">
        <v>94.9</v>
      </c>
      <c r="G22">
        <v>30</v>
      </c>
      <c r="H22" t="str">
        <v>15.79%</v>
      </c>
      <c r="I22" t="str">
        <v>18.62</v>
      </c>
      <c r="J22" t="str">
        <v>17.58</v>
      </c>
      <c r="K22" t="str">
        <f t="array" ref="K22:T22">[1]!'9802.TW-OperatingProfitRatio,NetProfitMargin,TFXRatio,MonthlyNetSalesYoY,ReturnOnAssets,DividendYear,ProfitFourSeason,CashDividendYieldRate,StockNetValue,ExchangeIndustry'</f>
        <v>8.62</v>
      </c>
      <c r="L22" t="str">
        <v>7.21</v>
      </c>
      <c r="M22" t="str">
        <v>-6.09</v>
      </c>
      <c r="N22" t="str">
        <v>54.66</v>
      </c>
      <c r="O22" t="str">
        <v>5.29</v>
      </c>
      <c r="P22">
        <v>3.8</v>
      </c>
      <c r="Q22" t="str">
        <v>5.36</v>
      </c>
      <c r="R22">
        <v>4.12</v>
      </c>
      <c r="S22" t="str">
        <v>47.73</v>
      </c>
      <c r="T22" t="str">
        <v>上市其他</v>
      </c>
      <c r="U22">
        <f t="array" ref="U22:Z22">[1]!'9802.TW-PreTotalVolume,ChipsField25,ChipsField27,DateofMeetingofShareHolders,CompanyPos,TradingDate'</f>
        <v>1193</v>
      </c>
      <c r="V22" t="str">
        <v>2021/10/12</v>
      </c>
      <c r="W22" t="str">
        <v>--</v>
      </c>
      <c r="X22" t="str">
        <v>2021/08/27</v>
      </c>
      <c r="Y22" t="str">
        <v>主要從事各種功能鞋款代工研發的廠商</v>
      </c>
      <c r="Z22" t="str">
        <v>2021/12/17</v>
      </c>
    </row>
    <row r="23" spans="1:26" x14ac:dyDescent="0.3">
      <c r="A23" t="str">
        <f t="array" ref="A23:J23">[1]!'6217.TW-ID,Name,Price,PriceChangeRatio,Low,High,Volume,InOutRatioNumber,Capital,ProfitMargin'</f>
        <v>6217</v>
      </c>
      <c r="B23" t="str">
        <v>中探針</v>
      </c>
      <c r="C23">
        <v>50.6</v>
      </c>
      <c r="D23">
        <v>-2.88</v>
      </c>
      <c r="E23">
        <v>50.2</v>
      </c>
      <c r="F23">
        <v>52.3</v>
      </c>
      <c r="G23">
        <v>83</v>
      </c>
      <c r="H23" t="str">
        <v>30.28%</v>
      </c>
      <c r="I23" t="str">
        <v>6.65</v>
      </c>
      <c r="J23" t="str">
        <v>31.37</v>
      </c>
      <c r="K23" t="str">
        <f t="array" ref="K23:T23">[1]!'6217.TW-OperatingProfitRatio,NetProfitMargin,TFXRatio,MonthlyNetSalesYoY,ReturnOnAssets,DividendYear,ProfitFourSeason,CashDividendYieldRate,StockNetValue,ExchangeIndustry'</f>
        <v>6.33</v>
      </c>
      <c r="L23" t="str">
        <v>4.70</v>
      </c>
      <c r="M23" t="str">
        <v>11.03</v>
      </c>
      <c r="N23" t="str">
        <v>14.55</v>
      </c>
      <c r="O23" t="str">
        <v>3.27</v>
      </c>
      <c r="P23">
        <v>1.05</v>
      </c>
      <c r="Q23" t="str">
        <v>2.46</v>
      </c>
      <c r="R23">
        <v>2.08</v>
      </c>
      <c r="S23" t="str">
        <v>24.87</v>
      </c>
      <c r="T23" t="str">
        <v>上櫃電子零組件</v>
      </c>
      <c r="U23">
        <f t="array" ref="U23:Z23">[1]!'6217.TW-PreTotalVolume,ChipsField25,ChipsField27,DateofMeetingofShareHolders,CompanyPos,TradingDate'</f>
        <v>1359</v>
      </c>
      <c r="V23" t="str">
        <v>2021/07/30</v>
      </c>
      <c r="W23" t="str">
        <v>--</v>
      </c>
      <c r="X23" t="str">
        <v>2021/07/01</v>
      </c>
      <c r="Y23" t="str">
        <v>台灣第一家探針及探針式連接器製造廠</v>
      </c>
      <c r="Z23" t="str">
        <v>2021/12/17</v>
      </c>
    </row>
    <row r="24" spans="1:26" x14ac:dyDescent="0.3">
      <c r="A24" t="str">
        <f t="array" ref="A24:J24">[1]!'3580.TW-ID,Name,Price,PriceChangeRatio,Low,High,Volume,InOutRatioNumber,Capital,ProfitMargin'</f>
        <v>3580</v>
      </c>
      <c r="B24" t="str">
        <v>友威科</v>
      </c>
      <c r="C24">
        <v>56.1</v>
      </c>
      <c r="D24">
        <v>-1.06</v>
      </c>
      <c r="E24">
        <v>55.8</v>
      </c>
      <c r="F24">
        <v>57.3</v>
      </c>
      <c r="G24">
        <v>7</v>
      </c>
      <c r="H24" t="str">
        <v>41.88%</v>
      </c>
      <c r="I24" t="str">
        <v>3.95</v>
      </c>
      <c r="J24" t="str">
        <v>38.40</v>
      </c>
      <c r="K24" t="str">
        <f t="array" ref="K24:T24">[1]!'3580.TW-OperatingProfitRatio,NetProfitMargin,TFXRatio,MonthlyNetSalesYoY,ReturnOnAssets,DividendYear,ProfitFourSeason,CashDividendYieldRate,StockNetValue,ExchangeIndustry'</f>
        <v>18.27</v>
      </c>
      <c r="L24" t="str">
        <v>13.78</v>
      </c>
      <c r="M24" t="str">
        <v>53.75</v>
      </c>
      <c r="N24" t="str">
        <v>69.88</v>
      </c>
      <c r="O24" t="str">
        <v>5.96</v>
      </c>
      <c r="P24">
        <v>1.3</v>
      </c>
      <c r="Q24" t="str">
        <v>2.18</v>
      </c>
      <c r="R24">
        <v>2.3199999999999998</v>
      </c>
      <c r="S24" t="str">
        <v>18.70</v>
      </c>
      <c r="T24" t="str">
        <v>上櫃其他電子</v>
      </c>
      <c r="U24">
        <f t="array" ref="U24:Z24">[1]!'3580.TW-PreTotalVolume,ChipsField25,ChipsField27,DateofMeetingofShareHolders,CompanyPos,TradingDate'</f>
        <v>178</v>
      </c>
      <c r="V24" t="str">
        <v>2021/09/23</v>
      </c>
      <c r="W24" t="str">
        <v>--</v>
      </c>
      <c r="X24" t="str">
        <v>2021/08/25</v>
      </c>
      <c r="Y24" t="str">
        <v>台灣真空設備與真空濺鍍供應商</v>
      </c>
      <c r="Z24" t="str">
        <v>2021/12/17</v>
      </c>
    </row>
    <row r="25" spans="1:26" x14ac:dyDescent="0.3">
      <c r="A25" t="str">
        <f t="array" ref="A25:J25">[1]!'3508.TW-ID,Name,Price,PriceChangeRatio,Low,High,Volume,InOutRatioNumber,Capital,ProfitMargin'</f>
        <v>3508</v>
      </c>
      <c r="B25" t="str">
        <v>位速</v>
      </c>
      <c r="C25">
        <v>63.2</v>
      </c>
      <c r="D25">
        <v>-8.5399999999999991</v>
      </c>
      <c r="E25">
        <v>62.2</v>
      </c>
      <c r="F25">
        <v>65.5</v>
      </c>
      <c r="G25">
        <v>119</v>
      </c>
      <c r="H25" t="str">
        <v>43.93%</v>
      </c>
      <c r="I25" t="str">
        <v>10.21</v>
      </c>
      <c r="J25" t="str">
        <v>9.15</v>
      </c>
      <c r="K25" t="str">
        <f t="array" ref="K25:T25">[1]!'3508.TW-OperatingProfitRatio,NetProfitMargin,TFXRatio,MonthlyNetSalesYoY,ReturnOnAssets,DividendYear,ProfitFourSeason,CashDividendYieldRate,StockNetValue,ExchangeIndustry'</f>
        <v>-17.08</v>
      </c>
      <c r="L25" t="str">
        <v>-13.63</v>
      </c>
      <c r="M25" t="str">
        <v>15.73</v>
      </c>
      <c r="N25" t="str">
        <v>45.83</v>
      </c>
      <c r="O25" t="str">
        <v>-3.63</v>
      </c>
      <c r="P25">
        <v>0</v>
      </c>
      <c r="Q25" t="str">
        <v>-1.71</v>
      </c>
      <c r="R25">
        <v>0</v>
      </c>
      <c r="S25" t="str">
        <v>10.52</v>
      </c>
      <c r="T25" t="str">
        <v>上櫃其他電子</v>
      </c>
      <c r="U25">
        <f t="array" ref="U25:Z25">[1]!'3508.TW-PreTotalVolume,ChipsField25,ChipsField27,DateofMeetingofShareHolders,CompanyPos,TradingDate'</f>
        <v>50385</v>
      </c>
      <c r="V25" t="str">
        <v>--</v>
      </c>
      <c r="W25" t="str">
        <v>--</v>
      </c>
      <c r="X25" t="str">
        <v>2021/07/09</v>
      </c>
      <c r="Y25" t="str">
        <v>手機外殼電鍍、濺鍍與塗裝之表面處理專業廠</v>
      </c>
      <c r="Z25" t="str">
        <v>2021/12/17</v>
      </c>
    </row>
    <row r="26" spans="1:26" x14ac:dyDescent="0.3">
      <c r="A26" t="str">
        <f t="array" ref="A26:J26">[1]!'2424.TW-ID,Name,Price,PriceChangeRatio,Low,High,Volume,InOutRatioNumber,Capital,ProfitMargin'</f>
        <v>2424</v>
      </c>
      <c r="B26" t="str">
        <v>隴華</v>
      </c>
      <c r="C26">
        <v>19.850000000000001</v>
      </c>
      <c r="D26">
        <v>-0.25</v>
      </c>
      <c r="E26">
        <v>19.7</v>
      </c>
      <c r="F26">
        <v>19.850000000000001</v>
      </c>
      <c r="G26">
        <v>1</v>
      </c>
      <c r="H26" t="str">
        <v>50.00%</v>
      </c>
      <c r="I26" t="str">
        <v>3.80</v>
      </c>
      <c r="J26" t="str">
        <v>-602.69</v>
      </c>
      <c r="K26" t="str">
        <f t="array" ref="K26:T26">[1]!'2424.TW-OperatingProfitRatio,NetProfitMargin,TFXRatio,MonthlyNetSalesYoY,ReturnOnAssets,DividendYear,ProfitFourSeason,CashDividendYieldRate,StockNetValue,ExchangeIndustry'</f>
        <v>-1050.41</v>
      </c>
      <c r="L26" t="str">
        <v>-1105.94</v>
      </c>
      <c r="M26" t="str">
        <v>77.21</v>
      </c>
      <c r="N26" t="str">
        <v>-25.41</v>
      </c>
      <c r="O26" t="str">
        <v>-29.00</v>
      </c>
      <c r="P26">
        <v>0</v>
      </c>
      <c r="Q26" t="str">
        <v>-7.91</v>
      </c>
      <c r="R26">
        <v>0</v>
      </c>
      <c r="S26" t="str">
        <v>7.11</v>
      </c>
      <c r="T26" t="str">
        <v>上市電腦及週邊設備</v>
      </c>
      <c r="U26">
        <f t="array" ref="U26:Z26">[1]!'2424.TW-PreTotalVolume,ChipsField25,ChipsField27,DateofMeetingofShareHolders,CompanyPos,TradingDate'</f>
        <v>24</v>
      </c>
      <c r="V26" t="str">
        <v>--</v>
      </c>
      <c r="W26" t="str">
        <v>--</v>
      </c>
      <c r="X26" t="str">
        <v>2021/07/29</v>
      </c>
      <c r="Y26" t="str">
        <v>轉型從事海事寬頻服務</v>
      </c>
      <c r="Z26" t="str">
        <v>2021/12/17</v>
      </c>
    </row>
    <row r="27" spans="1:26" x14ac:dyDescent="0.3">
      <c r="A27" t="str">
        <f t="array" ref="A27:J27">[1]!'6411.TW-ID,Name,Price,PriceChangeRatio,Low,High,Volume,InOutRatioNumber,Capital,ProfitMargin'</f>
        <v>6411</v>
      </c>
      <c r="B27" t="str">
        <v>晶焱</v>
      </c>
      <c r="C27">
        <v>244.5</v>
      </c>
      <c r="D27">
        <v>-0.61</v>
      </c>
      <c r="E27">
        <v>242</v>
      </c>
      <c r="F27">
        <v>253.5</v>
      </c>
      <c r="G27">
        <v>669</v>
      </c>
      <c r="H27" t="str">
        <v>38.19%</v>
      </c>
      <c r="I27" t="str">
        <v>9.15</v>
      </c>
      <c r="J27" t="str">
        <v>44.03</v>
      </c>
      <c r="K27" t="str">
        <f t="array" ref="K27:T27">[1]!'6411.TW-OperatingProfitRatio,NetProfitMargin,TFXRatio,MonthlyNetSalesYoY,ReturnOnAssets,DividendYear,ProfitFourSeason,CashDividendYieldRate,StockNetValue,ExchangeIndustry'</f>
        <v>24.43</v>
      </c>
      <c r="L27" t="str">
        <v>19.95</v>
      </c>
      <c r="M27" t="str">
        <v>-14.50</v>
      </c>
      <c r="N27" t="str">
        <v>16.89</v>
      </c>
      <c r="O27" t="str">
        <v>11.68</v>
      </c>
      <c r="P27">
        <v>5.03</v>
      </c>
      <c r="Q27" t="str">
        <v>8.82</v>
      </c>
      <c r="R27">
        <v>2.06</v>
      </c>
      <c r="S27" t="str">
        <v>40.72</v>
      </c>
      <c r="T27" t="str">
        <v>上櫃半導體</v>
      </c>
      <c r="U27">
        <f t="array" ref="U27:Z27">[1]!'6411.TW-PreTotalVolume,ChipsField25,ChipsField27,DateofMeetingofShareHolders,CompanyPos,TradingDate'</f>
        <v>12001</v>
      </c>
      <c r="V27" t="str">
        <v>2021/08/02</v>
      </c>
      <c r="W27" t="str">
        <v>--</v>
      </c>
      <c r="X27" t="str">
        <v>2021/07/12</v>
      </c>
      <c r="Y27" t="str">
        <v>台灣首家靜電放電防護IC設計公司</v>
      </c>
      <c r="Z27" t="str">
        <v>2021/12/17</v>
      </c>
    </row>
    <row r="28" spans="1:26" x14ac:dyDescent="0.3">
      <c r="A28" t="str">
        <f t="array" ref="A28:J28">[1]!'6667.TW-ID,Name,Price,PriceChangeRatio,Low,High,Volume,InOutRatioNumber,Capital,ProfitMargin'</f>
        <v>6667</v>
      </c>
      <c r="B28" t="str">
        <v>信紘科</v>
      </c>
      <c r="C28">
        <v>73.3</v>
      </c>
      <c r="D28">
        <v>-2.91</v>
      </c>
      <c r="E28">
        <v>72.8</v>
      </c>
      <c r="F28">
        <v>75.8</v>
      </c>
      <c r="G28">
        <v>8</v>
      </c>
      <c r="H28" t="str">
        <v>22.73%</v>
      </c>
      <c r="I28" t="str">
        <v>3.98</v>
      </c>
      <c r="J28" t="str">
        <v>21.22</v>
      </c>
      <c r="K28" t="str">
        <f t="array" ref="K28:T28">[1]!'6667.TW-OperatingProfitRatio,NetProfitMargin,TFXRatio,MonthlyNetSalesYoY,ReturnOnAssets,DividendYear,ProfitFourSeason,CashDividendYieldRate,StockNetValue,ExchangeIndustry'</f>
        <v>8.43</v>
      </c>
      <c r="L28" t="str">
        <v>7.16</v>
      </c>
      <c r="M28" t="str">
        <v>-7.90</v>
      </c>
      <c r="N28" t="str">
        <v>67.01</v>
      </c>
      <c r="O28" t="str">
        <v>4.78</v>
      </c>
      <c r="P28">
        <v>1.66</v>
      </c>
      <c r="Q28" t="str">
        <v>2.24</v>
      </c>
      <c r="R28">
        <v>2.2599999999999998</v>
      </c>
      <c r="S28" t="str">
        <v>25.02</v>
      </c>
      <c r="T28" t="str">
        <v>上櫃其他電子</v>
      </c>
      <c r="U28">
        <f t="array" ref="U28:Z28">[1]!'6667.TW-PreTotalVolume,ChipsField25,ChipsField27,DateofMeetingofShareHolders,CompanyPos,TradingDate'</f>
        <v>90</v>
      </c>
      <c r="V28" t="str">
        <v>2021/07/26</v>
      </c>
      <c r="W28" t="str">
        <v>--</v>
      </c>
      <c r="X28" t="str">
        <v>2021/07/06</v>
      </c>
      <c r="Y28" t="str">
        <v>高科技廠務工程及製程設備領域之專業廠商</v>
      </c>
      <c r="Z28" t="str">
        <v>2021/12/17</v>
      </c>
    </row>
    <row r="29" spans="1:26" x14ac:dyDescent="0.3">
      <c r="A29" t="str">
        <f t="array" ref="A29:J29">[1]!'2610.TW-ID,Name,Price,PriceChangeRatio,Low,High,Volume,InOutRatioNumber,Capital,ProfitMargin'</f>
        <v>2610</v>
      </c>
      <c r="B29" t="str">
        <v>華航</v>
      </c>
      <c r="C29">
        <v>26.2</v>
      </c>
      <c r="D29">
        <v>-1.87</v>
      </c>
      <c r="E29">
        <v>26.15</v>
      </c>
      <c r="F29">
        <v>27.2</v>
      </c>
      <c r="G29">
        <v>11759</v>
      </c>
      <c r="H29" t="str">
        <v>38.70%</v>
      </c>
      <c r="I29" t="str">
        <v>592.23</v>
      </c>
      <c r="J29" t="str">
        <v>10.98</v>
      </c>
      <c r="K29" t="str">
        <f t="array" ref="K29:T29">[1]!'2610.TW-OperatingProfitRatio,NetProfitMargin,TFXRatio,MonthlyNetSalesYoY,ReturnOnAssets,DividendYear,ProfitFourSeason,CashDividendYieldRate,StockNetValue,ExchangeIndustry'</f>
        <v>5.15</v>
      </c>
      <c r="L29" t="str">
        <v>1.20</v>
      </c>
      <c r="M29" t="str">
        <v>2.83</v>
      </c>
      <c r="N29" t="str">
        <v>52.85</v>
      </c>
      <c r="O29" t="str">
        <v>0.92</v>
      </c>
      <c r="P29">
        <v>0</v>
      </c>
      <c r="Q29" t="str">
        <v>0.68</v>
      </c>
      <c r="R29">
        <v>0</v>
      </c>
      <c r="S29" t="str">
        <v>11.03</v>
      </c>
      <c r="T29" t="str">
        <v>上市航運業</v>
      </c>
      <c r="U29">
        <f t="array" ref="U29:Z29">[1]!'2610.TW-PreTotalVolume,ChipsField25,ChipsField27,DateofMeetingofShareHolders,CompanyPos,TradingDate'</f>
        <v>221977</v>
      </c>
      <c r="V29" t="str">
        <v>--</v>
      </c>
      <c r="W29" t="str">
        <v>--</v>
      </c>
      <c r="X29" t="str">
        <v>2021/08/12</v>
      </c>
      <c r="Y29" t="str">
        <v>台灣最大航空公司</v>
      </c>
      <c r="Z29" t="str">
        <v>2021/12/17</v>
      </c>
    </row>
    <row r="30" spans="1:26" x14ac:dyDescent="0.3">
      <c r="A30" t="str">
        <f t="array" ref="A30:J30">[1]!'2476.TW-ID,Name,Price,PriceChangeRatio,Low,High,Volume,InOutRatioNumber,Capital,ProfitMargin'</f>
        <v>2476</v>
      </c>
      <c r="B30" t="str">
        <v>鉅祥</v>
      </c>
      <c r="C30">
        <v>60</v>
      </c>
      <c r="D30">
        <v>-1.64</v>
      </c>
      <c r="E30">
        <v>59.6</v>
      </c>
      <c r="F30">
        <v>61</v>
      </c>
      <c r="G30">
        <v>308</v>
      </c>
      <c r="H30" t="str">
        <v>28.75%</v>
      </c>
      <c r="I30" t="str">
        <v>18.78</v>
      </c>
      <c r="J30" t="str">
        <v>29.73</v>
      </c>
      <c r="K30" t="str">
        <f t="array" ref="K30:T30">[1]!'2476.TW-OperatingProfitRatio,NetProfitMargin,TFXRatio,MonthlyNetSalesYoY,ReturnOnAssets,DividendYear,ProfitFourSeason,CashDividendYieldRate,StockNetValue,ExchangeIndustry'</f>
        <v>16.17</v>
      </c>
      <c r="L30" t="str">
        <v>12.66</v>
      </c>
      <c r="M30" t="str">
        <v>3.05</v>
      </c>
      <c r="N30" t="str">
        <v>19.40</v>
      </c>
      <c r="O30" t="str">
        <v>7.18</v>
      </c>
      <c r="P30">
        <v>1.2</v>
      </c>
      <c r="Q30" t="str">
        <v>3.45</v>
      </c>
      <c r="R30">
        <v>2</v>
      </c>
      <c r="S30" t="str">
        <v>26.42</v>
      </c>
      <c r="T30" t="str">
        <v>上市電子零組件</v>
      </c>
      <c r="U30">
        <f t="array" ref="U30:Z30">[1]!'2476.TW-PreTotalVolume,ChipsField25,ChipsField27,DateofMeetingofShareHolders,CompanyPos,TradingDate'</f>
        <v>2007</v>
      </c>
      <c r="V30" t="str">
        <v>2021/08/03</v>
      </c>
      <c r="W30" t="str">
        <v>--</v>
      </c>
      <c r="X30" t="str">
        <v>2021/07/16</v>
      </c>
      <c r="Y30" t="str">
        <v>台灣第一大金屬沖壓件廠商</v>
      </c>
      <c r="Z30" t="str">
        <v>2021/12/17</v>
      </c>
    </row>
    <row r="31" spans="1:26" x14ac:dyDescent="0.3">
      <c r="A31" t="str">
        <f t="array" ref="A31:J31">[1]!'5468.TW-ID,Name,Price,PriceChangeRatio,Low,High,Volume,InOutRatioNumber,Capital,ProfitMargin'</f>
        <v>5468</v>
      </c>
      <c r="B31" t="str">
        <v>凱鈺</v>
      </c>
      <c r="C31">
        <v>21.2</v>
      </c>
      <c r="D31">
        <v>-7.83</v>
      </c>
      <c r="E31">
        <v>21</v>
      </c>
      <c r="F31">
        <v>22.6</v>
      </c>
      <c r="G31">
        <v>2</v>
      </c>
      <c r="H31" t="str">
        <v>21.21%</v>
      </c>
      <c r="I31" t="str">
        <v>2.78</v>
      </c>
      <c r="J31" t="str">
        <v>40.47</v>
      </c>
      <c r="K31" t="str">
        <f t="array" ref="K31:T31">[1]!'5468.TW-OperatingProfitRatio,NetProfitMargin,TFXRatio,MonthlyNetSalesYoY,ReturnOnAssets,DividendYear,ProfitFourSeason,CashDividendYieldRate,StockNetValue,ExchangeIndustry'</f>
        <v>5.64</v>
      </c>
      <c r="L31" t="str">
        <v>2.55</v>
      </c>
      <c r="M31" t="str">
        <v>4.77</v>
      </c>
      <c r="N31" t="str">
        <v>4.22</v>
      </c>
      <c r="O31" t="str">
        <v>1.22</v>
      </c>
      <c r="P31">
        <v>0</v>
      </c>
      <c r="Q31" t="str">
        <v>-0.32</v>
      </c>
      <c r="R31">
        <v>0</v>
      </c>
      <c r="S31" t="str">
        <v>6.88</v>
      </c>
      <c r="T31" t="str">
        <v>上櫃半導體</v>
      </c>
      <c r="U31">
        <f t="array" ref="U31:Z31">[1]!'5468.TW-PreTotalVolume,ChipsField25,ChipsField27,DateofMeetingofShareHolders,CompanyPos,TradingDate'</f>
        <v>562</v>
      </c>
      <c r="V31" t="str">
        <v>--</v>
      </c>
      <c r="W31" t="str">
        <v>--</v>
      </c>
      <c r="X31" t="str">
        <v>2021/08/26</v>
      </c>
      <c r="Y31" t="str">
        <v>鈺創轉投資的LED驅動IC及光通訊IC廠</v>
      </c>
      <c r="Z31" t="str">
        <v>2021/12/17</v>
      </c>
    </row>
    <row r="32" spans="1:26" x14ac:dyDescent="0.3">
      <c r="A32" t="str">
        <f t="array" ref="A32:J32">[1]!'1472.TW-ID,Name,Price,PriceChangeRatio,Low,High,Volume,InOutRatioNumber,Capital,ProfitMargin'</f>
        <v>1472</v>
      </c>
      <c r="B32" t="str">
        <v>三洋實業</v>
      </c>
      <c r="C32">
        <v>29.7</v>
      </c>
      <c r="D32">
        <v>-2.2999999999999998</v>
      </c>
      <c r="E32">
        <v>29.7</v>
      </c>
      <c r="F32">
        <v>31</v>
      </c>
      <c r="G32">
        <v>1</v>
      </c>
      <c r="H32" t="str">
        <v>56.25%</v>
      </c>
      <c r="I32" t="str">
        <v>2.50</v>
      </c>
      <c r="J32" t="str">
        <v>24.25</v>
      </c>
      <c r="K32" t="str">
        <f t="array" ref="K32:T32">[1]!'1472.TW-OperatingProfitRatio,NetProfitMargin,TFXRatio,MonthlyNetSalesYoY,ReturnOnAssets,DividendYear,ProfitFourSeason,CashDividendYieldRate,StockNetValue,ExchangeIndustry'</f>
        <v>6.92</v>
      </c>
      <c r="L32" t="str">
        <v>-0.33</v>
      </c>
      <c r="M32" t="str">
        <v>-84.43</v>
      </c>
      <c r="N32" t="str">
        <v>-57.48</v>
      </c>
      <c r="O32" t="str">
        <v>1.25</v>
      </c>
      <c r="P32">
        <v>0</v>
      </c>
      <c r="Q32" t="str">
        <v>-2.41</v>
      </c>
      <c r="R32">
        <v>0</v>
      </c>
      <c r="S32" t="str">
        <v>9.51</v>
      </c>
      <c r="T32" t="str">
        <v>上市紡織纖維</v>
      </c>
      <c r="U32">
        <f t="array" ref="U32:Z32">[1]!'1472.TW-PreTotalVolume,ChipsField25,ChipsField27,DateofMeetingofShareHolders,CompanyPos,TradingDate'</f>
        <v>1</v>
      </c>
      <c r="V32" t="str">
        <v>--</v>
      </c>
      <c r="W32" t="str">
        <v>--</v>
      </c>
      <c r="X32" t="str">
        <v>2021/12/28</v>
      </c>
      <c r="Y32" t="str">
        <v>亞洲PP纖維製造商龍頭</v>
      </c>
      <c r="Z32" t="str">
        <v>2021/12/17</v>
      </c>
    </row>
    <row r="33" spans="1:26" x14ac:dyDescent="0.3">
      <c r="A33" t="str">
        <f t="array" ref="A33:J33">[1]!'3455.TW-ID,Name,Price,PriceChangeRatio,Low,High,Volume,InOutRatioNumber,Capital,ProfitMargin'</f>
        <v>3455</v>
      </c>
      <c r="B33" t="str">
        <v>由田</v>
      </c>
      <c r="C33">
        <v>74.2</v>
      </c>
      <c r="D33">
        <v>-2.88</v>
      </c>
      <c r="E33">
        <v>74</v>
      </c>
      <c r="F33">
        <v>76.400000000000006</v>
      </c>
      <c r="G33">
        <v>66</v>
      </c>
      <c r="H33" t="str">
        <v>23.17%</v>
      </c>
      <c r="I33" t="str">
        <v>5.99</v>
      </c>
      <c r="J33" t="str">
        <v>51.23</v>
      </c>
      <c r="K33" t="str">
        <f t="array" ref="K33:T33">[1]!'3455.TW-OperatingProfitRatio,NetProfitMargin,TFXRatio,MonthlyNetSalesYoY,ReturnOnAssets,DividendYear,ProfitFourSeason,CashDividendYieldRate,StockNetValue,ExchangeIndustry'</f>
        <v>18.40</v>
      </c>
      <c r="L33" t="str">
        <v>15.53</v>
      </c>
      <c r="M33" t="str">
        <v>-6.48</v>
      </c>
      <c r="N33" t="str">
        <v>14.46</v>
      </c>
      <c r="O33" t="str">
        <v>7.23</v>
      </c>
      <c r="P33">
        <v>4</v>
      </c>
      <c r="Q33" t="str">
        <v>6.76</v>
      </c>
      <c r="R33">
        <v>5.39</v>
      </c>
      <c r="S33" t="str">
        <v>37.55</v>
      </c>
      <c r="T33" t="str">
        <v>上櫃光電</v>
      </c>
      <c r="U33">
        <f t="array" ref="U33:Z33">[1]!'3455.TW-PreTotalVolume,ChipsField25,ChipsField27,DateofMeetingofShareHolders,CompanyPos,TradingDate'</f>
        <v>1951</v>
      </c>
      <c r="V33" t="str">
        <v>2021/08/30</v>
      </c>
      <c r="W33" t="str">
        <v>--</v>
      </c>
      <c r="X33" t="str">
        <v>2021/08/27</v>
      </c>
      <c r="Y33" t="str">
        <v>台灣最大光學檢測設備製造商</v>
      </c>
      <c r="Z33" t="str">
        <v>2021/12/17</v>
      </c>
    </row>
    <row r="34" spans="1:26" x14ac:dyDescent="0.3">
      <c r="A34" t="str">
        <f t="array" ref="A34:J34">[1]!'3306.TW-ID,Name,Price,PriceChangeRatio,Low,High,Volume,InOutRatioNumber,Capital,ProfitMargin'</f>
        <v>3306</v>
      </c>
      <c r="B34" t="str">
        <v>鼎天</v>
      </c>
      <c r="C34">
        <v>31.4</v>
      </c>
      <c r="D34">
        <v>-3.98</v>
      </c>
      <c r="E34">
        <v>31.2</v>
      </c>
      <c r="F34">
        <v>32.65</v>
      </c>
      <c r="G34">
        <v>58</v>
      </c>
      <c r="H34" t="str">
        <v>27.62%</v>
      </c>
      <c r="I34" t="str">
        <v>5.06</v>
      </c>
      <c r="J34" t="str">
        <v>19.80</v>
      </c>
      <c r="K34" t="str">
        <f t="array" ref="K34:T34">[1]!'3306.TW-OperatingProfitRatio,NetProfitMargin,TFXRatio,MonthlyNetSalesYoY,ReturnOnAssets,DividendYear,ProfitFourSeason,CashDividendYieldRate,StockNetValue,ExchangeIndustry'</f>
        <v>-0.38</v>
      </c>
      <c r="L34" t="str">
        <v>4.77</v>
      </c>
      <c r="M34" t="str">
        <v>-10.41</v>
      </c>
      <c r="N34" t="str">
        <v>84.07</v>
      </c>
      <c r="O34" t="str">
        <v>2.42</v>
      </c>
      <c r="P34">
        <v>0.5</v>
      </c>
      <c r="Q34" t="str">
        <v>0.81</v>
      </c>
      <c r="R34">
        <v>1.59</v>
      </c>
      <c r="S34" t="str">
        <v>30.09</v>
      </c>
      <c r="T34" t="str">
        <v>上櫃通信網路</v>
      </c>
      <c r="U34">
        <f t="array" ref="U34:Z34">[1]!'3306.TW-PreTotalVolume,ChipsField25,ChipsField27,DateofMeetingofShareHolders,CompanyPos,TradingDate'</f>
        <v>1756</v>
      </c>
      <c r="V34" t="str">
        <v>2021/09/02</v>
      </c>
      <c r="W34" t="str">
        <v>--</v>
      </c>
      <c r="X34" t="str">
        <v>2021/08/09</v>
      </c>
      <c r="Y34" t="str">
        <v>廣達轉投資的GPS及個人導航廠商</v>
      </c>
      <c r="Z34" t="str">
        <v>2021/12/17</v>
      </c>
    </row>
    <row r="35" spans="1:26" x14ac:dyDescent="0.3">
      <c r="A35" t="str">
        <f t="array" ref="A35:J35">[1]!'1783.TW-ID,Name,Price,PriceChangeRatio,Low,High,Volume,InOutRatioNumber,Capital,ProfitMargin'</f>
        <v>1783</v>
      </c>
      <c r="B35" t="str">
        <v>和康生</v>
      </c>
      <c r="C35">
        <v>51.1</v>
      </c>
      <c r="D35">
        <v>-1.92</v>
      </c>
      <c r="E35">
        <v>51.1</v>
      </c>
      <c r="F35">
        <v>52.6</v>
      </c>
      <c r="G35">
        <v>17</v>
      </c>
      <c r="H35" t="str">
        <v>15.12%</v>
      </c>
      <c r="I35" t="str">
        <v>7.70</v>
      </c>
      <c r="J35" t="str">
        <v>51.79</v>
      </c>
      <c r="K35" t="str">
        <f t="array" ref="K35:T35">[1]!'1783.TW-OperatingProfitRatio,NetProfitMargin,TFXRatio,MonthlyNetSalesYoY,ReturnOnAssets,DividendYear,ProfitFourSeason,CashDividendYieldRate,StockNetValue,ExchangeIndustry'</f>
        <v>19.79</v>
      </c>
      <c r="L35" t="str">
        <v>19.94</v>
      </c>
      <c r="M35" t="str">
        <v>-23.65</v>
      </c>
      <c r="N35" t="str">
        <v>9.60</v>
      </c>
      <c r="O35" t="str">
        <v>6.73</v>
      </c>
      <c r="P35">
        <v>0.73</v>
      </c>
      <c r="Q35" t="str">
        <v>1.34</v>
      </c>
      <c r="R35">
        <v>1.43</v>
      </c>
      <c r="S35" t="str">
        <v>14.61</v>
      </c>
      <c r="T35" t="str">
        <v>上市生技醫療</v>
      </c>
      <c r="U35">
        <f t="array" ref="U35:Z35">[1]!'1783.TW-PreTotalVolume,ChipsField25,ChipsField27,DateofMeetingofShareHolders,CompanyPos,TradingDate'</f>
        <v>444</v>
      </c>
      <c r="V35" t="str">
        <v>2021/08/19</v>
      </c>
      <c r="W35" t="str">
        <v>--</v>
      </c>
      <c r="X35" t="str">
        <v>2021/07/12</v>
      </c>
      <c r="Y35" t="str">
        <v>專注膠原蛋白之高階醫材及醫美保養產品</v>
      </c>
      <c r="Z35" t="str">
        <v>2021/12/17</v>
      </c>
    </row>
    <row r="36" spans="1:26" x14ac:dyDescent="0.3">
      <c r="A36" t="str">
        <f t="array" ref="A36:J36">[1]!'1708.TW-ID,Name,Price,PriceChangeRatio,Low,High,Volume,InOutRatioNumber,Capital,ProfitMargin'</f>
        <v>1708</v>
      </c>
      <c r="B36" t="str">
        <v>東鹼</v>
      </c>
      <c r="C36">
        <v>33.6</v>
      </c>
      <c r="D36">
        <v>0.6</v>
      </c>
      <c r="E36">
        <v>33.15</v>
      </c>
      <c r="F36">
        <v>34.049999999999997</v>
      </c>
      <c r="G36">
        <v>114</v>
      </c>
      <c r="H36" t="str">
        <v>44.69%</v>
      </c>
      <c r="I36" t="str">
        <v>24.90</v>
      </c>
      <c r="J36" t="str">
        <v>28.35</v>
      </c>
      <c r="K36" t="str">
        <f t="array" ref="K36:T36">[1]!'1708.TW-OperatingProfitRatio,NetProfitMargin,TFXRatio,MonthlyNetSalesYoY,ReturnOnAssets,DividendYear,ProfitFourSeason,CashDividendYieldRate,StockNetValue,ExchangeIndustry'</f>
        <v>12.18</v>
      </c>
      <c r="L36" t="str">
        <v>10.24</v>
      </c>
      <c r="M36" t="str">
        <v>38.52</v>
      </c>
      <c r="N36" t="str">
        <v>116.16</v>
      </c>
      <c r="O36" t="str">
        <v>3.04</v>
      </c>
      <c r="P36">
        <v>1.8</v>
      </c>
      <c r="Q36" t="str">
        <v>1.72</v>
      </c>
      <c r="R36">
        <v>5.36</v>
      </c>
      <c r="S36" t="str">
        <v>23.02</v>
      </c>
      <c r="T36" t="str">
        <v>上市化工</v>
      </c>
      <c r="U36">
        <f t="array" ref="U36:Z36">[1]!'1708.TW-PreTotalVolume,ChipsField25,ChipsField27,DateofMeetingofShareHolders,CompanyPos,TradingDate'</f>
        <v>4411</v>
      </c>
      <c r="V36" t="str">
        <v>2021/08/27</v>
      </c>
      <c r="W36" t="str">
        <v>2021/08/27</v>
      </c>
      <c r="X36" t="str">
        <v>2021/07/05</v>
      </c>
      <c r="Y36" t="str">
        <v>台灣主要肥料及純鹼大廠</v>
      </c>
      <c r="Z36" t="str">
        <v>2021/12/17</v>
      </c>
    </row>
    <row r="37" spans="1:26" x14ac:dyDescent="0.3">
      <c r="A37" t="str">
        <f t="array" ref="A37:J37">[1]!'3354.TW-ID,Name,Price,PriceChangeRatio,Low,High,Volume,InOutRatioNumber,Capital,ProfitMargin'</f>
        <v>3354</v>
      </c>
      <c r="B37" t="str">
        <v>律勝</v>
      </c>
      <c r="C37">
        <v>19.149999999999999</v>
      </c>
      <c r="D37">
        <v>0</v>
      </c>
      <c r="E37">
        <v>18.600000000000001</v>
      </c>
      <c r="F37">
        <v>19.399999999999999</v>
      </c>
      <c r="G37">
        <v>26</v>
      </c>
      <c r="H37" t="str">
        <v>58.09%</v>
      </c>
      <c r="I37" t="str">
        <v>7.01</v>
      </c>
      <c r="J37" t="str">
        <v>19.05</v>
      </c>
      <c r="K37" t="str">
        <f t="array" ref="K37:T37">[1]!'3354.TW-OperatingProfitRatio,NetProfitMargin,TFXRatio,MonthlyNetSalesYoY,ReturnOnAssets,DividendYear,ProfitFourSeason,CashDividendYieldRate,StockNetValue,ExchangeIndustry'</f>
        <v>-38.40</v>
      </c>
      <c r="L37" t="str">
        <v>-22.55</v>
      </c>
      <c r="M37" t="str">
        <v>-4.04</v>
      </c>
      <c r="N37" t="str">
        <v>-49.07</v>
      </c>
      <c r="O37" t="str">
        <v>-2.10</v>
      </c>
      <c r="P37">
        <v>0.3</v>
      </c>
      <c r="Q37" t="str">
        <v>-0.68</v>
      </c>
      <c r="R37">
        <v>1.57</v>
      </c>
      <c r="S37" t="str">
        <v>14.96</v>
      </c>
      <c r="T37" t="str">
        <v>上櫃電子零組件</v>
      </c>
      <c r="U37">
        <f t="array" ref="U37:Z37">[1]!'3354.TW-PreTotalVolume,ChipsField25,ChipsField27,DateofMeetingofShareHolders,CompanyPos,TradingDate'</f>
        <v>1114</v>
      </c>
      <c r="V37" t="str">
        <v>2021/07/29</v>
      </c>
      <c r="W37" t="str">
        <v>--</v>
      </c>
      <c r="X37" t="str">
        <v>2021/07/13</v>
      </c>
      <c r="Y37" t="str">
        <v>台灣軟式印刷電路板基材製造商</v>
      </c>
      <c r="Z37" t="str">
        <v>2021/12/17</v>
      </c>
    </row>
    <row r="38" spans="1:26" x14ac:dyDescent="0.3">
      <c r="A38" t="str">
        <f t="array" ref="A38:J38">[1]!'6747.TW-ID,Name,Price,PriceChangeRatio,Low,High,Volume,InOutRatioNumber,Capital,ProfitMargin'</f>
        <v>6747</v>
      </c>
      <c r="B38" t="str">
        <v>亨泰光</v>
      </c>
      <c r="C38">
        <v>314</v>
      </c>
      <c r="D38">
        <v>-2.79</v>
      </c>
      <c r="E38">
        <v>314</v>
      </c>
      <c r="F38">
        <v>320.5</v>
      </c>
      <c r="G38">
        <v>1</v>
      </c>
      <c r="H38" t="str">
        <v>0.00%</v>
      </c>
      <c r="I38" t="str">
        <v>2.42</v>
      </c>
      <c r="J38" t="str">
        <v>67.21</v>
      </c>
      <c r="K38" t="str">
        <f t="array" ref="K38:T38">[1]!'6747.TW-OperatingProfitRatio,NetProfitMargin,TFXRatio,MonthlyNetSalesYoY,ReturnOnAssets,DividendYear,ProfitFourSeason,CashDividendYieldRate,StockNetValue,ExchangeIndustry'</f>
        <v>37.06</v>
      </c>
      <c r="L38" t="str">
        <v>45.04</v>
      </c>
      <c r="M38" t="str">
        <v>-11.13</v>
      </c>
      <c r="N38" t="str">
        <v>1.06</v>
      </c>
      <c r="O38" t="str">
        <v>21.06</v>
      </c>
      <c r="P38">
        <v>5.37</v>
      </c>
      <c r="Q38" t="str">
        <v>10.14</v>
      </c>
      <c r="R38">
        <v>1.71</v>
      </c>
      <c r="S38" t="str">
        <v>44.58</v>
      </c>
      <c r="T38" t="str">
        <v>上櫃生技醫療</v>
      </c>
      <c r="U38">
        <f t="array" ref="U38:Z38">[1]!'6747.TW-PreTotalVolume,ChipsField25,ChipsField27,DateofMeetingofShareHolders,CompanyPos,TradingDate'</f>
        <v>17</v>
      </c>
      <c r="V38" t="str">
        <v>2021/08/03</v>
      </c>
      <c r="W38" t="str">
        <v>--</v>
      </c>
      <c r="X38" t="str">
        <v>2021/07/08</v>
      </c>
      <c r="Y38" t="str">
        <v>訂製型硬式隱形眼鏡、角膜塑型鏡供應商</v>
      </c>
      <c r="Z38" t="str">
        <v>2021/12/17</v>
      </c>
    </row>
    <row r="39" spans="1:26" x14ac:dyDescent="0.3">
      <c r="A39" t="str">
        <f t="array" ref="A39:J39">[1]!'4554.TW-ID,Name,Price,PriceChangeRatio,Low,High,Volume,InOutRatioNumber,Capital,ProfitMargin'</f>
        <v>4554</v>
      </c>
      <c r="B39" t="str">
        <v>橙的</v>
      </c>
      <c r="C39">
        <v>36.049999999999997</v>
      </c>
      <c r="D39">
        <v>-7.56</v>
      </c>
      <c r="E39">
        <v>36.049999999999997</v>
      </c>
      <c r="F39">
        <v>38.950000000000003</v>
      </c>
      <c r="G39">
        <v>14</v>
      </c>
      <c r="H39" t="str">
        <v>25.51%</v>
      </c>
      <c r="I39" t="str">
        <v>2.14</v>
      </c>
      <c r="J39" t="str">
        <v>41.35</v>
      </c>
      <c r="K39" t="str">
        <f t="array" ref="K39:T39">[1]!'4554.TW-OperatingProfitRatio,NetProfitMargin,TFXRatio,MonthlyNetSalesYoY,ReturnOnAssets,DividendYear,ProfitFourSeason,CashDividendYieldRate,StockNetValue,ExchangeIndustry'</f>
        <v>12.69</v>
      </c>
      <c r="L39" t="str">
        <v>8.52</v>
      </c>
      <c r="M39" t="str">
        <v>0.98</v>
      </c>
      <c r="N39" t="str">
        <v>24.26</v>
      </c>
      <c r="O39" t="str">
        <v>4.53</v>
      </c>
      <c r="P39">
        <v>0.14000000000000001</v>
      </c>
      <c r="Q39" t="str">
        <v>1.44</v>
      </c>
      <c r="R39">
        <v>0.39</v>
      </c>
      <c r="S39" t="str">
        <v>19.44</v>
      </c>
      <c r="T39" t="str">
        <v>上櫃其他電子</v>
      </c>
      <c r="U39">
        <f t="array" ref="U39:Z39">[1]!'4554.TW-PreTotalVolume,ChipsField25,ChipsField27,DateofMeetingofShareHolders,CompanyPos,TradingDate'</f>
        <v>443</v>
      </c>
      <c r="V39" t="str">
        <v>2021/09/07</v>
      </c>
      <c r="W39" t="str">
        <v>--</v>
      </c>
      <c r="X39" t="str">
        <v>2021/08/20</v>
      </c>
      <c r="Y39" t="str">
        <v>胎壓偵測器在北美市佔率達7%以上</v>
      </c>
      <c r="Z39" t="str">
        <v>2021/12/17</v>
      </c>
    </row>
    <row r="40" spans="1:26" x14ac:dyDescent="0.3">
      <c r="A40" t="str">
        <f t="array" ref="A40:J40">[1]!'1539.TW-ID,Name,Price,PriceChangeRatio,Low,High,Volume,InOutRatioNumber,Capital,ProfitMargin'</f>
        <v>1539</v>
      </c>
      <c r="B40" t="str">
        <v>巨庭</v>
      </c>
      <c r="C40">
        <v>21.7</v>
      </c>
      <c r="D40">
        <v>-3.98</v>
      </c>
      <c r="E40">
        <v>21.7</v>
      </c>
      <c r="F40">
        <v>22.9</v>
      </c>
      <c r="G40">
        <v>68</v>
      </c>
      <c r="H40" t="str">
        <v>32.03%</v>
      </c>
      <c r="I40" t="str">
        <v>6.54</v>
      </c>
      <c r="J40" t="str">
        <v>10.41</v>
      </c>
      <c r="K40" t="str">
        <f t="array" ref="K40:T40">[1]!'1539.TW-OperatingProfitRatio,NetProfitMargin,TFXRatio,MonthlyNetSalesYoY,ReturnOnAssets,DividendYear,ProfitFourSeason,CashDividendYieldRate,StockNetValue,ExchangeIndustry'</f>
        <v>6.86</v>
      </c>
      <c r="L40" t="str">
        <v>3.28</v>
      </c>
      <c r="M40" t="str">
        <v>-0.64</v>
      </c>
      <c r="N40" t="str">
        <v>51.26</v>
      </c>
      <c r="O40" t="str">
        <v>1.94</v>
      </c>
      <c r="P40">
        <v>0</v>
      </c>
      <c r="Q40" t="str">
        <v>0.74</v>
      </c>
      <c r="R40">
        <v>0</v>
      </c>
      <c r="S40" t="str">
        <v>20.27</v>
      </c>
      <c r="T40" t="str">
        <v>上市電機機械</v>
      </c>
      <c r="U40">
        <f t="array" ref="U40:Z40">[1]!'1539.TW-PreTotalVolume,ChipsField25,ChipsField27,DateofMeetingofShareHolders,CompanyPos,TradingDate'</f>
        <v>338</v>
      </c>
      <c r="V40" t="str">
        <v>--</v>
      </c>
      <c r="W40" t="str">
        <v>--</v>
      </c>
      <c r="X40" t="str">
        <v>2021/08/11</v>
      </c>
      <c r="Y40" t="str">
        <v>台灣木工具機製造廠</v>
      </c>
      <c r="Z40" t="str">
        <v>2021/12/17</v>
      </c>
    </row>
    <row r="41" spans="1:26" x14ac:dyDescent="0.3">
      <c r="A41" t="str">
        <f t="array" ref="A41:J41">[1]!'3217.TW-ID,Name,Price,PriceChangeRatio,Low,High,Volume,InOutRatioNumber,Capital,ProfitMargin'</f>
        <v>3217</v>
      </c>
      <c r="B41" t="str">
        <v>優群</v>
      </c>
      <c r="C41">
        <v>123.5</v>
      </c>
      <c r="D41">
        <v>-5</v>
      </c>
      <c r="E41">
        <v>122</v>
      </c>
      <c r="F41">
        <v>127</v>
      </c>
      <c r="G41">
        <v>175</v>
      </c>
      <c r="H41" t="str">
        <v>35.55%</v>
      </c>
      <c r="I41" t="str">
        <v>9.01</v>
      </c>
      <c r="J41" t="str">
        <v>42.13</v>
      </c>
      <c r="K41" t="str">
        <f t="array" ref="K41:T41">[1]!'3217.TW-OperatingProfitRatio,NetProfitMargin,TFXRatio,MonthlyNetSalesYoY,ReturnOnAssets,DividendYear,ProfitFourSeason,CashDividendYieldRate,StockNetValue,ExchangeIndustry'</f>
        <v>25.71</v>
      </c>
      <c r="L41" t="str">
        <v>21.70</v>
      </c>
      <c r="M41" t="str">
        <v>18.47</v>
      </c>
      <c r="N41" t="str">
        <v>20.02</v>
      </c>
      <c r="O41" t="str">
        <v>10.87</v>
      </c>
      <c r="P41">
        <v>5.6</v>
      </c>
      <c r="Q41" t="str">
        <v>7.33</v>
      </c>
      <c r="R41">
        <v>4.53</v>
      </c>
      <c r="S41" t="str">
        <v>39.19</v>
      </c>
      <c r="T41" t="str">
        <v>上櫃電子零組件</v>
      </c>
      <c r="U41">
        <f t="array" ref="U41:Z41">[1]!'3217.TW-PreTotalVolume,ChipsField25,ChipsField27,DateofMeetingofShareHolders,CompanyPos,TradingDate'</f>
        <v>7686</v>
      </c>
      <c r="V41" t="str">
        <v>2021/07/30</v>
      </c>
      <c r="W41" t="str">
        <v>--</v>
      </c>
      <c r="X41" t="str">
        <v>2021/07/15</v>
      </c>
      <c r="Y41" t="str">
        <v>轉型成為自製研發的連接器廠</v>
      </c>
      <c r="Z41" t="str">
        <v>2021/12/17</v>
      </c>
    </row>
    <row r="42" spans="1:26" x14ac:dyDescent="0.3">
      <c r="A42" t="str">
        <f t="array" ref="A42:J42">[1]!'5904.TW-ID,Name,Price,PriceChangeRatio,Low,High,Volume,InOutRatioNumber,Capital,ProfitMargin'</f>
        <v>5904</v>
      </c>
      <c r="B42" t="str">
        <v>寶雅</v>
      </c>
      <c r="C42">
        <v>455</v>
      </c>
      <c r="D42">
        <v>-1.62</v>
      </c>
      <c r="E42">
        <v>455</v>
      </c>
      <c r="F42">
        <v>470.5</v>
      </c>
      <c r="G42">
        <v>112</v>
      </c>
      <c r="H42" t="str">
        <v>31.44%</v>
      </c>
      <c r="I42" t="str">
        <v>10.09</v>
      </c>
      <c r="J42" t="str">
        <v>43.74</v>
      </c>
      <c r="K42" t="str">
        <f t="array" ref="K42:T42">[1]!'5904.TW-OperatingProfitRatio,NetProfitMargin,TFXRatio,MonthlyNetSalesYoY,ReturnOnAssets,DividendYear,ProfitFourSeason,CashDividendYieldRate,StockNetValue,ExchangeIndustry'</f>
        <v>12.78</v>
      </c>
      <c r="L42" t="str">
        <v>10.11</v>
      </c>
      <c r="M42" t="str">
        <v>-9.06</v>
      </c>
      <c r="N42" t="str">
        <v>2.20</v>
      </c>
      <c r="O42" t="str">
        <v>5.88</v>
      </c>
      <c r="P42">
        <v>19</v>
      </c>
      <c r="Q42" t="str">
        <v>18.43</v>
      </c>
      <c r="R42">
        <v>4.18</v>
      </c>
      <c r="S42" t="str">
        <v>45.32</v>
      </c>
      <c r="T42" t="str">
        <v>上櫃貿易百貨</v>
      </c>
      <c r="U42">
        <f t="array" ref="U42:Z42">[1]!'5904.TW-PreTotalVolume,ChipsField25,ChipsField27,DateofMeetingofShareHolders,CompanyPos,TradingDate'</f>
        <v>428</v>
      </c>
      <c r="V42" t="str">
        <v>2021/08/12</v>
      </c>
      <c r="W42" t="str">
        <v>2021/09/28</v>
      </c>
      <c r="X42" t="str">
        <v>2021/08/24</v>
      </c>
      <c r="Y42" t="str">
        <v>台灣二線城市最大美妝及生活用品百貨</v>
      </c>
      <c r="Z42" t="str">
        <v>2021/12/17</v>
      </c>
    </row>
    <row r="43" spans="1:26" x14ac:dyDescent="0.3">
      <c r="A43" t="str">
        <f t="array" ref="A43:J43">[1]!'3520.TW-ID,Name,Price,PriceChangeRatio,Low,High,Volume,InOutRatioNumber,Capital,ProfitMargin'</f>
        <v>3520</v>
      </c>
      <c r="B43" t="str">
        <v>華盈</v>
      </c>
      <c r="C43">
        <v>14.6</v>
      </c>
      <c r="D43">
        <v>1.04</v>
      </c>
      <c r="E43">
        <v>14.4</v>
      </c>
      <c r="F43">
        <v>14.95</v>
      </c>
      <c r="G43">
        <v>10</v>
      </c>
      <c r="H43" t="str">
        <v>48.88%</v>
      </c>
      <c r="I43" t="str">
        <v>6.88</v>
      </c>
      <c r="J43" t="str">
        <v>13.22</v>
      </c>
      <c r="K43" t="str">
        <f t="array" ref="K43:T43">[1]!'3520.TW-OperatingProfitRatio,NetProfitMargin,TFXRatio,MonthlyNetSalesYoY,ReturnOnAssets,DividendYear,ProfitFourSeason,CashDividendYieldRate,StockNetValue,ExchangeIndustry'</f>
        <v>0.55</v>
      </c>
      <c r="L43" t="str">
        <v>-0.02</v>
      </c>
      <c r="M43" t="str">
        <v>28.37</v>
      </c>
      <c r="N43" t="str">
        <v>-0.65</v>
      </c>
      <c r="O43" t="str">
        <v>0.18</v>
      </c>
      <c r="P43">
        <v>0</v>
      </c>
      <c r="Q43" t="str">
        <v>-0.08</v>
      </c>
      <c r="R43">
        <v>0</v>
      </c>
      <c r="S43" t="str">
        <v>8.91</v>
      </c>
      <c r="T43" t="str">
        <v>上櫃電子零組件</v>
      </c>
      <c r="U43">
        <f t="array" ref="U43:Z43">[1]!'3520.TW-PreTotalVolume,ChipsField25,ChipsField27,DateofMeetingofShareHolders,CompanyPos,TradingDate'</f>
        <v>1241</v>
      </c>
      <c r="V43" t="str">
        <v>--</v>
      </c>
      <c r="W43" t="str">
        <v>--</v>
      </c>
      <c r="X43" t="str">
        <v>2021/08/27</v>
      </c>
      <c r="Y43" t="str">
        <v>台灣連接線材及網通資安設備供應商</v>
      </c>
      <c r="Z43" t="str">
        <v>2021/12/17</v>
      </c>
    </row>
    <row r="44" spans="1:26" x14ac:dyDescent="0.3">
      <c r="A44" t="str">
        <f t="array" ref="A44:J44">[1]!'6265.TW-ID,Name,Price,PriceChangeRatio,Low,High,Volume,InOutRatioNumber,Capital,ProfitMargin'</f>
        <v>6265</v>
      </c>
      <c r="B44" t="str">
        <v>方土昶</v>
      </c>
      <c r="C44">
        <v>17.100000000000001</v>
      </c>
      <c r="D44">
        <v>-2.56</v>
      </c>
      <c r="E44">
        <v>16.7</v>
      </c>
      <c r="F44">
        <v>17.649999999999999</v>
      </c>
      <c r="G44">
        <v>183</v>
      </c>
      <c r="H44" t="str">
        <v>45.41%</v>
      </c>
      <c r="I44" t="str">
        <v>11.82</v>
      </c>
      <c r="J44" t="str">
        <v>11.78</v>
      </c>
      <c r="K44" t="str">
        <f t="array" ref="K44:T44">[1]!'6265.TW-OperatingProfitRatio,NetProfitMargin,TFXRatio,MonthlyNetSalesYoY,ReturnOnAssets,DividendYear,ProfitFourSeason,CashDividendYieldRate,StockNetValue,ExchangeIndustry'</f>
        <v>6.86</v>
      </c>
      <c r="L44" t="str">
        <v>7.06</v>
      </c>
      <c r="M44" t="str">
        <v>-2.72</v>
      </c>
      <c r="N44" t="str">
        <v>63.25</v>
      </c>
      <c r="O44" t="str">
        <v>5.17</v>
      </c>
      <c r="P44">
        <v>0</v>
      </c>
      <c r="Q44" t="str">
        <v>0.65</v>
      </c>
      <c r="R44">
        <v>0</v>
      </c>
      <c r="S44" t="str">
        <v>11.67</v>
      </c>
      <c r="T44" t="str">
        <v>上櫃電子通路</v>
      </c>
      <c r="U44">
        <f t="array" ref="U44:Z44">[1]!'6265.TW-PreTotalVolume,ChipsField25,ChipsField27,DateofMeetingofShareHolders,CompanyPos,TradingDate'</f>
        <v>3639</v>
      </c>
      <c r="V44" t="str">
        <v>--</v>
      </c>
      <c r="W44" t="str">
        <v>--</v>
      </c>
      <c r="X44" t="str">
        <v>2021/08/27</v>
      </c>
      <c r="Y44" t="str">
        <v>IC零組件通路商，並跨足保健食品</v>
      </c>
      <c r="Z44" t="str">
        <v>2021/12/17</v>
      </c>
    </row>
    <row r="45" spans="1:26" x14ac:dyDescent="0.3">
      <c r="A45" t="str">
        <f t="array" ref="A45:J45">[1]!'4303.TW-ID,Name,Price,PriceChangeRatio,Low,High,Volume,InOutRatioNumber,Capital,ProfitMargin'</f>
        <v>4303</v>
      </c>
      <c r="B45" t="str">
        <v>信立</v>
      </c>
      <c r="C45">
        <v>26.35</v>
      </c>
      <c r="D45">
        <v>-1.5</v>
      </c>
      <c r="E45">
        <v>26.35</v>
      </c>
      <c r="F45">
        <v>26.85</v>
      </c>
      <c r="G45">
        <v>27</v>
      </c>
      <c r="H45" t="str">
        <v>27.17%</v>
      </c>
      <c r="I45" t="str">
        <v>7.00</v>
      </c>
      <c r="J45" t="str">
        <v>16.85</v>
      </c>
      <c r="K45" t="str">
        <f t="array" ref="K45:T45">[1]!'4303.TW-OperatingProfitRatio,NetProfitMargin,TFXRatio,MonthlyNetSalesYoY,ReturnOnAssets,DividendYear,ProfitFourSeason,CashDividendYieldRate,StockNetValue,ExchangeIndustry'</f>
        <v>5.60</v>
      </c>
      <c r="L45" t="str">
        <v>29.85</v>
      </c>
      <c r="M45" t="str">
        <v>-3.89</v>
      </c>
      <c r="N45" t="str">
        <v>1.22</v>
      </c>
      <c r="O45" t="str">
        <v>7.24</v>
      </c>
      <c r="P45">
        <v>0.3</v>
      </c>
      <c r="Q45" t="str">
        <v>1.36</v>
      </c>
      <c r="R45">
        <v>1.1399999999999999</v>
      </c>
      <c r="S45" t="str">
        <v>13.49</v>
      </c>
      <c r="T45" t="str">
        <v>上櫃塑膠</v>
      </c>
      <c r="U45">
        <f t="array" ref="U45:Z45">[1]!'4303.TW-PreTotalVolume,ChipsField25,ChipsField27,DateofMeetingofShareHolders,CompanyPos,TradingDate'</f>
        <v>333</v>
      </c>
      <c r="V45" t="str">
        <v>2021/08/30</v>
      </c>
      <c r="W45" t="str">
        <v>--</v>
      </c>
      <c r="X45" t="str">
        <v>2021/07/08</v>
      </c>
      <c r="Y45" t="str">
        <v>植毛絨布及PVC皮居領導地位之廠商</v>
      </c>
      <c r="Z45" t="str">
        <v>2021/12/17</v>
      </c>
    </row>
    <row r="46" spans="1:26" x14ac:dyDescent="0.3">
      <c r="A46" t="str">
        <f t="array" ref="A46:J46">[1]!'6446.TW-ID,Name,Price,PriceChangeRatio,Low,High,Volume,InOutRatioNumber,Capital,ProfitMargin'</f>
        <v>6446</v>
      </c>
      <c r="B46" t="str">
        <v>藥華藥</v>
      </c>
      <c r="C46">
        <v>333</v>
      </c>
      <c r="D46">
        <v>-10</v>
      </c>
      <c r="E46">
        <v>333</v>
      </c>
      <c r="F46">
        <v>345</v>
      </c>
      <c r="G46">
        <v>501</v>
      </c>
      <c r="H46" t="str">
        <v>0.00%</v>
      </c>
      <c r="I46" t="str">
        <v>27.04</v>
      </c>
      <c r="J46" t="str">
        <v>22.76</v>
      </c>
      <c r="K46" t="str">
        <f t="array" ref="K46:T46">[1]!'6446.TW-OperatingProfitRatio,NetProfitMargin,TFXRatio,MonthlyNetSalesYoY,ReturnOnAssets,DividendYear,ProfitFourSeason,CashDividendYieldRate,StockNetValue,ExchangeIndustry'</f>
        <v>-676.48</v>
      </c>
      <c r="L46" t="str">
        <v>-695.90</v>
      </c>
      <c r="M46" t="str">
        <v>431.51</v>
      </c>
      <c r="N46" t="str">
        <v>3.02</v>
      </c>
      <c r="O46" t="str">
        <v>-42.58</v>
      </c>
      <c r="P46">
        <v>0</v>
      </c>
      <c r="Q46" t="str">
        <v>-10.79</v>
      </c>
      <c r="R46">
        <v>0</v>
      </c>
      <c r="S46" t="str">
        <v>7.43</v>
      </c>
      <c r="T46" t="str">
        <v>上櫃生技醫療</v>
      </c>
      <c r="U46">
        <f t="array" ref="U46:Z46">[1]!'6446.TW-PreTotalVolume,ChipsField25,ChipsField27,DateofMeetingofShareHolders,CompanyPos,TradingDate'</f>
        <v>1807</v>
      </c>
      <c r="V46" t="str">
        <v>--</v>
      </c>
      <c r="W46" t="str">
        <v>--</v>
      </c>
      <c r="X46" t="str">
        <v>2021/08/05</v>
      </c>
      <c r="Y46" t="str">
        <v>罕見真性紅血球增生症藥物研發廠商</v>
      </c>
      <c r="Z46" t="str">
        <v>2021/12/17</v>
      </c>
    </row>
    <row r="47" spans="1:26" x14ac:dyDescent="0.3">
      <c r="A47" t="str">
        <f t="array" ref="A47:J47">[1]!'6259.TW-ID,Name,Price,PriceChangeRatio,Low,High,Volume,InOutRatioNumber,Capital,ProfitMargin'</f>
        <v>6259</v>
      </c>
      <c r="B47" t="str">
        <v>百徽</v>
      </c>
      <c r="C47">
        <v>32.15</v>
      </c>
      <c r="D47">
        <v>-2.87</v>
      </c>
      <c r="E47">
        <v>32.1</v>
      </c>
      <c r="F47">
        <v>33.799999999999997</v>
      </c>
      <c r="G47">
        <v>2</v>
      </c>
      <c r="H47" t="str">
        <v>41.03%</v>
      </c>
      <c r="I47" t="str">
        <v>1.73</v>
      </c>
      <c r="J47" t="str">
        <v>21.78</v>
      </c>
      <c r="K47" t="str">
        <f t="array" ref="K47:T47">[1]!'6259.TW-OperatingProfitRatio,NetProfitMargin,TFXRatio,MonthlyNetSalesYoY,ReturnOnAssets,DividendYear,ProfitFourSeason,CashDividendYieldRate,StockNetValue,ExchangeIndustry'</f>
        <v>-0.32</v>
      </c>
      <c r="L47" t="str">
        <v>-1.68</v>
      </c>
      <c r="M47" t="str">
        <v>31.52</v>
      </c>
      <c r="N47" t="str">
        <v>221.23</v>
      </c>
      <c r="O47" t="str">
        <v>-0.95</v>
      </c>
      <c r="P47">
        <v>0</v>
      </c>
      <c r="Q47" t="str">
        <v>0.52</v>
      </c>
      <c r="R47">
        <v>0</v>
      </c>
      <c r="S47" t="str">
        <v>13.58</v>
      </c>
      <c r="T47" t="str">
        <v>上櫃電子零組件</v>
      </c>
      <c r="U47">
        <f t="array" ref="U47:Z47">[1]!'6259.TW-PreTotalVolume,ChipsField25,ChipsField27,DateofMeetingofShareHolders,CompanyPos,TradingDate'</f>
        <v>62</v>
      </c>
      <c r="V47" t="str">
        <v>--</v>
      </c>
      <c r="W47" t="str">
        <v>--</v>
      </c>
      <c r="X47" t="str">
        <v>2021/08/30</v>
      </c>
      <c r="Y47" t="str">
        <v>主要代理電磁波防制元件和電源相關元件</v>
      </c>
      <c r="Z47" t="str">
        <v>2021/12/17</v>
      </c>
    </row>
    <row r="48" spans="1:26" x14ac:dyDescent="0.3">
      <c r="A48" t="str">
        <f t="array" ref="A48:J48">[1]!'6465.TW-ID,Name,Price,PriceChangeRatio,Low,High,Volume,InOutRatioNumber,Capital,ProfitMargin'</f>
        <v>6465</v>
      </c>
      <c r="B48" t="str">
        <v>威潤</v>
      </c>
      <c r="C48">
        <v>29.25</v>
      </c>
      <c r="D48">
        <v>-1.68</v>
      </c>
      <c r="E48">
        <v>28.6</v>
      </c>
      <c r="F48">
        <v>29.75</v>
      </c>
      <c r="G48">
        <v>2</v>
      </c>
      <c r="H48" t="str">
        <v>48.06%</v>
      </c>
      <c r="I48" t="str">
        <v>3.28</v>
      </c>
      <c r="J48" t="str">
        <v>38.71</v>
      </c>
      <c r="K48" t="str">
        <f t="array" ref="K48:T48">[1]!'6465.TW-OperatingProfitRatio,NetProfitMargin,TFXRatio,MonthlyNetSalesYoY,ReturnOnAssets,DividendYear,ProfitFourSeason,CashDividendYieldRate,StockNetValue,ExchangeIndustry'</f>
        <v>-21.43</v>
      </c>
      <c r="L48" t="str">
        <v>-13.84</v>
      </c>
      <c r="M48" t="str">
        <v>11.08</v>
      </c>
      <c r="N48" t="str">
        <v>-13.00</v>
      </c>
      <c r="O48" t="str">
        <v>-2.62</v>
      </c>
      <c r="P48">
        <v>0</v>
      </c>
      <c r="Q48" t="str">
        <v>-1.55</v>
      </c>
      <c r="R48">
        <v>0</v>
      </c>
      <c r="S48" t="str">
        <v>8.82</v>
      </c>
      <c r="T48" t="str">
        <v>上櫃通信網路</v>
      </c>
      <c r="U48">
        <f t="array" ref="U48:Z48">[1]!'6465.TW-PreTotalVolume,ChipsField25,ChipsField27,DateofMeetingofShareHolders,CompanyPos,TradingDate'</f>
        <v>152</v>
      </c>
      <c r="V48" t="str">
        <v>--</v>
      </c>
      <c r="W48" t="str">
        <v>--</v>
      </c>
      <c r="X48" t="str">
        <v>2021/07/16</v>
      </c>
      <c r="Y48" t="str">
        <v>以自有品牌「ATrack」行銷衛星定位監控系統廠商</v>
      </c>
      <c r="Z48" t="str">
        <v>2021/12/17</v>
      </c>
    </row>
    <row r="49" spans="1:26" x14ac:dyDescent="0.3">
      <c r="A49" t="str">
        <f t="array" ref="A49:J49">[1]!'8171.TW-ID,Name,Price,PriceChangeRatio,Low,High,Volume,InOutRatioNumber,Capital,ProfitMargin'</f>
        <v>8171</v>
      </c>
      <c r="B49" t="str">
        <v>天宇</v>
      </c>
      <c r="C49">
        <v>54.2</v>
      </c>
      <c r="D49">
        <v>-1.63</v>
      </c>
      <c r="E49">
        <v>54.2</v>
      </c>
      <c r="F49">
        <v>55.3</v>
      </c>
      <c r="G49">
        <v>69</v>
      </c>
      <c r="H49" t="str">
        <v>32.54%</v>
      </c>
      <c r="I49" t="str">
        <v>5.87</v>
      </c>
      <c r="J49" t="str">
        <v>5.10</v>
      </c>
      <c r="K49" t="str">
        <f t="array" ref="K49:T49">[1]!'8171.TW-OperatingProfitRatio,NetProfitMargin,TFXRatio,MonthlyNetSalesYoY,ReturnOnAssets,DividendYear,ProfitFourSeason,CashDividendYieldRate,StockNetValue,ExchangeIndustry'</f>
        <v>-7.55</v>
      </c>
      <c r="L49" t="str">
        <v>-8.61</v>
      </c>
      <c r="M49" t="str">
        <v>240.13</v>
      </c>
      <c r="N49" t="str">
        <v>718.16</v>
      </c>
      <c r="O49" t="str">
        <v>-4.11</v>
      </c>
      <c r="P49">
        <v>0</v>
      </c>
      <c r="Q49" t="str">
        <v>-1.55</v>
      </c>
      <c r="R49">
        <v>0</v>
      </c>
      <c r="S49" t="str">
        <v>15.08</v>
      </c>
      <c r="T49" t="str">
        <v>上櫃通信網路</v>
      </c>
      <c r="U49">
        <f t="array" ref="U49:Z49">[1]!'8171.TW-PreTotalVolume,ChipsField25,ChipsField27,DateofMeetingofShareHolders,CompanyPos,TradingDate'</f>
        <v>870</v>
      </c>
      <c r="V49" t="str">
        <v>--</v>
      </c>
      <c r="W49" t="str">
        <v>--</v>
      </c>
      <c r="X49" t="str">
        <v>2021/08/26</v>
      </c>
      <c r="Y49" t="str">
        <v>專攻電池模組與電源管理模組之廠商</v>
      </c>
      <c r="Z49" t="str">
        <v>2021/12/17</v>
      </c>
    </row>
    <row r="50" spans="1:26" x14ac:dyDescent="0.3">
      <c r="A50" t="str">
        <f t="array" ref="A50:J50">[1]!'8182.TW-ID,Name,Price,PriceChangeRatio,Low,High,Volume,InOutRatioNumber,Capital,ProfitMargin'</f>
        <v>8182</v>
      </c>
      <c r="B50" t="str">
        <v>加高</v>
      </c>
      <c r="C50">
        <v>54.6</v>
      </c>
      <c r="D50">
        <v>-2.15</v>
      </c>
      <c r="E50">
        <v>54</v>
      </c>
      <c r="F50">
        <v>56.2</v>
      </c>
      <c r="G50">
        <v>80</v>
      </c>
      <c r="H50" t="str">
        <v>31.96%</v>
      </c>
      <c r="I50" t="str">
        <v>10.70</v>
      </c>
      <c r="J50" t="str">
        <v>27.52</v>
      </c>
      <c r="K50" t="str">
        <f t="array" ref="K50:T50">[1]!'8182.TW-OperatingProfitRatio,NetProfitMargin,TFXRatio,MonthlyNetSalesYoY,ReturnOnAssets,DividendYear,ProfitFourSeason,CashDividendYieldRate,StockNetValue,ExchangeIndustry'</f>
        <v>17.24</v>
      </c>
      <c r="L50" t="str">
        <v>13.81</v>
      </c>
      <c r="M50" t="str">
        <v>-8.44</v>
      </c>
      <c r="N50" t="str">
        <v>-1.17</v>
      </c>
      <c r="O50" t="str">
        <v>7.18</v>
      </c>
      <c r="P50">
        <v>1.5</v>
      </c>
      <c r="Q50" t="str">
        <v>3.97</v>
      </c>
      <c r="R50">
        <v>2.75</v>
      </c>
      <c r="S50" t="str">
        <v>30.52</v>
      </c>
      <c r="T50" t="str">
        <v>上櫃電子零組件</v>
      </c>
      <c r="U50">
        <f t="array" ref="U50:Z50">[1]!'8182.TW-PreTotalVolume,ChipsField25,ChipsField27,DateofMeetingofShareHolders,CompanyPos,TradingDate'</f>
        <v>2589</v>
      </c>
      <c r="V50" t="str">
        <v>2021/07/08</v>
      </c>
      <c r="W50" t="str">
        <v>--</v>
      </c>
      <c r="X50" t="str">
        <v>2021/07/01</v>
      </c>
      <c r="Y50" t="str">
        <v>日本大真空轉投資，為台灣石英元件製造商</v>
      </c>
      <c r="Z50" t="str">
        <v>2021/12/17</v>
      </c>
    </row>
    <row r="51" spans="1:26" x14ac:dyDescent="0.3">
      <c r="A51" t="str">
        <f t="array" ref="A51:J51">[1]!'6538.TW-ID,Name,Price,PriceChangeRatio,Low,High,Volume,InOutRatioNumber,Capital,ProfitMargin'</f>
        <v>6538</v>
      </c>
      <c r="B51" t="str">
        <v>倉和</v>
      </c>
      <c r="C51">
        <v>78</v>
      </c>
      <c r="D51">
        <v>-0.38</v>
      </c>
      <c r="E51">
        <v>77.7</v>
      </c>
      <c r="F51">
        <v>78.900000000000006</v>
      </c>
      <c r="G51">
        <v>6</v>
      </c>
      <c r="H51" t="str">
        <v>27.59%</v>
      </c>
      <c r="I51" t="str">
        <v>3.73</v>
      </c>
      <c r="J51" t="str">
        <v>41.74</v>
      </c>
      <c r="K51" t="str">
        <f t="array" ref="K51:T51">[1]!'6538.TW-OperatingProfitRatio,NetProfitMargin,TFXRatio,MonthlyNetSalesYoY,ReturnOnAssets,DividendYear,ProfitFourSeason,CashDividendYieldRate,StockNetValue,ExchangeIndustry'</f>
        <v>16.88</v>
      </c>
      <c r="L51" t="str">
        <v>11.85</v>
      </c>
      <c r="M51" t="str">
        <v>33.46</v>
      </c>
      <c r="N51" t="str">
        <v>-17.29</v>
      </c>
      <c r="O51" t="str">
        <v>5.04</v>
      </c>
      <c r="P51">
        <v>7</v>
      </c>
      <c r="Q51" t="str">
        <v>5.16</v>
      </c>
      <c r="R51">
        <v>8.9700000000000006</v>
      </c>
      <c r="S51" t="str">
        <v>43.62</v>
      </c>
      <c r="T51" t="str">
        <v>上櫃電子零組件</v>
      </c>
      <c r="U51">
        <f t="array" ref="U51:Z51">[1]!'6538.TW-PreTotalVolume,ChipsField25,ChipsField27,DateofMeetingofShareHolders,CompanyPos,TradingDate'</f>
        <v>131</v>
      </c>
      <c r="V51" t="str">
        <v>2021/08/27</v>
      </c>
      <c r="W51" t="str">
        <v>--</v>
      </c>
      <c r="X51" t="str">
        <v>2021/08/11</v>
      </c>
      <c r="Y51" t="str">
        <v>國內最大的太陽能精密網版廠</v>
      </c>
      <c r="Z51" t="str">
        <v>2021/12/17</v>
      </c>
    </row>
    <row r="52" spans="1:26" x14ac:dyDescent="0.3">
      <c r="A52" t="str">
        <f t="array" ref="A52:J52">[1]!'5263.TW-ID,Name,Price,PriceChangeRatio,Low,High,Volume,InOutRatioNumber,Capital,ProfitMargin'</f>
        <v>5263</v>
      </c>
      <c r="B52" t="str">
        <v>智崴</v>
      </c>
      <c r="C52">
        <v>122.5</v>
      </c>
      <c r="D52">
        <v>-0.81</v>
      </c>
      <c r="E52">
        <v>122</v>
      </c>
      <c r="F52">
        <v>125.5</v>
      </c>
      <c r="G52">
        <v>33</v>
      </c>
      <c r="H52" t="str">
        <v>20.00%</v>
      </c>
      <c r="I52" t="str">
        <v>6.09</v>
      </c>
      <c r="J52" t="str">
        <v>46.25</v>
      </c>
      <c r="K52" t="str">
        <f t="array" ref="K52:T52">[1]!'5263.TW-OperatingProfitRatio,NetProfitMargin,TFXRatio,MonthlyNetSalesYoY,ReturnOnAssets,DividendYear,ProfitFourSeason,CashDividendYieldRate,StockNetValue,ExchangeIndustry'</f>
        <v>-17.86</v>
      </c>
      <c r="L52" t="str">
        <v>-15.91</v>
      </c>
      <c r="M52" t="str">
        <v>-4.74</v>
      </c>
      <c r="N52" t="str">
        <v>-24.44</v>
      </c>
      <c r="O52" t="str">
        <v>-1.62</v>
      </c>
      <c r="P52">
        <v>0</v>
      </c>
      <c r="Q52" t="str">
        <v>-1.99</v>
      </c>
      <c r="R52">
        <v>0</v>
      </c>
      <c r="S52" t="str">
        <v>47.02</v>
      </c>
      <c r="T52" t="str">
        <v>上櫃文化創意</v>
      </c>
      <c r="U52">
        <f t="array" ref="U52:Z52">[1]!'5263.TW-PreTotalVolume,ChipsField25,ChipsField27,DateofMeetingofShareHolders,CompanyPos,TradingDate'</f>
        <v>195</v>
      </c>
      <c r="V52" t="str">
        <v>--</v>
      </c>
      <c r="W52" t="str">
        <v>--</v>
      </c>
      <c r="X52" t="str">
        <v>2021/08/31</v>
      </c>
      <c r="Y52" t="str">
        <v>台灣最大體感遊戲設備商</v>
      </c>
      <c r="Z52" t="str">
        <v>2021/12/17</v>
      </c>
    </row>
    <row r="53" spans="1:26" x14ac:dyDescent="0.3">
      <c r="A53" t="str">
        <f t="array" ref="A53:J53">[1]!'3444.TW-ID,Name,Price,PriceChangeRatio,Low,High,Volume,InOutRatioNumber,Capital,ProfitMargin'</f>
        <v>3444</v>
      </c>
      <c r="B53" t="str">
        <v>利機</v>
      </c>
      <c r="C53">
        <v>59</v>
      </c>
      <c r="D53">
        <v>-3.75</v>
      </c>
      <c r="E53">
        <v>58.9</v>
      </c>
      <c r="F53">
        <v>60.5</v>
      </c>
      <c r="G53">
        <v>42</v>
      </c>
      <c r="H53" t="str">
        <v>22.67%</v>
      </c>
      <c r="I53" t="str">
        <v>3.91</v>
      </c>
      <c r="J53" t="str">
        <v>24.44</v>
      </c>
      <c r="K53" t="str">
        <f t="array" ref="K53:T53">[1]!'3444.TW-OperatingProfitRatio,NetProfitMargin,TFXRatio,MonthlyNetSalesYoY,ReturnOnAssets,DividendYear,ProfitFourSeason,CashDividendYieldRate,StockNetValue,ExchangeIndustry'</f>
        <v>12.09</v>
      </c>
      <c r="L53" t="str">
        <v>10.69</v>
      </c>
      <c r="M53" t="str">
        <v>2.78</v>
      </c>
      <c r="N53" t="str">
        <v>11.15</v>
      </c>
      <c r="O53" t="str">
        <v>7.49</v>
      </c>
      <c r="P53">
        <v>1.8</v>
      </c>
      <c r="Q53" t="str">
        <v>3.04</v>
      </c>
      <c r="R53">
        <v>3.05</v>
      </c>
      <c r="S53" t="str">
        <v>19.51</v>
      </c>
      <c r="T53" t="str">
        <v>上櫃電子通路</v>
      </c>
      <c r="U53">
        <f t="array" ref="U53:Z53">[1]!'3444.TW-PreTotalVolume,ChipsField25,ChipsField27,DateofMeetingofShareHolders,CompanyPos,TradingDate'</f>
        <v>1068</v>
      </c>
      <c r="V53" t="str">
        <v>2021/07/09</v>
      </c>
      <c r="W53" t="str">
        <v>--</v>
      </c>
      <c r="X53" t="str">
        <v>2021/08/05</v>
      </c>
      <c r="Y53" t="str">
        <v>台灣電子材料通路商</v>
      </c>
      <c r="Z53" t="str">
        <v>2021/12/17</v>
      </c>
    </row>
    <row r="54" spans="1:26" x14ac:dyDescent="0.3">
      <c r="A54" t="str">
        <f t="array" ref="A54:J54">[1]!'3576.TW-ID,Name,Price,PriceChangeRatio,Low,High,Volume,InOutRatioNumber,Capital,ProfitMargin'</f>
        <v>3576</v>
      </c>
      <c r="B54" t="str">
        <v>聯合再生</v>
      </c>
      <c r="C54">
        <v>21</v>
      </c>
      <c r="D54">
        <v>-2.78</v>
      </c>
      <c r="E54">
        <v>21</v>
      </c>
      <c r="F54">
        <v>21.9</v>
      </c>
      <c r="G54">
        <v>5076</v>
      </c>
      <c r="H54" t="str">
        <v>66.57%</v>
      </c>
      <c r="I54" t="str">
        <v>162.79</v>
      </c>
      <c r="J54" t="str">
        <v>4.30</v>
      </c>
      <c r="K54" t="str">
        <f t="array" ref="K54:T54">[1]!'3576.TW-OperatingProfitRatio,NetProfitMargin,TFXRatio,MonthlyNetSalesYoY,ReturnOnAssets,DividendYear,ProfitFourSeason,CashDividendYieldRate,StockNetValue,ExchangeIndustry'</f>
        <v>-6.37</v>
      </c>
      <c r="L54" t="str">
        <v>-8.67</v>
      </c>
      <c r="M54" t="str">
        <v>-3.44</v>
      </c>
      <c r="N54" t="str">
        <v>48.51</v>
      </c>
      <c r="O54" t="str">
        <v>-1.99</v>
      </c>
      <c r="P54">
        <v>0</v>
      </c>
      <c r="Q54" t="str">
        <v>-2.78</v>
      </c>
      <c r="R54">
        <v>0</v>
      </c>
      <c r="S54" t="str">
        <v>8.93</v>
      </c>
      <c r="T54" t="str">
        <v>上市光電</v>
      </c>
      <c r="U54">
        <f t="array" ref="U54:Z54">[1]!'3576.TW-PreTotalVolume,ChipsField25,ChipsField27,DateofMeetingofShareHolders,CompanyPos,TradingDate'</f>
        <v>6667</v>
      </c>
      <c r="V54" t="str">
        <v>--</v>
      </c>
      <c r="W54" t="str">
        <v>--</v>
      </c>
      <c r="X54" t="str">
        <v>2021/05/07</v>
      </c>
      <c r="Y54" t="str">
        <v>台灣太陽能電池模組龍頭</v>
      </c>
      <c r="Z54" t="str">
        <v>2021/12/17</v>
      </c>
    </row>
    <row r="55" spans="1:26" x14ac:dyDescent="0.3">
      <c r="A55" t="str">
        <f t="array" ref="A55:J55">[1]!'5432.TW-ID,Name,Price,PriceChangeRatio,Low,High,Volume,InOutRatioNumber,Capital,ProfitMargin'</f>
        <v>5432</v>
      </c>
      <c r="B55" t="str">
        <v>新門</v>
      </c>
      <c r="C55">
        <v>31.55</v>
      </c>
      <c r="D55">
        <v>2.94</v>
      </c>
      <c r="E55">
        <v>30.65</v>
      </c>
      <c r="F55">
        <v>32.049999999999997</v>
      </c>
      <c r="G55">
        <v>1</v>
      </c>
      <c r="H55" t="str">
        <v>100.00%</v>
      </c>
      <c r="I55" t="str">
        <v>2.07</v>
      </c>
      <c r="J55" t="str">
        <v>21.30</v>
      </c>
      <c r="K55" t="str">
        <f t="array" ref="K55:T55">[1]!'5432.TW-OperatingProfitRatio,NetProfitMargin,TFXRatio,MonthlyNetSalesYoY,ReturnOnAssets,DividendYear,ProfitFourSeason,CashDividendYieldRate,StockNetValue,ExchangeIndustry'</f>
        <v>5.87</v>
      </c>
      <c r="L55" t="str">
        <v>0.07</v>
      </c>
      <c r="M55" t="str">
        <v>29.92</v>
      </c>
      <c r="N55" t="str">
        <v>326.63</v>
      </c>
      <c r="O55" t="str">
        <v>0.01</v>
      </c>
      <c r="P55">
        <v>0</v>
      </c>
      <c r="Q55" t="str">
        <v>-0.05</v>
      </c>
      <c r="R55">
        <v>0</v>
      </c>
      <c r="S55" t="str">
        <v>15.95</v>
      </c>
      <c r="T55" t="str">
        <v>上櫃光電</v>
      </c>
      <c r="U55">
        <f t="array" ref="U55:Z55">[1]!'5432.TW-PreTotalVolume,ChipsField25,ChipsField27,DateofMeetingofShareHolders,CompanyPos,TradingDate'</f>
        <v>8</v>
      </c>
      <c r="V55" t="str">
        <v>--</v>
      </c>
      <c r="W55" t="str">
        <v>--</v>
      </c>
      <c r="X55" t="str">
        <v>2021/07/09</v>
      </c>
      <c r="Y55" t="str">
        <v>所羅門子公司，中小尺寸液晶顯示器模組廠</v>
      </c>
      <c r="Z55" t="str">
        <v>2021/12/17</v>
      </c>
    </row>
    <row r="56" spans="1:26" x14ac:dyDescent="0.3">
      <c r="A56" t="str">
        <f t="array" ref="A56:J56">[1]!'5011.TW-ID,Name,Price,PriceChangeRatio,Low,High,Volume,InOutRatioNumber,Capital,ProfitMargin'</f>
        <v>5011</v>
      </c>
      <c r="B56" t="str">
        <v>久陽</v>
      </c>
      <c r="C56">
        <v>32.549999999999997</v>
      </c>
      <c r="D56">
        <v>-2.54</v>
      </c>
      <c r="E56">
        <v>32.549999999999997</v>
      </c>
      <c r="F56">
        <v>34.5</v>
      </c>
      <c r="G56">
        <v>169</v>
      </c>
      <c r="H56" t="str">
        <v>32.17%</v>
      </c>
      <c r="I56" t="str">
        <v>8.85</v>
      </c>
      <c r="J56" t="str">
        <v>6.34</v>
      </c>
      <c r="K56" t="str">
        <f t="array" ref="K56:T56">[1]!'5011.TW-OperatingProfitRatio,NetProfitMargin,TFXRatio,MonthlyNetSalesYoY,ReturnOnAssets,DividendYear,ProfitFourSeason,CashDividendYieldRate,StockNetValue,ExchangeIndustry'</f>
        <v>2.57</v>
      </c>
      <c r="L56" t="str">
        <v>3.39</v>
      </c>
      <c r="M56" t="str">
        <v>-11.16</v>
      </c>
      <c r="N56" t="str">
        <v>52.84</v>
      </c>
      <c r="O56" t="str">
        <v>3.67</v>
      </c>
      <c r="P56">
        <v>0</v>
      </c>
      <c r="Q56" t="str">
        <v>1.02</v>
      </c>
      <c r="R56">
        <v>0</v>
      </c>
      <c r="S56" t="str">
        <v>20.32</v>
      </c>
      <c r="T56" t="str">
        <v>上櫃鋼鐵</v>
      </c>
      <c r="U56">
        <f t="array" ref="U56:Z56">[1]!'5011.TW-PreTotalVolume,ChipsField25,ChipsField27,DateofMeetingofShareHolders,CompanyPos,TradingDate'</f>
        <v>1451</v>
      </c>
      <c r="V56" t="str">
        <v>--</v>
      </c>
      <c r="W56" t="str">
        <v>--</v>
      </c>
      <c r="X56" t="str">
        <v>2021/09/28</v>
      </c>
      <c r="Y56" t="str">
        <v>台鋼集團旗下，台灣大尺寸螺栓製造廠之一</v>
      </c>
      <c r="Z56" t="str">
        <v>2021/12/17</v>
      </c>
    </row>
    <row r="57" spans="1:26" x14ac:dyDescent="0.3">
      <c r="A57" t="str">
        <f t="array" ref="A57:J57">[1]!'3490.TW-ID,Name,Price,PriceChangeRatio,Low,High,Volume,InOutRatioNumber,Capital,ProfitMargin'</f>
        <v>3490</v>
      </c>
      <c r="B57" t="str">
        <v>單井</v>
      </c>
      <c r="C57">
        <v>31.5</v>
      </c>
      <c r="D57">
        <v>-4.26</v>
      </c>
      <c r="E57">
        <v>31.5</v>
      </c>
      <c r="F57">
        <v>33.25</v>
      </c>
      <c r="G57">
        <v>88</v>
      </c>
      <c r="H57" t="str">
        <v>21.89%</v>
      </c>
      <c r="I57" t="str">
        <v>5.70</v>
      </c>
      <c r="J57" t="str">
        <v>39.64</v>
      </c>
      <c r="K57" t="str">
        <f t="array" ref="K57:T57">[1]!'3490.TW-OperatingProfitRatio,NetProfitMargin,TFXRatio,MonthlyNetSalesYoY,ReturnOnAssets,DividendYear,ProfitFourSeason,CashDividendYieldRate,StockNetValue,ExchangeIndustry'</f>
        <v>22.70</v>
      </c>
      <c r="L57" t="str">
        <v>22.19</v>
      </c>
      <c r="M57" t="str">
        <v>12.11</v>
      </c>
      <c r="N57" t="str">
        <v>9.28</v>
      </c>
      <c r="O57" t="str">
        <v>5.30</v>
      </c>
      <c r="P57">
        <v>0.7</v>
      </c>
      <c r="Q57" t="str">
        <v>1.98</v>
      </c>
      <c r="R57">
        <v>2.2200000000000002</v>
      </c>
      <c r="S57" t="str">
        <v>21.85</v>
      </c>
      <c r="T57" t="str">
        <v>上櫃光電</v>
      </c>
      <c r="U57">
        <f t="array" ref="U57:Z57">[1]!'3490.TW-PreTotalVolume,ChipsField25,ChipsField27,DateofMeetingofShareHolders,CompanyPos,TradingDate'</f>
        <v>732</v>
      </c>
      <c r="V57" t="str">
        <v>2021/08/04</v>
      </c>
      <c r="W57" t="str">
        <v>--</v>
      </c>
      <c r="X57" t="str">
        <v>2021/07/30</v>
      </c>
      <c r="Y57" t="str">
        <v>台灣半導體封裝模具、自動化設備及太陽能系統安裝廠商</v>
      </c>
      <c r="Z57" t="str">
        <v>2021/12/17</v>
      </c>
    </row>
    <row r="58" spans="1:26" x14ac:dyDescent="0.3">
      <c r="A58" t="str">
        <f t="array" ref="A58:J58">[1]!'5383.TW-ID,Name,Price,PriceChangeRatio,Low,High,Volume,InOutRatioNumber,Capital,ProfitMargin'</f>
        <v>5383</v>
      </c>
      <c r="B58" t="str">
        <v>金利</v>
      </c>
      <c r="C58">
        <v>43.1</v>
      </c>
      <c r="D58">
        <v>-2.38</v>
      </c>
      <c r="E58">
        <v>42.4</v>
      </c>
      <c r="F58">
        <v>44.2</v>
      </c>
      <c r="G58">
        <v>16</v>
      </c>
      <c r="H58" t="str">
        <v>21.15%</v>
      </c>
      <c r="I58" t="str">
        <v>7.94</v>
      </c>
      <c r="J58" t="str">
        <v>15.35</v>
      </c>
      <c r="K58" t="str">
        <f t="array" ref="K58:T58">[1]!'5383.TW-OperatingProfitRatio,NetProfitMargin,TFXRatio,MonthlyNetSalesYoY,ReturnOnAssets,DividendYear,ProfitFourSeason,CashDividendYieldRate,StockNetValue,ExchangeIndustry'</f>
        <v>5.57</v>
      </c>
      <c r="L58" t="str">
        <v>3.38</v>
      </c>
      <c r="M58" t="str">
        <v>5.84</v>
      </c>
      <c r="N58" t="str">
        <v>45.95</v>
      </c>
      <c r="O58" t="str">
        <v>2.47</v>
      </c>
      <c r="P58">
        <v>0</v>
      </c>
      <c r="Q58" t="str">
        <v>-0.07</v>
      </c>
      <c r="R58">
        <v>0</v>
      </c>
      <c r="S58" t="str">
        <v>7.48</v>
      </c>
      <c r="T58" t="str">
        <v>上櫃其他電子</v>
      </c>
      <c r="U58">
        <f t="array" ref="U58:Z58">[1]!'5383.TW-PreTotalVolume,ChipsField25,ChipsField27,DateofMeetingofShareHolders,CompanyPos,TradingDate'</f>
        <v>462</v>
      </c>
      <c r="V58" t="str">
        <v>--</v>
      </c>
      <c r="W58" t="str">
        <v>--</v>
      </c>
      <c r="X58" t="str">
        <v>2021/08/24</v>
      </c>
      <c r="Y58" t="str">
        <v>建德旗下模具沖壓製造商</v>
      </c>
      <c r="Z58" t="str">
        <v>2021/12/17</v>
      </c>
    </row>
    <row r="59" spans="1:26" x14ac:dyDescent="0.3">
      <c r="A59" t="str">
        <f t="array" ref="A59:J59">[1]!'6418.TW-ID,Name,Price,PriceChangeRatio,Low,High,Volume,InOutRatioNumber,Capital,ProfitMargin'</f>
        <v>6418</v>
      </c>
      <c r="B59" t="str">
        <v>詠昇</v>
      </c>
      <c r="C59">
        <v>21.75</v>
      </c>
      <c r="D59">
        <v>-0.23</v>
      </c>
      <c r="E59">
        <v>21.7</v>
      </c>
      <c r="F59">
        <v>22.3</v>
      </c>
      <c r="G59">
        <v>23</v>
      </c>
      <c r="H59" t="str">
        <v>37.64%</v>
      </c>
      <c r="I59" t="str">
        <v>3.45</v>
      </c>
      <c r="J59" t="str">
        <v>13.12</v>
      </c>
      <c r="K59" t="str">
        <f t="array" ref="K59:T59">[1]!'6418.TW-OperatingProfitRatio,NetProfitMargin,TFXRatio,MonthlyNetSalesYoY,ReturnOnAssets,DividendYear,ProfitFourSeason,CashDividendYieldRate,StockNetValue,ExchangeIndustry'</f>
        <v>-2.15</v>
      </c>
      <c r="L59" t="str">
        <v>-2.67</v>
      </c>
      <c r="M59" t="str">
        <v>19.55</v>
      </c>
      <c r="N59" t="str">
        <v>43.34</v>
      </c>
      <c r="O59" t="str">
        <v>-1.69</v>
      </c>
      <c r="P59">
        <v>0.2</v>
      </c>
      <c r="Q59" t="str">
        <v>-0.73</v>
      </c>
      <c r="R59">
        <v>0.92</v>
      </c>
      <c r="S59" t="str">
        <v>13.18</v>
      </c>
      <c r="T59" t="str">
        <v>上櫃電子零組件</v>
      </c>
      <c r="U59">
        <f t="array" ref="U59:Z59">[1]!'6418.TW-PreTotalVolume,ChipsField25,ChipsField27,DateofMeetingofShareHolders,CompanyPos,TradingDate'</f>
        <v>2540</v>
      </c>
      <c r="V59" t="str">
        <v>2021/08/25</v>
      </c>
      <c r="W59" t="str">
        <v>--</v>
      </c>
      <c r="X59" t="str">
        <v>2021/08/09</v>
      </c>
      <c r="Y59" t="str">
        <v>PC、TV、NB、3C用連接器生產廠</v>
      </c>
      <c r="Z59" t="str">
        <v>2021/12/17</v>
      </c>
    </row>
    <row r="60" spans="1:26" x14ac:dyDescent="0.3">
      <c r="A60" t="str">
        <f t="array" ref="A60:J60">[1]!'5474.TW-ID,Name,Price,PriceChangeRatio,Low,High,Volume,InOutRatioNumber,Capital,ProfitMargin'</f>
        <v>5474</v>
      </c>
      <c r="B60" t="str">
        <v>聰泰</v>
      </c>
      <c r="C60">
        <v>106</v>
      </c>
      <c r="D60">
        <v>-0.93</v>
      </c>
      <c r="E60">
        <v>106</v>
      </c>
      <c r="F60">
        <v>107</v>
      </c>
      <c r="G60">
        <v>1</v>
      </c>
      <c r="H60" t="str">
        <v>33.33%</v>
      </c>
      <c r="I60" t="str">
        <v>4.04</v>
      </c>
      <c r="J60" t="str">
        <v>44.09</v>
      </c>
      <c r="K60" t="str">
        <f t="array" ref="K60:T60">[1]!'5474.TW-OperatingProfitRatio,NetProfitMargin,TFXRatio,MonthlyNetSalesYoY,ReturnOnAssets,DividendYear,ProfitFourSeason,CashDividendYieldRate,StockNetValue,ExchangeIndustry'</f>
        <v>25.86</v>
      </c>
      <c r="L60" t="str">
        <v>19.70</v>
      </c>
      <c r="M60" t="str">
        <v>-9.15</v>
      </c>
      <c r="N60" t="str">
        <v>-57.04</v>
      </c>
      <c r="O60" t="str">
        <v>12.94</v>
      </c>
      <c r="P60">
        <v>10</v>
      </c>
      <c r="Q60" t="str">
        <v>13.28</v>
      </c>
      <c r="R60">
        <v>9.43</v>
      </c>
      <c r="S60" t="str">
        <v>38.72</v>
      </c>
      <c r="T60" t="str">
        <v>上櫃電腦及週邊設備</v>
      </c>
      <c r="U60">
        <f t="array" ref="U60:Z60">[1]!'5474.TW-PreTotalVolume,ChipsField25,ChipsField27,DateofMeetingofShareHolders,CompanyPos,TradingDate'</f>
        <v>40</v>
      </c>
      <c r="V60" t="str">
        <v>2021/08/06</v>
      </c>
      <c r="W60" t="str">
        <v>2021/08/20</v>
      </c>
      <c r="X60" t="str">
        <v>2021/07/20</v>
      </c>
      <c r="Y60" t="str">
        <v>數位監控、影音串流設備商</v>
      </c>
      <c r="Z60" t="str">
        <v>2021/12/17</v>
      </c>
    </row>
    <row r="61" spans="1:26" x14ac:dyDescent="0.3">
      <c r="A61" t="str">
        <f t="array" ref="A61:J61">[1]!'6472.TW-ID,Name,Price,PriceChangeRatio,Low,High,Volume,InOutRatioNumber,Capital,ProfitMargin'</f>
        <v>6472</v>
      </c>
      <c r="B61" t="str">
        <v>保瑞</v>
      </c>
      <c r="C61">
        <v>185</v>
      </c>
      <c r="D61">
        <v>-2.37</v>
      </c>
      <c r="E61">
        <v>184</v>
      </c>
      <c r="F61">
        <v>188</v>
      </c>
      <c r="G61">
        <v>16</v>
      </c>
      <c r="H61" t="str">
        <v>30.73%</v>
      </c>
      <c r="I61" t="str">
        <v>6.85</v>
      </c>
      <c r="J61" t="str">
        <v>34.59</v>
      </c>
      <c r="K61" t="str">
        <f t="array" ref="K61:T61">[1]!'6472.TW-OperatingProfitRatio,NetProfitMargin,TFXRatio,MonthlyNetSalesYoY,ReturnOnAssets,DividendYear,ProfitFourSeason,CashDividendYieldRate,StockNetValue,ExchangeIndustry'</f>
        <v>22.92</v>
      </c>
      <c r="L61" t="str">
        <v>16.26</v>
      </c>
      <c r="M61" t="str">
        <v>-7.45</v>
      </c>
      <c r="N61" t="str">
        <v>147.41</v>
      </c>
      <c r="O61" t="str">
        <v>8.61</v>
      </c>
      <c r="P61">
        <v>4.47</v>
      </c>
      <c r="Q61" t="str">
        <v>18.16</v>
      </c>
      <c r="R61">
        <v>2.42</v>
      </c>
      <c r="S61" t="str">
        <v>44.12</v>
      </c>
      <c r="T61" t="str">
        <v>上櫃生技醫療</v>
      </c>
      <c r="U61">
        <f t="array" ref="U61:Z61">[1]!'6472.TW-PreTotalVolume,ChipsField25,ChipsField27,DateofMeetingofShareHolders,CompanyPos,TradingDate'</f>
        <v>193</v>
      </c>
      <c r="V61" t="str">
        <v>2021/09/07</v>
      </c>
      <c r="W61" t="str">
        <v>2021/09/07</v>
      </c>
      <c r="X61" t="str">
        <v>2021/07/09</v>
      </c>
      <c r="Y61" t="str">
        <v>專注於改良劑型新藥研發公司</v>
      </c>
      <c r="Z61" t="str">
        <v>2021/12/17</v>
      </c>
    </row>
    <row r="62" spans="1:26" x14ac:dyDescent="0.3">
      <c r="A62" t="str">
        <f t="array" ref="A62:J62">[1]!'6640.TW-ID,Name,Price,PriceChangeRatio,Low,High,Volume,InOutRatioNumber,Capital,ProfitMargin'</f>
        <v>6640</v>
      </c>
      <c r="B62" t="str">
        <v>均華</v>
      </c>
      <c r="C62">
        <v>100</v>
      </c>
      <c r="D62">
        <v>-0.99</v>
      </c>
      <c r="E62">
        <v>100</v>
      </c>
      <c r="F62">
        <v>102</v>
      </c>
      <c r="G62">
        <v>1</v>
      </c>
      <c r="H62" t="str">
        <v>23.08%</v>
      </c>
      <c r="I62" t="str">
        <v>2.83</v>
      </c>
      <c r="J62" t="str">
        <v>34.64</v>
      </c>
      <c r="K62" t="str">
        <f t="array" ref="K62:T62">[1]!'6640.TW-OperatingProfitRatio,NetProfitMargin,TFXRatio,MonthlyNetSalesYoY,ReturnOnAssets,DividendYear,ProfitFourSeason,CashDividendYieldRate,StockNetValue,ExchangeIndustry'</f>
        <v>12.42</v>
      </c>
      <c r="L62" t="str">
        <v>11.74</v>
      </c>
      <c r="M62" t="str">
        <v>-32.63</v>
      </c>
      <c r="N62" t="str">
        <v>25.20</v>
      </c>
      <c r="O62" t="str">
        <v>6.22</v>
      </c>
      <c r="P62">
        <v>3</v>
      </c>
      <c r="Q62" t="str">
        <v>3.42</v>
      </c>
      <c r="R62">
        <v>3</v>
      </c>
      <c r="S62" t="str">
        <v>32.31</v>
      </c>
      <c r="T62" t="str">
        <v>上櫃半導體</v>
      </c>
      <c r="U62">
        <f t="array" ref="U62:Z62">[1]!'6640.TW-PreTotalVolume,ChipsField25,ChipsField27,DateofMeetingofShareHolders,CompanyPos,TradingDate'</f>
        <v>13</v>
      </c>
      <c r="V62" t="str">
        <v>2021/07/19</v>
      </c>
      <c r="W62" t="str">
        <v>--</v>
      </c>
      <c r="X62" t="str">
        <v>2021/07/02</v>
      </c>
      <c r="Y62" t="str">
        <v>均豪子公司，從事半導體封裝設備的製造</v>
      </c>
      <c r="Z62" t="str">
        <v>2021/12/17</v>
      </c>
    </row>
    <row r="63" spans="1:26" x14ac:dyDescent="0.3">
      <c r="A63" t="str">
        <f t="array" ref="A63:J63">[1]!'3294.TW-ID,Name,Price,PriceChangeRatio,Low,High,Volume,InOutRatioNumber,Capital,ProfitMargin'</f>
        <v>3294</v>
      </c>
      <c r="B63" t="str">
        <v>英濟</v>
      </c>
      <c r="C63">
        <v>33.65</v>
      </c>
      <c r="D63">
        <v>-1.75</v>
      </c>
      <c r="E63">
        <v>33.5</v>
      </c>
      <c r="F63">
        <v>34.5</v>
      </c>
      <c r="G63">
        <v>235</v>
      </c>
      <c r="H63" t="str">
        <v>45.26%</v>
      </c>
      <c r="I63" t="str">
        <v>13.20</v>
      </c>
      <c r="J63" t="str">
        <v>11.90</v>
      </c>
      <c r="K63" t="str">
        <f t="array" ref="K63:T63">[1]!'3294.TW-OperatingProfitRatio,NetProfitMargin,TFXRatio,MonthlyNetSalesYoY,ReturnOnAssets,DividendYear,ProfitFourSeason,CashDividendYieldRate,StockNetValue,ExchangeIndustry'</f>
        <v>0.57</v>
      </c>
      <c r="L63" t="str">
        <v>0.14</v>
      </c>
      <c r="M63" t="str">
        <v>0.31</v>
      </c>
      <c r="N63" t="str">
        <v>-19.65</v>
      </c>
      <c r="O63" t="str">
        <v>0.31</v>
      </c>
      <c r="P63">
        <v>0.5</v>
      </c>
      <c r="Q63" t="str">
        <v>0.72</v>
      </c>
      <c r="R63">
        <v>1.49</v>
      </c>
      <c r="S63" t="str">
        <v>17.65</v>
      </c>
      <c r="T63" t="str">
        <v>上櫃電子零組件</v>
      </c>
      <c r="U63">
        <f t="array" ref="U63:Z63">[1]!'3294.TW-PreTotalVolume,ChipsField25,ChipsField27,DateofMeetingofShareHolders,CompanyPos,TradingDate'</f>
        <v>3354</v>
      </c>
      <c r="V63" t="str">
        <v>2021/08/24</v>
      </c>
      <c r="W63" t="str">
        <v>--</v>
      </c>
      <c r="X63" t="str">
        <v>2021/07/27</v>
      </c>
      <c r="Y63" t="str">
        <v>專營塑膠零組件射出與模具廠</v>
      </c>
      <c r="Z63" t="str">
        <v>2021/12/17</v>
      </c>
    </row>
    <row r="64" spans="1:26" x14ac:dyDescent="0.3">
      <c r="A64" t="str">
        <f t="array" ref="A64:J64">[1]!'8183.TW-ID,Name,Price,PriceChangeRatio,Low,High,Volume,InOutRatioNumber,Capital,ProfitMargin'</f>
        <v>8183</v>
      </c>
      <c r="B64" t="str">
        <v>精星</v>
      </c>
      <c r="C64">
        <v>63.1</v>
      </c>
      <c r="D64">
        <v>-3.37</v>
      </c>
      <c r="E64">
        <v>63</v>
      </c>
      <c r="F64">
        <v>64.8</v>
      </c>
      <c r="G64">
        <v>200</v>
      </c>
      <c r="H64" t="str">
        <v>33.43%</v>
      </c>
      <c r="I64" t="str">
        <v>12.13</v>
      </c>
      <c r="J64" t="str">
        <v>21.40</v>
      </c>
      <c r="K64" t="str">
        <f t="array" ref="K64:T64">[1]!'8183.TW-OperatingProfitRatio,NetProfitMargin,TFXRatio,MonthlyNetSalesYoY,ReturnOnAssets,DividendYear,ProfitFourSeason,CashDividendYieldRate,StockNetValue,ExchangeIndustry'</f>
        <v>10.99</v>
      </c>
      <c r="L64" t="str">
        <v>7.86</v>
      </c>
      <c r="M64" t="str">
        <v>3.07</v>
      </c>
      <c r="N64" t="str">
        <v>44.96</v>
      </c>
      <c r="O64" t="str">
        <v>6.40</v>
      </c>
      <c r="P64">
        <v>0.8</v>
      </c>
      <c r="Q64" t="str">
        <v>3.02</v>
      </c>
      <c r="R64">
        <v>1.27</v>
      </c>
      <c r="S64" t="str">
        <v>18.43</v>
      </c>
      <c r="T64" t="str">
        <v>上櫃其他電子</v>
      </c>
      <c r="U64">
        <f t="array" ref="U64:Z64">[1]!'8183.TW-PreTotalVolume,ChipsField25,ChipsField27,DateofMeetingofShareHolders,CompanyPos,TradingDate'</f>
        <v>5572</v>
      </c>
      <c r="V64" t="str">
        <v>2021/08/12</v>
      </c>
      <c r="W64" t="str">
        <v>--</v>
      </c>
      <c r="X64" t="str">
        <v>2021/07/05</v>
      </c>
      <c r="Y64" t="str">
        <v>專業電子製造服務(EMS)廠商</v>
      </c>
      <c r="Z64" t="str">
        <v>2021/12/17</v>
      </c>
    </row>
    <row r="65" spans="1:26" x14ac:dyDescent="0.3">
      <c r="A65" t="str">
        <f t="array" ref="A65:J65">[1]!'1598.TW-ID,Name,Price,PriceChangeRatio,Low,High,Volume,InOutRatioNumber,Capital,ProfitMargin'</f>
        <v>1598</v>
      </c>
      <c r="B65" t="str">
        <v>岱宇</v>
      </c>
      <c r="C65">
        <v>53.5</v>
      </c>
      <c r="D65">
        <v>0.56000000000000005</v>
      </c>
      <c r="E65">
        <v>53.2</v>
      </c>
      <c r="F65">
        <v>54.4</v>
      </c>
      <c r="G65">
        <v>41</v>
      </c>
      <c r="H65" t="str">
        <v>37.47%</v>
      </c>
      <c r="I65" t="str">
        <v>13.47</v>
      </c>
      <c r="J65" t="str">
        <v>34.79</v>
      </c>
      <c r="K65" t="str">
        <f t="array" ref="K65:T65">[1]!'1598.TW-OperatingProfitRatio,NetProfitMargin,TFXRatio,MonthlyNetSalesYoY,ReturnOnAssets,DividendYear,ProfitFourSeason,CashDividendYieldRate,StockNetValue,ExchangeIndustry'</f>
        <v>7.84</v>
      </c>
      <c r="L65" t="str">
        <v>4.61</v>
      </c>
      <c r="M65" t="str">
        <v>-12.58</v>
      </c>
      <c r="N65" t="str">
        <v>-52.32</v>
      </c>
      <c r="O65" t="str">
        <v>3.57</v>
      </c>
      <c r="P65">
        <v>7.47</v>
      </c>
      <c r="Q65" t="str">
        <v>9.18</v>
      </c>
      <c r="R65">
        <v>13.96</v>
      </c>
      <c r="S65" t="str">
        <v>32.19</v>
      </c>
      <c r="T65" t="str">
        <v>上市生技醫療</v>
      </c>
      <c r="U65">
        <f t="array" ref="U65:Z65">[1]!'1598.TW-PreTotalVolume,ChipsField25,ChipsField27,DateofMeetingofShareHolders,CompanyPos,TradingDate'</f>
        <v>175</v>
      </c>
      <c r="V65" t="str">
        <v>2021/06/25</v>
      </c>
      <c r="W65" t="str">
        <v>--</v>
      </c>
      <c r="X65" t="str">
        <v>2021/08/27</v>
      </c>
      <c r="Y65" t="str">
        <v>台灣健身器材出口業者</v>
      </c>
      <c r="Z65" t="str">
        <v>2021/12/17</v>
      </c>
    </row>
    <row r="66" spans="1:26" x14ac:dyDescent="0.3">
      <c r="A66" t="str">
        <f t="array" ref="A66:J66">[1]!'6594.TW-ID,Name,Price,PriceChangeRatio,Low,High,Volume,InOutRatioNumber,Capital,ProfitMargin'</f>
        <v>6594</v>
      </c>
      <c r="B66" t="str">
        <v>展匯科</v>
      </c>
      <c r="C66">
        <v>40.549999999999997</v>
      </c>
      <c r="D66">
        <v>-1.58</v>
      </c>
      <c r="E66">
        <v>40.049999999999997</v>
      </c>
      <c r="F66">
        <v>41.7</v>
      </c>
      <c r="G66">
        <v>1</v>
      </c>
      <c r="H66" t="str">
        <v>30.77%</v>
      </c>
      <c r="I66" t="str">
        <v>3.02</v>
      </c>
      <c r="J66" t="str">
        <v>45.92</v>
      </c>
      <c r="K66" t="str">
        <f t="array" ref="K66:T66">[1]!'6594.TW-OperatingProfitRatio,NetProfitMargin,TFXRatio,MonthlyNetSalesYoY,ReturnOnAssets,DividendYear,ProfitFourSeason,CashDividendYieldRate,StockNetValue,ExchangeIndustry'</f>
        <v>3.44</v>
      </c>
      <c r="L66" t="str">
        <v>4.20</v>
      </c>
      <c r="M66" t="str">
        <v>9.03</v>
      </c>
      <c r="N66" t="str">
        <v>1.18</v>
      </c>
      <c r="O66" t="str">
        <v>2.02</v>
      </c>
      <c r="P66">
        <v>1.6</v>
      </c>
      <c r="Q66" t="str">
        <v>1.15</v>
      </c>
      <c r="R66">
        <v>3.95</v>
      </c>
      <c r="S66" t="str">
        <v>22.47</v>
      </c>
      <c r="T66" t="str">
        <v>上櫃半導體</v>
      </c>
      <c r="U66">
        <f t="array" ref="U66:Z66">[1]!'6594.TW-PreTotalVolume,ChipsField25,ChipsField27,DateofMeetingofShareHolders,CompanyPos,TradingDate'</f>
        <v>41</v>
      </c>
      <c r="V66" t="str">
        <v>2021/08/10</v>
      </c>
      <c r="W66" t="str">
        <v>2021/08/10</v>
      </c>
      <c r="X66" t="str">
        <v>2021/07/09</v>
      </c>
      <c r="Y66" t="str">
        <v>安國轉投資之USB控制IC設計公司</v>
      </c>
      <c r="Z66" t="str">
        <v>2021/12/17</v>
      </c>
    </row>
    <row r="67" spans="1:26" x14ac:dyDescent="0.3">
      <c r="A67" t="str">
        <f t="array" ref="A67:J67">[1]!'6531.TW-ID,Name,Price,PriceChangeRatio,Low,High,Volume,InOutRatioNumber,Capital,ProfitMargin'</f>
        <v>6531</v>
      </c>
      <c r="B67" t="str">
        <v>愛普*</v>
      </c>
      <c r="C67">
        <v>480.5</v>
      </c>
      <c r="D67">
        <v>-3.13</v>
      </c>
      <c r="E67">
        <v>480</v>
      </c>
      <c r="F67">
        <v>489</v>
      </c>
      <c r="G67">
        <v>327</v>
      </c>
      <c r="H67" t="str">
        <v>41.19%</v>
      </c>
      <c r="I67" t="str">
        <v>7.43</v>
      </c>
      <c r="J67" t="str">
        <v>45.75</v>
      </c>
      <c r="K67" t="str">
        <f t="array" ref="K67:T67">[1]!'6531.TW-OperatingProfitRatio,NetProfitMargin,TFXRatio,MonthlyNetSalesYoY,ReturnOnAssets,DividendYear,ProfitFourSeason,CashDividendYieldRate,StockNetValue,ExchangeIndustry'</f>
        <v>35.78</v>
      </c>
      <c r="L67" t="str">
        <v>30.38</v>
      </c>
      <c r="M67" t="str">
        <v>-4.56</v>
      </c>
      <c r="N67" t="str">
        <v>73.93</v>
      </c>
      <c r="O67" t="str">
        <v>30.94</v>
      </c>
      <c r="P67">
        <v>5</v>
      </c>
      <c r="Q67" t="str">
        <v>11.12</v>
      </c>
      <c r="R67">
        <v>1.04</v>
      </c>
      <c r="S67" t="str">
        <v>28.61</v>
      </c>
      <c r="T67" t="str">
        <v>上市半導體</v>
      </c>
      <c r="U67">
        <f t="array" ref="U67:Z67">[1]!'6531.TW-PreTotalVolume,ChipsField25,ChipsField27,DateofMeetingofShareHolders,CompanyPos,TradingDate'</f>
        <v>2655</v>
      </c>
      <c r="V67" t="str">
        <v>2021/08/16</v>
      </c>
      <c r="W67" t="str">
        <v>--</v>
      </c>
      <c r="X67" t="str">
        <v>2021/12/06</v>
      </c>
      <c r="Y67" t="str">
        <v>從事行動記憶體IC設計的公司</v>
      </c>
      <c r="Z67" t="str">
        <v>2021/12/17</v>
      </c>
    </row>
    <row r="68" spans="1:26" x14ac:dyDescent="0.3">
      <c r="A68" t="str">
        <f t="array" ref="A68:J68">[1]!'5443.TW-ID,Name,Price,PriceChangeRatio,Low,High,Volume,InOutRatioNumber,Capital,ProfitMargin'</f>
        <v>5443</v>
      </c>
      <c r="B68" t="str">
        <v>均豪</v>
      </c>
      <c r="C68">
        <v>32.799999999999997</v>
      </c>
      <c r="D68">
        <v>-1.5</v>
      </c>
      <c r="E68">
        <v>32.799999999999997</v>
      </c>
      <c r="F68">
        <v>33.549999999999997</v>
      </c>
      <c r="G68">
        <v>33</v>
      </c>
      <c r="H68" t="str">
        <v>13.98%</v>
      </c>
      <c r="I68" t="str">
        <v>16.51</v>
      </c>
      <c r="J68" t="str">
        <v>24.35</v>
      </c>
      <c r="K68" t="str">
        <f t="array" ref="K68:T68">[1]!'5443.TW-OperatingProfitRatio,NetProfitMargin,TFXRatio,MonthlyNetSalesYoY,ReturnOnAssets,DividendYear,ProfitFourSeason,CashDividendYieldRate,StockNetValue,ExchangeIndustry'</f>
        <v>8.28</v>
      </c>
      <c r="L68" t="str">
        <v>8.22</v>
      </c>
      <c r="M68" t="str">
        <v>-26.13</v>
      </c>
      <c r="N68" t="str">
        <v>-37.53</v>
      </c>
      <c r="O68" t="str">
        <v>5.03</v>
      </c>
      <c r="P68">
        <v>1</v>
      </c>
      <c r="Q68" t="str">
        <v>2.06</v>
      </c>
      <c r="R68">
        <v>3.05</v>
      </c>
      <c r="S68" t="str">
        <v>14.42</v>
      </c>
      <c r="T68" t="str">
        <v>上櫃光電</v>
      </c>
      <c r="U68">
        <f t="array" ref="U68:Z68">[1]!'5443.TW-PreTotalVolume,ChipsField25,ChipsField27,DateofMeetingofShareHolders,CompanyPos,TradingDate'</f>
        <v>294</v>
      </c>
      <c r="V68" t="str">
        <v>2021/07/27</v>
      </c>
      <c r="W68" t="str">
        <v>--</v>
      </c>
      <c r="X68" t="str">
        <v>2021/07/05</v>
      </c>
      <c r="Y68" t="str">
        <v>台灣TFT製程及封裝設備供應商</v>
      </c>
      <c r="Z68" t="str">
        <v>2021/12/17</v>
      </c>
    </row>
    <row r="69" spans="1:26" x14ac:dyDescent="0.3">
      <c r="A69" t="str">
        <f t="array" ref="A69:J69">[1]!'6275.TW-ID,Name,Price,PriceChangeRatio,Low,High,Volume,InOutRatioNumber,Capital,ProfitMargin'</f>
        <v>6275</v>
      </c>
      <c r="B69" t="str">
        <v>元山</v>
      </c>
      <c r="C69">
        <v>36.65</v>
      </c>
      <c r="D69">
        <v>-2.5299999999999998</v>
      </c>
      <c r="E69">
        <v>36.4</v>
      </c>
      <c r="F69">
        <v>38.200000000000003</v>
      </c>
      <c r="G69">
        <v>120</v>
      </c>
      <c r="H69" t="str">
        <v>39.46%</v>
      </c>
      <c r="I69" t="str">
        <v>6.98</v>
      </c>
      <c r="J69" t="str">
        <v>18.26</v>
      </c>
      <c r="K69" t="str">
        <f t="array" ref="K69:T69">[1]!'6275.TW-OperatingProfitRatio,NetProfitMargin,TFXRatio,MonthlyNetSalesYoY,ReturnOnAssets,DividendYear,ProfitFourSeason,CashDividendYieldRate,StockNetValue,ExchangeIndustry'</f>
        <v>6.33</v>
      </c>
      <c r="L69" t="str">
        <v>5.10</v>
      </c>
      <c r="M69" t="str">
        <v>9.54</v>
      </c>
      <c r="N69" t="str">
        <v>28.77</v>
      </c>
      <c r="O69" t="str">
        <v>5.37</v>
      </c>
      <c r="P69">
        <v>1.5</v>
      </c>
      <c r="Q69" t="str">
        <v>2.84</v>
      </c>
      <c r="R69">
        <v>4.09</v>
      </c>
      <c r="S69" t="str">
        <v>16.79</v>
      </c>
      <c r="T69" t="str">
        <v>上櫃電子零組件</v>
      </c>
      <c r="U69">
        <f t="array" ref="U69:Z69">[1]!'6275.TW-PreTotalVolume,ChipsField25,ChipsField27,DateofMeetingofShareHolders,CompanyPos,TradingDate'</f>
        <v>5117</v>
      </c>
      <c r="V69" t="str">
        <v>2021/06/21</v>
      </c>
      <c r="W69" t="str">
        <v>--</v>
      </c>
      <c r="X69" t="str">
        <v>2021/07/15</v>
      </c>
      <c r="Y69" t="str">
        <v>以小家電起家，並跨入交直流無刷馬達散熱風扇廠商</v>
      </c>
      <c r="Z69" t="str">
        <v>2021/12/17</v>
      </c>
    </row>
    <row r="70" spans="1:26" x14ac:dyDescent="0.3">
      <c r="A70" t="str">
        <f t="array" ref="A70:J70">[1]!'5438.TW-ID,Name,Price,PriceChangeRatio,Low,High,Volume,InOutRatioNumber,Capital,ProfitMargin'</f>
        <v>5438</v>
      </c>
      <c r="B70" t="str">
        <v>東友</v>
      </c>
      <c r="C70">
        <v>16.5</v>
      </c>
      <c r="D70">
        <v>-1.2</v>
      </c>
      <c r="E70">
        <v>16.5</v>
      </c>
      <c r="F70">
        <v>16.600000000000001</v>
      </c>
      <c r="G70">
        <v>4</v>
      </c>
      <c r="H70" t="str">
        <v>22.22%</v>
      </c>
      <c r="I70" t="str">
        <v>11.25</v>
      </c>
      <c r="J70" t="str">
        <v>17.62</v>
      </c>
      <c r="K70" t="str">
        <f t="array" ref="K70:T70">[1]!'5438.TW-OperatingProfitRatio,NetProfitMargin,TFXRatio,MonthlyNetSalesYoY,ReturnOnAssets,DividendYear,ProfitFourSeason,CashDividendYieldRate,StockNetValue,ExchangeIndustry'</f>
        <v>0.07</v>
      </c>
      <c r="L70" t="str">
        <v>5.77</v>
      </c>
      <c r="M70" t="str">
        <v>33.72</v>
      </c>
      <c r="N70" t="str">
        <v>27.17</v>
      </c>
      <c r="O70" t="str">
        <v>2.86</v>
      </c>
      <c r="P70">
        <v>0.1</v>
      </c>
      <c r="Q70" t="str">
        <v>0.71</v>
      </c>
      <c r="R70">
        <v>0.61</v>
      </c>
      <c r="S70" t="str">
        <v>20.26</v>
      </c>
      <c r="T70" t="str">
        <v>上櫃電腦及週邊設備</v>
      </c>
      <c r="U70">
        <f t="array" ref="U70:Z70">[1]!'5438.TW-PreTotalVolume,ChipsField25,ChipsField27,DateofMeetingofShareHolders,CompanyPos,TradingDate'</f>
        <v>61</v>
      </c>
      <c r="V70" t="str">
        <v>2021/08/24</v>
      </c>
      <c r="W70" t="str">
        <v>--</v>
      </c>
      <c r="X70" t="str">
        <v>2021/09/24</v>
      </c>
      <c r="Y70" t="str">
        <v>為Konica Minolta代工多功能事務機</v>
      </c>
      <c r="Z70" t="str">
        <v>2021/12/17</v>
      </c>
    </row>
    <row r="71" spans="1:26" x14ac:dyDescent="0.3">
      <c r="A71" t="str">
        <f t="array" ref="A71:J71">[1]!'1725.TW-ID,Name,Price,PriceChangeRatio,Low,High,Volume,InOutRatioNumber,Capital,ProfitMargin'</f>
        <v>1725</v>
      </c>
      <c r="B71" t="str">
        <v>元禎</v>
      </c>
      <c r="C71">
        <v>32.299999999999997</v>
      </c>
      <c r="D71">
        <v>-3.87</v>
      </c>
      <c r="E71">
        <v>32.299999999999997</v>
      </c>
      <c r="F71">
        <v>33.65</v>
      </c>
      <c r="G71">
        <v>48</v>
      </c>
      <c r="H71" t="str">
        <v>6.22%</v>
      </c>
      <c r="I71" t="str">
        <v>18.18</v>
      </c>
      <c r="J71" t="str">
        <v>4.45</v>
      </c>
      <c r="K71" t="str">
        <f t="array" ref="K71:T71">[1]!'1725.TW-OperatingProfitRatio,NetProfitMargin,TFXRatio,MonthlyNetSalesYoY,ReturnOnAssets,DividendYear,ProfitFourSeason,CashDividendYieldRate,StockNetValue,ExchangeIndustry'</f>
        <v>2.32</v>
      </c>
      <c r="L71" t="str">
        <v>3.08</v>
      </c>
      <c r="M71" t="str">
        <v>1.83</v>
      </c>
      <c r="N71" t="str">
        <v>34.78</v>
      </c>
      <c r="O71" t="str">
        <v>4.22</v>
      </c>
      <c r="P71">
        <v>0.96</v>
      </c>
      <c r="Q71" t="str">
        <v>1.91</v>
      </c>
      <c r="R71">
        <v>2.97</v>
      </c>
      <c r="S71" t="str">
        <v>22.06</v>
      </c>
      <c r="T71" t="str">
        <v>上市化工</v>
      </c>
      <c r="U71">
        <f t="array" ref="U71:Z71">[1]!'1725.TW-PreTotalVolume,ChipsField25,ChipsField27,DateofMeetingofShareHolders,CompanyPos,TradingDate'</f>
        <v>451</v>
      </c>
      <c r="V71" t="str">
        <v>2021/07/08</v>
      </c>
      <c r="W71" t="str">
        <v>--</v>
      </c>
      <c r="X71" t="str">
        <v>2021/07/02</v>
      </c>
      <c r="Y71" t="str">
        <v>石化原料之專業代理商</v>
      </c>
      <c r="Z71" t="str">
        <v>2021/12/17</v>
      </c>
    </row>
    <row r="72" spans="1:26" x14ac:dyDescent="0.3">
      <c r="A72" t="str">
        <f t="array" ref="A72:J72">[1]!'4989.TW-ID,Name,Price,PriceChangeRatio,Low,High,Volume,InOutRatioNumber,Capital,ProfitMargin'</f>
        <v>4989</v>
      </c>
      <c r="B72" t="str">
        <v>榮科</v>
      </c>
      <c r="C72">
        <v>43.15</v>
      </c>
      <c r="D72">
        <v>-2.92</v>
      </c>
      <c r="E72">
        <v>43.05</v>
      </c>
      <c r="F72">
        <v>44.2</v>
      </c>
      <c r="G72">
        <v>50</v>
      </c>
      <c r="H72" t="str">
        <v>20.71%</v>
      </c>
      <c r="I72" t="str">
        <v>13.78</v>
      </c>
      <c r="J72" t="str">
        <v>19.17</v>
      </c>
      <c r="K72" t="str">
        <f t="array" ref="K72:T72">[1]!'4989.TW-OperatingProfitRatio,NetProfitMargin,TFXRatio,MonthlyNetSalesYoY,ReturnOnAssets,DividendYear,ProfitFourSeason,CashDividendYieldRate,StockNetValue,ExchangeIndustry'</f>
        <v>16.09</v>
      </c>
      <c r="L72" t="str">
        <v>12.68</v>
      </c>
      <c r="M72" t="str">
        <v>-11.04</v>
      </c>
      <c r="N72" t="str">
        <v>47.27</v>
      </c>
      <c r="O72" t="str">
        <v>14.96</v>
      </c>
      <c r="P72">
        <v>0.67</v>
      </c>
      <c r="Q72" t="str">
        <v>2.81</v>
      </c>
      <c r="R72">
        <v>1.55</v>
      </c>
      <c r="S72" t="str">
        <v>14.74</v>
      </c>
      <c r="T72" t="str">
        <v>上市電子零組件</v>
      </c>
      <c r="U72">
        <f t="array" ref="U72:Z72">[1]!'4989.TW-PreTotalVolume,ChipsField25,ChipsField27,DateofMeetingofShareHolders,CompanyPos,TradingDate'</f>
        <v>1109</v>
      </c>
      <c r="V72" t="str">
        <v>2021/12/02</v>
      </c>
      <c r="W72" t="str">
        <v>--</v>
      </c>
      <c r="X72" t="str">
        <v>2021/07/20</v>
      </c>
      <c r="Y72" t="str">
        <v>榮化轉投資的電解銅箔廠</v>
      </c>
      <c r="Z72" t="str">
        <v>2021/12/17</v>
      </c>
    </row>
    <row r="73" spans="1:26" x14ac:dyDescent="0.3">
      <c r="A73" t="str">
        <f t="array" ref="A73:J73">[1]!'3434.TW-ID,Name,Price,PriceChangeRatio,Low,High,Volume,InOutRatioNumber,Capital,ProfitMargin'</f>
        <v>3434</v>
      </c>
      <c r="B73" t="str">
        <v>哲固</v>
      </c>
      <c r="C73">
        <v>16.850000000000001</v>
      </c>
      <c r="D73">
        <v>0.6</v>
      </c>
      <c r="E73">
        <v>16.649999999999999</v>
      </c>
      <c r="F73">
        <v>17.100000000000001</v>
      </c>
      <c r="G73">
        <v>13</v>
      </c>
      <c r="H73" t="str">
        <v>39.33%</v>
      </c>
      <c r="I73" t="str">
        <v>2.27</v>
      </c>
      <c r="J73" t="str">
        <v>14.53</v>
      </c>
      <c r="K73" t="str">
        <f t="array" ref="K73:T73">[1]!'3434.TW-OperatingProfitRatio,NetProfitMargin,TFXRatio,MonthlyNetSalesYoY,ReturnOnAssets,DividendYear,ProfitFourSeason,CashDividendYieldRate,StockNetValue,ExchangeIndustry'</f>
        <v>2.78</v>
      </c>
      <c r="L73" t="str">
        <v>1.84</v>
      </c>
      <c r="M73" t="str">
        <v>-17.64</v>
      </c>
      <c r="N73" t="str">
        <v>11.30</v>
      </c>
      <c r="O73" t="str">
        <v>2.26</v>
      </c>
      <c r="P73">
        <v>0</v>
      </c>
      <c r="Q73" t="str">
        <v>0.52</v>
      </c>
      <c r="R73">
        <v>0</v>
      </c>
      <c r="S73" t="str">
        <v>11.02</v>
      </c>
      <c r="T73" t="str">
        <v>上櫃光電</v>
      </c>
      <c r="U73">
        <f t="array" ref="U73:Z73">[1]!'3434.TW-PreTotalVolume,ChipsField25,ChipsField27,DateofMeetingofShareHolders,CompanyPos,TradingDate'</f>
        <v>500</v>
      </c>
      <c r="V73" t="str">
        <v>--</v>
      </c>
      <c r="W73" t="str">
        <v>--</v>
      </c>
      <c r="X73" t="str">
        <v>2021/07/08</v>
      </c>
      <c r="Y73" t="str">
        <v>台灣安全監控顯示器廠商</v>
      </c>
      <c r="Z73" t="str">
        <v>2021/12/17</v>
      </c>
    </row>
    <row r="74" spans="1:26" x14ac:dyDescent="0.3">
      <c r="A74" t="str">
        <f t="array" ref="A74:J74">[1]!'5230.TW-ID,Name,Price,PriceChangeRatio,Low,High,Volume,InOutRatioNumber,Capital,ProfitMargin'</f>
        <v>5230</v>
      </c>
      <c r="B74" t="str">
        <v>雷笛克光學</v>
      </c>
      <c r="C74">
        <v>31.5</v>
      </c>
      <c r="D74">
        <v>-2.17</v>
      </c>
      <c r="E74">
        <v>31.2</v>
      </c>
      <c r="F74">
        <v>32.299999999999997</v>
      </c>
      <c r="G74">
        <v>33</v>
      </c>
      <c r="H74" t="str">
        <v>38.24%</v>
      </c>
      <c r="I74" t="str">
        <v>4.70</v>
      </c>
      <c r="J74" t="str">
        <v>35.92</v>
      </c>
      <c r="K74" t="str">
        <f t="array" ref="K74:T74">[1]!'5230.TW-OperatingProfitRatio,NetProfitMargin,TFXRatio,MonthlyNetSalesYoY,ReturnOnAssets,DividendYear,ProfitFourSeason,CashDividendYieldRate,StockNetValue,ExchangeIndustry'</f>
        <v>5.60</v>
      </c>
      <c r="L74" t="str">
        <v>4.81</v>
      </c>
      <c r="M74" t="str">
        <v>10.12</v>
      </c>
      <c r="N74" t="str">
        <v>17.57</v>
      </c>
      <c r="O74" t="str">
        <v>2.30</v>
      </c>
      <c r="P74">
        <v>0.6</v>
      </c>
      <c r="Q74" t="str">
        <v>0.91</v>
      </c>
      <c r="R74">
        <v>1.9</v>
      </c>
      <c r="S74" t="str">
        <v>24.22</v>
      </c>
      <c r="T74" t="str">
        <v>上櫃光電</v>
      </c>
      <c r="U74">
        <f t="array" ref="U74:Z74">[1]!'5230.TW-PreTotalVolume,ChipsField25,ChipsField27,DateofMeetingofShareHolders,CompanyPos,TradingDate'</f>
        <v>254</v>
      </c>
      <c r="V74" t="str">
        <v>2021/08/11</v>
      </c>
      <c r="W74" t="str">
        <v>--</v>
      </c>
      <c r="X74" t="str">
        <v>2021/07/26</v>
      </c>
      <c r="Y74" t="str">
        <v>全球最大LED二次光學透鏡廠</v>
      </c>
      <c r="Z74" t="str">
        <v>2021/12/17</v>
      </c>
    </row>
    <row r="75" spans="1:26" x14ac:dyDescent="0.3">
      <c r="A75" t="str">
        <f t="array" ref="A75:J75">[1]!'4131.TW-ID,Name,Price,PriceChangeRatio,Low,High,Volume,InOutRatioNumber,Capital,ProfitMargin'</f>
        <v>4131</v>
      </c>
      <c r="B75" t="str">
        <v>晶宇</v>
      </c>
      <c r="C75">
        <v>6.2</v>
      </c>
      <c r="D75">
        <v>0</v>
      </c>
      <c r="E75">
        <v>6.2</v>
      </c>
      <c r="F75">
        <v>6.3</v>
      </c>
      <c r="G75">
        <v>2</v>
      </c>
      <c r="H75" t="str">
        <v>63.93%</v>
      </c>
      <c r="I75" t="str">
        <v>4.83</v>
      </c>
      <c r="J75" t="str">
        <v>28.08</v>
      </c>
      <c r="K75" t="str">
        <f t="array" ref="K75:T75">[1]!'4131.TW-OperatingProfitRatio,NetProfitMargin,TFXRatio,MonthlyNetSalesYoY,ReturnOnAssets,DividendYear,ProfitFourSeason,CashDividendYieldRate,StockNetValue,ExchangeIndustry'</f>
        <v>-28.69</v>
      </c>
      <c r="L75" t="str">
        <v>-22.99</v>
      </c>
      <c r="M75" t="str">
        <v>-5.52</v>
      </c>
      <c r="N75" t="str">
        <v>15.48</v>
      </c>
      <c r="O75" t="str">
        <v>-4.65</v>
      </c>
      <c r="P75">
        <v>0</v>
      </c>
      <c r="Q75" t="str">
        <v>-0.37</v>
      </c>
      <c r="R75">
        <v>0</v>
      </c>
      <c r="S75" t="str">
        <v>2.46</v>
      </c>
      <c r="T75" t="str">
        <v>上櫃生技醫療</v>
      </c>
      <c r="U75">
        <f t="array" ref="U75:Z75">[1]!'4131.TW-PreTotalVolume,ChipsField25,ChipsField27,DateofMeetingofShareHolders,CompanyPos,TradingDate'</f>
        <v>27</v>
      </c>
      <c r="V75" t="str">
        <v>--</v>
      </c>
      <c r="W75" t="str">
        <v>--</v>
      </c>
      <c r="X75" t="str">
        <v>2021/08/23</v>
      </c>
      <c r="Y75" t="str">
        <v>高分子生物檢驗晶片廠</v>
      </c>
      <c r="Z75" t="str">
        <v>2021/12/17</v>
      </c>
    </row>
    <row r="76" spans="1:26" x14ac:dyDescent="0.3">
      <c r="A76" t="str">
        <f t="array" ref="A76:J76">[1]!'3685.TW-ID,Name,Price,PriceChangeRatio,Low,High,Volume,InOutRatioNumber,Capital,ProfitMargin'</f>
        <v>3685</v>
      </c>
      <c r="B76" t="str">
        <v>元創精密</v>
      </c>
      <c r="C76">
        <v>37.35</v>
      </c>
      <c r="D76">
        <v>-1.45</v>
      </c>
      <c r="E76">
        <v>37.299999999999997</v>
      </c>
      <c r="F76">
        <v>38</v>
      </c>
      <c r="G76">
        <v>16</v>
      </c>
      <c r="H76" t="str">
        <v>9.49%</v>
      </c>
      <c r="I76" t="str">
        <v>8.00</v>
      </c>
      <c r="J76" t="str">
        <v>12.91</v>
      </c>
      <c r="K76" t="str">
        <f t="array" ref="K76:T76">[1]!'3685.TW-OperatingProfitRatio,NetProfitMargin,TFXRatio,MonthlyNetSalesYoY,ReturnOnAssets,DividendYear,ProfitFourSeason,CashDividendYieldRate,StockNetValue,ExchangeIndustry'</f>
        <v>-3.71</v>
      </c>
      <c r="L76" t="str">
        <v>-2.47</v>
      </c>
      <c r="M76" t="str">
        <v>-7.96</v>
      </c>
      <c r="N76" t="str">
        <v>39.20</v>
      </c>
      <c r="O76" t="str">
        <v>-0.69</v>
      </c>
      <c r="P76">
        <v>0.2</v>
      </c>
      <c r="Q76" t="str">
        <v>0.07</v>
      </c>
      <c r="R76">
        <v>0.54</v>
      </c>
      <c r="S76" t="str">
        <v>11.52</v>
      </c>
      <c r="T76" t="str">
        <v>上櫃電機機械</v>
      </c>
      <c r="U76">
        <f t="array" ref="U76:Z76">[1]!'3685.TW-PreTotalVolume,ChipsField25,ChipsField27,DateofMeetingofShareHolders,CompanyPos,TradingDate'</f>
        <v>162</v>
      </c>
      <c r="V76" t="str">
        <v>2021/08/30</v>
      </c>
      <c r="W76" t="str">
        <v>--</v>
      </c>
      <c r="X76" t="str">
        <v>2021/08/12</v>
      </c>
      <c r="Y76" t="str">
        <v>車用導光板及沖焊零件供應商</v>
      </c>
      <c r="Z76" t="str">
        <v>2021/12/17</v>
      </c>
    </row>
    <row r="77" spans="1:26" x14ac:dyDescent="0.3">
      <c r="A77" t="str">
        <f t="array" ref="A77:J77">[1]!'3689.TW-ID,Name,Price,PriceChangeRatio,Low,High,Volume,InOutRatioNumber,Capital,ProfitMargin'</f>
        <v>3689</v>
      </c>
      <c r="B77" t="str">
        <v>湧德</v>
      </c>
      <c r="C77">
        <v>42.85</v>
      </c>
      <c r="D77">
        <v>-3.38</v>
      </c>
      <c r="E77">
        <v>42.85</v>
      </c>
      <c r="F77">
        <v>44.65</v>
      </c>
      <c r="G77">
        <v>115</v>
      </c>
      <c r="H77" t="str">
        <v>28.44%</v>
      </c>
      <c r="I77" t="str">
        <v>7.52</v>
      </c>
      <c r="J77" t="str">
        <v>19.43</v>
      </c>
      <c r="K77" t="str">
        <f t="array" ref="K77:T77">[1]!'3689.TW-OperatingProfitRatio,NetProfitMargin,TFXRatio,MonthlyNetSalesYoY,ReturnOnAssets,DividendYear,ProfitFourSeason,CashDividendYieldRate,StockNetValue,ExchangeIndustry'</f>
        <v>4.64</v>
      </c>
      <c r="L77" t="str">
        <v>4.70</v>
      </c>
      <c r="M77" t="str">
        <v>7.74</v>
      </c>
      <c r="N77" t="str">
        <v>13.35</v>
      </c>
      <c r="O77" t="str">
        <v>4.05</v>
      </c>
      <c r="P77">
        <v>1.3</v>
      </c>
      <c r="Q77" t="str">
        <v>2.56</v>
      </c>
      <c r="R77">
        <v>3.03</v>
      </c>
      <c r="S77" t="str">
        <v>37.91</v>
      </c>
      <c r="T77" t="str">
        <v>上櫃電子零組件</v>
      </c>
      <c r="U77">
        <f t="array" ref="U77:Z77">[1]!'3689.TW-PreTotalVolume,ChipsField25,ChipsField27,DateofMeetingofShareHolders,CompanyPos,TradingDate'</f>
        <v>1449</v>
      </c>
      <c r="V77" t="str">
        <v>2021/07/28</v>
      </c>
      <c r="W77" t="str">
        <v>--</v>
      </c>
      <c r="X77" t="str">
        <v>2021/08/27</v>
      </c>
      <c r="Y77" t="str">
        <v>主要生產DT主機板、網通用連接器</v>
      </c>
      <c r="Z77" t="str">
        <v>2021/12/17</v>
      </c>
    </row>
    <row r="78" spans="1:26" x14ac:dyDescent="0.3">
      <c r="A78" t="str">
        <f t="array" ref="A78:J78">[1]!'5234.TW-ID,Name,Price,PriceChangeRatio,Low,High,Volume,InOutRatioNumber,Capital,ProfitMargin'</f>
        <v>5234</v>
      </c>
      <c r="B78" t="str">
        <v>達興材料</v>
      </c>
      <c r="C78">
        <v>126</v>
      </c>
      <c r="D78">
        <v>-1.56</v>
      </c>
      <c r="E78">
        <v>124</v>
      </c>
      <c r="F78">
        <v>131.5</v>
      </c>
      <c r="G78">
        <v>56</v>
      </c>
      <c r="H78" t="str">
        <v>42.01%</v>
      </c>
      <c r="I78" t="str">
        <v>10.27</v>
      </c>
      <c r="J78" t="str">
        <v>36.20</v>
      </c>
      <c r="K78" t="str">
        <f t="array" ref="K78:T78">[1]!'5234.TW-OperatingProfitRatio,NetProfitMargin,TFXRatio,MonthlyNetSalesYoY,ReturnOnAssets,DividendYear,ProfitFourSeason,CashDividendYieldRate,StockNetValue,ExchangeIndustry'</f>
        <v>17.34</v>
      </c>
      <c r="L78" t="str">
        <v>15.33</v>
      </c>
      <c r="M78" t="str">
        <v>8.62</v>
      </c>
      <c r="N78" t="str">
        <v>12.99</v>
      </c>
      <c r="O78" t="str">
        <v>11.61</v>
      </c>
      <c r="P78">
        <v>5</v>
      </c>
      <c r="Q78" t="str">
        <v>6.43</v>
      </c>
      <c r="R78">
        <v>3.97</v>
      </c>
      <c r="S78" t="str">
        <v>28.23</v>
      </c>
      <c r="T78" t="str">
        <v>上市光電</v>
      </c>
      <c r="U78">
        <f t="array" ref="U78:Z78">[1]!'5234.TW-PreTotalVolume,ChipsField25,ChipsField27,DateofMeetingofShareHolders,CompanyPos,TradingDate'</f>
        <v>2128</v>
      </c>
      <c r="V78" t="str">
        <v>2021/07/21</v>
      </c>
      <c r="W78" t="str">
        <v>--</v>
      </c>
      <c r="X78" t="str">
        <v>2021/07/20</v>
      </c>
      <c r="Y78" t="str">
        <v>友達為大股東之光電特用化學材料供應商</v>
      </c>
      <c r="Z78" t="str">
        <v>2021/12/17</v>
      </c>
    </row>
    <row r="79" spans="1:26" x14ac:dyDescent="0.3">
      <c r="A79" t="str">
        <f t="array" ref="A79:J79">[1]!'3712.TW-ID,Name,Price,PriceChangeRatio,Low,High,Volume,InOutRatioNumber,Capital,ProfitMargin'</f>
        <v>3712</v>
      </c>
      <c r="B79" t="str">
        <v>永崴投控</v>
      </c>
      <c r="C79">
        <v>31.8</v>
      </c>
      <c r="D79">
        <v>0.32</v>
      </c>
      <c r="E79">
        <v>31.75</v>
      </c>
      <c r="F79">
        <v>32.5</v>
      </c>
      <c r="G79">
        <v>39</v>
      </c>
      <c r="H79" t="str">
        <v>51.12%</v>
      </c>
      <c r="I79" t="str">
        <v>24.62</v>
      </c>
      <c r="J79" t="str">
        <v>18.95</v>
      </c>
      <c r="K79" t="str">
        <f t="array" ref="K79:T79">[1]!'3712.TW-OperatingProfitRatio,NetProfitMargin,TFXRatio,MonthlyNetSalesYoY,ReturnOnAssets,DividendYear,ProfitFourSeason,CashDividendYieldRate,StockNetValue,ExchangeIndustry'</f>
        <v>4.94</v>
      </c>
      <c r="L79" t="str">
        <v>5.65</v>
      </c>
      <c r="M79" t="str">
        <v>18.01</v>
      </c>
      <c r="N79" t="str">
        <v>85.74</v>
      </c>
      <c r="O79" t="str">
        <v>1.87</v>
      </c>
      <c r="P79">
        <v>1</v>
      </c>
      <c r="Q79" t="str">
        <v>1.96</v>
      </c>
      <c r="R79">
        <v>3.14</v>
      </c>
      <c r="S79" t="str">
        <v>27.93</v>
      </c>
      <c r="T79" t="str">
        <v>上市電腦及週邊設備</v>
      </c>
      <c r="U79">
        <f t="array" ref="U79:Z79">[1]!'3712.TW-PreTotalVolume,ChipsField25,ChipsField27,DateofMeetingofShareHolders,CompanyPos,TradingDate'</f>
        <v>565</v>
      </c>
      <c r="V79" t="str">
        <v>2021/08/05</v>
      </c>
      <c r="W79" t="str">
        <v>--</v>
      </c>
      <c r="X79" t="str">
        <v>2021/07/20</v>
      </c>
      <c r="Y79" t="str">
        <v>勁永、崴強、光燿科合併設立控股公司</v>
      </c>
      <c r="Z79" t="str">
        <v>2021/12/17</v>
      </c>
    </row>
    <row r="80" spans="1:26" x14ac:dyDescent="0.3">
      <c r="A80" t="str">
        <f t="array" ref="A80:J80">[1]!'8426.TW-ID,Name,Price,PriceChangeRatio,Low,High,Volume,InOutRatioNumber,Capital,ProfitMargin'</f>
        <v>8426</v>
      </c>
      <c r="B80" t="str">
        <v>紅木-KY</v>
      </c>
      <c r="C80">
        <v>15.95</v>
      </c>
      <c r="D80">
        <v>-6.45</v>
      </c>
      <c r="E80">
        <v>15.95</v>
      </c>
      <c r="F80">
        <v>16.899999999999999</v>
      </c>
      <c r="G80">
        <v>5</v>
      </c>
      <c r="H80" t="str">
        <v>3.42%</v>
      </c>
      <c r="I80" t="str">
        <v>5.02</v>
      </c>
      <c r="J80" t="str">
        <v>20.74</v>
      </c>
      <c r="K80" t="str">
        <f t="array" ref="K80:T80">[1]!'8426.TW-OperatingProfitRatio,NetProfitMargin,TFXRatio,MonthlyNetSalesYoY,ReturnOnAssets,DividendYear,ProfitFourSeason,CashDividendYieldRate,StockNetValue,ExchangeIndustry'</f>
        <v>-5.51</v>
      </c>
      <c r="L80" t="str">
        <v>-3.35</v>
      </c>
      <c r="M80" t="str">
        <v>-33.65</v>
      </c>
      <c r="N80" t="str">
        <v>42.85</v>
      </c>
      <c r="O80" t="str">
        <v>-1.26</v>
      </c>
      <c r="P80">
        <v>0</v>
      </c>
      <c r="Q80" t="str">
        <v>-0.96</v>
      </c>
      <c r="R80">
        <v>0</v>
      </c>
      <c r="S80" t="str">
        <v>13.60</v>
      </c>
      <c r="T80" t="str">
        <v>上櫃其他</v>
      </c>
      <c r="U80">
        <f t="array" ref="U80:Z80">[1]!'8426.TW-PreTotalVolume,ChipsField25,ChipsField27,DateofMeetingofShareHolders,CompanyPos,TradingDate'</f>
        <v>30</v>
      </c>
      <c r="V80" t="str">
        <v>--</v>
      </c>
      <c r="W80" t="str">
        <v>--</v>
      </c>
      <c r="X80" t="str">
        <v>2021/08/04</v>
      </c>
      <c r="Y80" t="str">
        <v>國際精品的裝潢承包商</v>
      </c>
      <c r="Z80" t="str">
        <v>2021/12/17</v>
      </c>
    </row>
    <row r="81" spans="1:26" x14ac:dyDescent="0.3">
      <c r="A81" t="str">
        <f t="array" ref="A81:J81">[1]!'8477.TW-ID,Name,Price,PriceChangeRatio,Low,High,Volume,InOutRatioNumber,Capital,ProfitMargin'</f>
        <v>8477</v>
      </c>
      <c r="B81" t="str">
        <v>創業家</v>
      </c>
      <c r="C81">
        <v>32.799999999999997</v>
      </c>
      <c r="D81">
        <v>-0.61</v>
      </c>
      <c r="E81">
        <v>32.65</v>
      </c>
      <c r="F81">
        <v>33.700000000000003</v>
      </c>
      <c r="G81">
        <v>2</v>
      </c>
      <c r="H81" t="str">
        <v>15.38%</v>
      </c>
      <c r="I81" t="str">
        <v>3.16</v>
      </c>
      <c r="J81" t="str">
        <v>18.27</v>
      </c>
      <c r="K81" t="str">
        <f t="array" ref="K81:T81">[1]!'8477.TW-OperatingProfitRatio,NetProfitMargin,TFXRatio,MonthlyNetSalesYoY,ReturnOnAssets,DividendYear,ProfitFourSeason,CashDividendYieldRate,StockNetValue,ExchangeIndustry'</f>
        <v>-0.67</v>
      </c>
      <c r="L81" t="str">
        <v>0.05</v>
      </c>
      <c r="M81" t="str">
        <v>24.34</v>
      </c>
      <c r="N81" t="str">
        <v>-22.82</v>
      </c>
      <c r="O81" t="str">
        <v>0.20</v>
      </c>
      <c r="P81">
        <v>1.94</v>
      </c>
      <c r="Q81" t="str">
        <v>-0.57</v>
      </c>
      <c r="R81">
        <v>5.91</v>
      </c>
      <c r="S81" t="str">
        <v>14.48</v>
      </c>
      <c r="T81" t="str">
        <v>上櫃電子商務</v>
      </c>
      <c r="U81">
        <f t="array" ref="U81:Z81">[1]!'8477.TW-PreTotalVolume,ChipsField25,ChipsField27,DateofMeetingofShareHolders,CompanyPos,TradingDate'</f>
        <v>36</v>
      </c>
      <c r="V81" t="str">
        <v>2021/06/25</v>
      </c>
      <c r="W81" t="str">
        <v>--</v>
      </c>
      <c r="X81" t="str">
        <v>2021/05/18</v>
      </c>
      <c r="Y81" t="str">
        <v>台灣知名品牌垂直型電子商務平台</v>
      </c>
      <c r="Z81" t="str">
        <v>2021/12/17</v>
      </c>
    </row>
    <row r="82" spans="1:26" x14ac:dyDescent="0.3">
      <c r="A82" t="str">
        <f t="array" ref="A82:J82">[1]!'2732.TW-ID,Name,Price,PriceChangeRatio,Low,High,Volume,InOutRatioNumber,Capital,ProfitMargin'</f>
        <v>2732</v>
      </c>
      <c r="B82" t="str">
        <v>六角</v>
      </c>
      <c r="C82">
        <v>86.6</v>
      </c>
      <c r="D82">
        <v>-2.37</v>
      </c>
      <c r="E82">
        <v>86.6</v>
      </c>
      <c r="F82">
        <v>88.7</v>
      </c>
      <c r="G82">
        <v>9</v>
      </c>
      <c r="H82" t="str">
        <v>27.92%</v>
      </c>
      <c r="I82" t="str">
        <v>4.51</v>
      </c>
      <c r="J82" t="str">
        <v>39.79</v>
      </c>
      <c r="K82" t="str">
        <f t="array" ref="K82:T82">[1]!'2732.TW-OperatingProfitRatio,NetProfitMargin,TFXRatio,MonthlyNetSalesYoY,ReturnOnAssets,DividendYear,ProfitFourSeason,CashDividendYieldRate,StockNetValue,ExchangeIndustry'</f>
        <v>2.73</v>
      </c>
      <c r="L82" t="str">
        <v>1.51</v>
      </c>
      <c r="M82" t="str">
        <v>-10.86</v>
      </c>
      <c r="N82" t="str">
        <v>1.12</v>
      </c>
      <c r="O82" t="str">
        <v>1.34</v>
      </c>
      <c r="P82">
        <v>2.98</v>
      </c>
      <c r="Q82" t="str">
        <v>2.54</v>
      </c>
      <c r="R82">
        <v>3.44</v>
      </c>
      <c r="S82" t="str">
        <v>36.49</v>
      </c>
      <c r="T82" t="str">
        <v>上櫃觀光</v>
      </c>
      <c r="U82">
        <f t="array" ref="U82:Z82">[1]!'2732.TW-PreTotalVolume,ChipsField25,ChipsField27,DateofMeetingofShareHolders,CompanyPos,TradingDate'</f>
        <v>118</v>
      </c>
      <c r="V82" t="str">
        <v>2021/07/12</v>
      </c>
      <c r="W82" t="str">
        <v>--</v>
      </c>
      <c r="X82" t="str">
        <v>2021/07/12</v>
      </c>
      <c r="Y82" t="str">
        <v>在全球80個城市擁有門市據點的外帶式茶飲與甜品供應商</v>
      </c>
      <c r="Z82" t="str">
        <v>2021/12/17</v>
      </c>
    </row>
    <row r="83" spans="1:26" x14ac:dyDescent="0.3">
      <c r="A83" t="str">
        <f t="array" ref="A83:J83">[1]!'6425.TW-ID,Name,Price,PriceChangeRatio,Low,High,Volume,InOutRatioNumber,Capital,ProfitMargin'</f>
        <v>6425</v>
      </c>
      <c r="B83" t="str">
        <v>易發</v>
      </c>
      <c r="C83">
        <v>25.7</v>
      </c>
      <c r="D83">
        <v>-0.39</v>
      </c>
      <c r="E83">
        <v>25.45</v>
      </c>
      <c r="F83">
        <v>26.2</v>
      </c>
      <c r="G83">
        <v>3</v>
      </c>
      <c r="H83" t="str">
        <v>43.48%</v>
      </c>
      <c r="I83" t="str">
        <v>4.36</v>
      </c>
      <c r="J83" t="str">
        <v>13.60</v>
      </c>
      <c r="K83" t="str">
        <f t="array" ref="K83:T83">[1]!'6425.TW-OperatingProfitRatio,NetProfitMargin,TFXRatio,MonthlyNetSalesYoY,ReturnOnAssets,DividendYear,ProfitFourSeason,CashDividendYieldRate,StockNetValue,ExchangeIndustry'</f>
        <v>-9.24</v>
      </c>
      <c r="L83" t="str">
        <v>-8.68</v>
      </c>
      <c r="M83" t="str">
        <v>9.68</v>
      </c>
      <c r="N83" t="str">
        <v>29.31</v>
      </c>
      <c r="O83" t="str">
        <v>-3.74</v>
      </c>
      <c r="P83">
        <v>0.5</v>
      </c>
      <c r="Q83" t="str">
        <v>-3.15</v>
      </c>
      <c r="R83">
        <v>1.95</v>
      </c>
      <c r="S83" t="str">
        <v>21.21</v>
      </c>
      <c r="T83" t="str">
        <v>上櫃電機機械</v>
      </c>
      <c r="U83">
        <f t="array" ref="U83:Z83">[1]!'6425.TW-PreTotalVolume,ChipsField25,ChipsField27,DateofMeetingofShareHolders,CompanyPos,TradingDate'</f>
        <v>29</v>
      </c>
      <c r="V83" t="str">
        <v>2021/06/11</v>
      </c>
      <c r="W83" t="str">
        <v>--</v>
      </c>
      <c r="X83" t="str">
        <v>2021/04/16</v>
      </c>
      <c r="Y83" t="str">
        <v>深耕面板製程設備，並跨足半導體及動力電池設備之廠商</v>
      </c>
      <c r="Z83" t="str">
        <v>2021/12/17</v>
      </c>
    </row>
    <row r="84" spans="1:26" x14ac:dyDescent="0.3">
      <c r="A84" t="str">
        <f t="array" ref="A84:J84">[1]!'3581.TW-ID,Name,Price,PriceChangeRatio,Low,High,Volume,InOutRatioNumber,Capital,ProfitMargin'</f>
        <v>3581</v>
      </c>
      <c r="B84" t="str">
        <v>博磊</v>
      </c>
      <c r="C84">
        <v>26.65</v>
      </c>
      <c r="D84">
        <v>-1.84</v>
      </c>
      <c r="E84">
        <v>26.5</v>
      </c>
      <c r="F84">
        <v>27.3</v>
      </c>
      <c r="G84">
        <v>6</v>
      </c>
      <c r="H84" t="str">
        <v>19.47%</v>
      </c>
      <c r="I84" t="str">
        <v>5.10</v>
      </c>
      <c r="J84" t="str">
        <v>41.44</v>
      </c>
      <c r="K84" t="str">
        <f t="array" ref="K84:T84">[1]!'3581.TW-OperatingProfitRatio,NetProfitMargin,TFXRatio,MonthlyNetSalesYoY,ReturnOnAssets,DividendYear,ProfitFourSeason,CashDividendYieldRate,StockNetValue,ExchangeIndustry'</f>
        <v>12.27</v>
      </c>
      <c r="L84" t="str">
        <v>10.71</v>
      </c>
      <c r="M84" t="str">
        <v>-7.12</v>
      </c>
      <c r="N84" t="str">
        <v>-10.44</v>
      </c>
      <c r="O84" t="str">
        <v>6.04</v>
      </c>
      <c r="P84">
        <v>0.9</v>
      </c>
      <c r="Q84" t="str">
        <v>2.17</v>
      </c>
      <c r="R84">
        <v>3.38</v>
      </c>
      <c r="S84" t="str">
        <v>15.75</v>
      </c>
      <c r="T84" t="str">
        <v>上櫃半導體</v>
      </c>
      <c r="U84">
        <f t="array" ref="U84:Z84">[1]!'3581.TW-PreTotalVolume,ChipsField25,ChipsField27,DateofMeetingofShareHolders,CompanyPos,TradingDate'</f>
        <v>171</v>
      </c>
      <c r="V84" t="str">
        <v>2021/07/19</v>
      </c>
      <c r="W84" t="str">
        <v>--</v>
      </c>
      <c r="X84" t="str">
        <v>2021/07/01</v>
      </c>
      <c r="Y84" t="str">
        <v>國內提供封裝測試設備及治具之專業製造商</v>
      </c>
      <c r="Z84" t="str">
        <v>2021/12/17</v>
      </c>
    </row>
    <row r="85" spans="1:26" x14ac:dyDescent="0.3">
      <c r="A85" t="str">
        <f t="array" ref="A85:J85">[1]!'4956.TW-ID,Name,Price,PriceChangeRatio,Low,High,Volume,InOutRatioNumber,Capital,ProfitMargin'</f>
        <v>4956</v>
      </c>
      <c r="B85" t="str">
        <v>光鋐</v>
      </c>
      <c r="C85">
        <v>25.85</v>
      </c>
      <c r="D85">
        <v>-2.82</v>
      </c>
      <c r="E85">
        <v>25.8</v>
      </c>
      <c r="F85">
        <v>26.5</v>
      </c>
      <c r="G85">
        <v>57</v>
      </c>
      <c r="H85" t="str">
        <v>27.08%</v>
      </c>
      <c r="I85" t="str">
        <v>10.04</v>
      </c>
      <c r="J85" t="str">
        <v>21.17</v>
      </c>
      <c r="K85" t="str">
        <f t="array" ref="K85:T85">[1]!'4956.TW-OperatingProfitRatio,NetProfitMargin,TFXRatio,MonthlyNetSalesYoY,ReturnOnAssets,DividendYear,ProfitFourSeason,CashDividendYieldRate,StockNetValue,ExchangeIndustry'</f>
        <v>8.96</v>
      </c>
      <c r="L85" t="str">
        <v>8.30</v>
      </c>
      <c r="M85" t="str">
        <v>-3.01</v>
      </c>
      <c r="N85" t="str">
        <v>0.09</v>
      </c>
      <c r="O85" t="str">
        <v>4.10</v>
      </c>
      <c r="P85">
        <v>0</v>
      </c>
      <c r="Q85" t="str">
        <v>1.43</v>
      </c>
      <c r="R85">
        <v>0</v>
      </c>
      <c r="S85" t="str">
        <v>19.35</v>
      </c>
      <c r="T85" t="str">
        <v>上市光電</v>
      </c>
      <c r="U85">
        <f t="array" ref="U85:Z85">[1]!'4956.TW-PreTotalVolume,ChipsField25,ChipsField27,DateofMeetingofShareHolders,CompanyPos,TradingDate'</f>
        <v>1240</v>
      </c>
      <c r="V85" t="str">
        <v>--</v>
      </c>
      <c r="W85" t="str">
        <v>--</v>
      </c>
      <c r="X85" t="str">
        <v>2021/07/08</v>
      </c>
      <c r="Y85" t="str">
        <v>鴻海集團轉投資的LED磊晶廠</v>
      </c>
      <c r="Z85" t="str">
        <v>2021/12/17</v>
      </c>
    </row>
    <row r="86" spans="1:26" x14ac:dyDescent="0.3">
      <c r="A86" t="str">
        <f t="array" ref="A86:J86">[1]!'1727.TW-ID,Name,Price,PriceChangeRatio,Low,High,Volume,InOutRatioNumber,Capital,ProfitMargin'</f>
        <v>1727</v>
      </c>
      <c r="B86" t="str">
        <v>中華化</v>
      </c>
      <c r="C86">
        <v>46.2</v>
      </c>
      <c r="D86">
        <v>-2.63</v>
      </c>
      <c r="E86">
        <v>45.9</v>
      </c>
      <c r="F86">
        <v>47.85</v>
      </c>
      <c r="G86">
        <v>157</v>
      </c>
      <c r="H86" t="str">
        <v>36.95%</v>
      </c>
      <c r="I86" t="str">
        <v>10.83</v>
      </c>
      <c r="J86" t="str">
        <v>19.14</v>
      </c>
      <c r="K86" t="str">
        <f t="array" ref="K86:T86">[1]!'1727.TW-OperatingProfitRatio,NetProfitMargin,TFXRatio,MonthlyNetSalesYoY,ReturnOnAssets,DividendYear,ProfitFourSeason,CashDividendYieldRate,StockNetValue,ExchangeIndustry'</f>
        <v>7.96</v>
      </c>
      <c r="L86" t="str">
        <v>10.12</v>
      </c>
      <c r="M86" t="str">
        <v>1.83</v>
      </c>
      <c r="N86" t="str">
        <v>23.87</v>
      </c>
      <c r="O86" t="str">
        <v>4.07</v>
      </c>
      <c r="P86">
        <v>0</v>
      </c>
      <c r="Q86" t="str">
        <v>1.45</v>
      </c>
      <c r="R86">
        <v>0</v>
      </c>
      <c r="S86" t="str">
        <v>13.02</v>
      </c>
      <c r="T86" t="str">
        <v>上市化工</v>
      </c>
      <c r="U86">
        <f t="array" ref="U86:Z86">[1]!'1727.TW-PreTotalVolume,ChipsField25,ChipsField27,DateofMeetingofShareHolders,CompanyPos,TradingDate'</f>
        <v>3434</v>
      </c>
      <c r="V86" t="str">
        <v>--</v>
      </c>
      <c r="W86" t="str">
        <v>--</v>
      </c>
      <c r="X86" t="str">
        <v>2021/07/20</v>
      </c>
      <c r="Y86" t="str">
        <v>台灣主要生產硫酸產品之廠商</v>
      </c>
      <c r="Z86" t="str">
        <v>2021/12/17</v>
      </c>
    </row>
    <row r="87" spans="1:26" x14ac:dyDescent="0.3">
      <c r="A87" t="str">
        <f t="array" ref="A87:J87">[1]!'8084.TW-ID,Name,Price,PriceChangeRatio,Low,High,Volume,InOutRatioNumber,Capital,ProfitMargin'</f>
        <v>8084</v>
      </c>
      <c r="B87" t="str">
        <v>巨虹</v>
      </c>
      <c r="C87">
        <v>60.2</v>
      </c>
      <c r="D87">
        <v>-0.66</v>
      </c>
      <c r="E87">
        <v>59</v>
      </c>
      <c r="F87">
        <v>61</v>
      </c>
      <c r="G87">
        <v>7</v>
      </c>
      <c r="H87" t="str">
        <v>16.85%</v>
      </c>
      <c r="I87" t="str">
        <v>6.95</v>
      </c>
      <c r="J87" t="str">
        <v>12.33</v>
      </c>
      <c r="K87" t="str">
        <f t="array" ref="K87:T87">[1]!'8084.TW-OperatingProfitRatio,NetProfitMargin,TFXRatio,MonthlyNetSalesYoY,ReturnOnAssets,DividendYear,ProfitFourSeason,CashDividendYieldRate,StockNetValue,ExchangeIndustry'</f>
        <v>-8.20</v>
      </c>
      <c r="L87" t="str">
        <v>-7.73</v>
      </c>
      <c r="M87" t="str">
        <v>39.49</v>
      </c>
      <c r="N87" t="str">
        <v>-12.37</v>
      </c>
      <c r="O87" t="str">
        <v>-3.50</v>
      </c>
      <c r="P87">
        <v>0</v>
      </c>
      <c r="Q87" t="str">
        <v>-1.29</v>
      </c>
      <c r="R87">
        <v>0</v>
      </c>
      <c r="S87" t="str">
        <v>5.47</v>
      </c>
      <c r="T87" t="str">
        <v>上櫃電子通路</v>
      </c>
      <c r="U87">
        <f t="array" ref="U87:Z87">[1]!'8084.TW-PreTotalVolume,ChipsField25,ChipsField27,DateofMeetingofShareHolders,CompanyPos,TradingDate'</f>
        <v>33</v>
      </c>
      <c r="V87" t="str">
        <v>--</v>
      </c>
      <c r="W87" t="str">
        <v>--</v>
      </c>
      <c r="X87" t="str">
        <v>2021/08/18</v>
      </c>
      <c r="Y87" t="str">
        <v>記憶卡為主營收項，並轉型為手機資安系統設計商</v>
      </c>
      <c r="Z87" t="str">
        <v>2021/12/17</v>
      </c>
    </row>
    <row r="88" spans="1:26" x14ac:dyDescent="0.3">
      <c r="A88" t="str">
        <f t="array" ref="A88:J88">[1]!'8476.TW-ID,Name,Price,PriceChangeRatio,Low,High,Volume,InOutRatioNumber,Capital,ProfitMargin'</f>
        <v>8476</v>
      </c>
      <c r="B88" t="str">
        <v>台境</v>
      </c>
      <c r="C88">
        <v>59</v>
      </c>
      <c r="D88">
        <v>-0.17</v>
      </c>
      <c r="E88">
        <v>58.1</v>
      </c>
      <c r="F88">
        <v>59.8</v>
      </c>
      <c r="G88">
        <v>15</v>
      </c>
      <c r="H88" t="str">
        <v>41.61%</v>
      </c>
      <c r="I88" t="str">
        <v>7.05</v>
      </c>
      <c r="J88" t="str">
        <v>11.35</v>
      </c>
      <c r="K88" t="str">
        <f t="array" ref="K88:T88">[1]!'8476.TW-OperatingProfitRatio,NetProfitMargin,TFXRatio,MonthlyNetSalesYoY,ReturnOnAssets,DividendYear,ProfitFourSeason,CashDividendYieldRate,StockNetValue,ExchangeIndustry'</f>
        <v>-2.26</v>
      </c>
      <c r="L88" t="str">
        <v>-8.61</v>
      </c>
      <c r="M88" t="str">
        <v>-12.43</v>
      </c>
      <c r="N88" t="str">
        <v>88.12</v>
      </c>
      <c r="O88" t="str">
        <v>-1.56</v>
      </c>
      <c r="P88">
        <v>0</v>
      </c>
      <c r="Q88" t="str">
        <v>-0.35</v>
      </c>
      <c r="R88">
        <v>0</v>
      </c>
      <c r="S88" t="str">
        <v>6.55</v>
      </c>
      <c r="T88" t="str">
        <v>上櫃其他</v>
      </c>
      <c r="U88">
        <f t="array" ref="U88:Z88">[1]!'8476.TW-PreTotalVolume,ChipsField25,ChipsField27,DateofMeetingofShareHolders,CompanyPos,TradingDate'</f>
        <v>89</v>
      </c>
      <c r="V88" t="str">
        <v>--</v>
      </c>
      <c r="W88" t="str">
        <v>--</v>
      </c>
      <c r="X88" t="str">
        <v>2021/08/03</v>
      </c>
      <c r="Y88" t="str">
        <v>專注發展土壤、地下水領域的環保工程服務商</v>
      </c>
      <c r="Z88" t="str">
        <v>2021/12/17</v>
      </c>
    </row>
    <row r="89" spans="1:26" x14ac:dyDescent="0.3">
      <c r="A89" t="str">
        <f t="array" ref="A89:J89">[1]!'2221.TW-ID,Name,Price,PriceChangeRatio,Low,High,Volume,InOutRatioNumber,Capital,ProfitMargin'</f>
        <v>2221</v>
      </c>
      <c r="B89" t="str">
        <v>大甲</v>
      </c>
      <c r="C89">
        <v>39.65</v>
      </c>
      <c r="D89">
        <v>0.63</v>
      </c>
      <c r="E89">
        <v>39.450000000000003</v>
      </c>
      <c r="F89">
        <v>41.3</v>
      </c>
      <c r="G89">
        <v>12</v>
      </c>
      <c r="H89" t="str">
        <v>32.93%</v>
      </c>
      <c r="I89" t="str">
        <v>4.23</v>
      </c>
      <c r="J89" t="str">
        <v>24.30</v>
      </c>
      <c r="K89" t="str">
        <f t="array" ref="K89:T89">[1]!'2221.TW-OperatingProfitRatio,NetProfitMargin,TFXRatio,MonthlyNetSalesYoY,ReturnOnAssets,DividendYear,ProfitFourSeason,CashDividendYieldRate,StockNetValue,ExchangeIndustry'</f>
        <v>14.53</v>
      </c>
      <c r="L89" t="str">
        <v>11.11</v>
      </c>
      <c r="M89" t="str">
        <v>-22.66</v>
      </c>
      <c r="N89" t="str">
        <v>98.43</v>
      </c>
      <c r="O89" t="str">
        <v>8.55</v>
      </c>
      <c r="P89">
        <v>1</v>
      </c>
      <c r="Q89" t="str">
        <v>3.24</v>
      </c>
      <c r="R89">
        <v>2.52</v>
      </c>
      <c r="S89" t="str">
        <v>20.40</v>
      </c>
      <c r="T89" t="str">
        <v>上櫃其他</v>
      </c>
      <c r="U89">
        <f t="array" ref="U89:Z89">[1]!'2221.TW-PreTotalVolume,ChipsField25,ChipsField27,DateofMeetingofShareHolders,CompanyPos,TradingDate'</f>
        <v>250</v>
      </c>
      <c r="V89" t="str">
        <v>2021/08/27</v>
      </c>
      <c r="W89" t="str">
        <v>--</v>
      </c>
      <c r="X89" t="str">
        <v>2021/08/11</v>
      </c>
      <c r="Y89" t="str">
        <v>台灣最大不鏽鋼焊接管配件廠，客戶以化工廠為主</v>
      </c>
      <c r="Z89" t="str">
        <v>2021/12/17</v>
      </c>
    </row>
    <row r="90" spans="1:26" x14ac:dyDescent="0.3">
      <c r="A90" t="str">
        <f t="array" ref="A90:J90">[1]!'3338.TW-ID,Name,Price,PriceChangeRatio,Low,High,Volume,InOutRatioNumber,Capital,ProfitMargin'</f>
        <v>3338</v>
      </c>
      <c r="B90" t="str">
        <v>泰碩</v>
      </c>
      <c r="C90">
        <v>51.4</v>
      </c>
      <c r="D90">
        <v>-2.84</v>
      </c>
      <c r="E90">
        <v>51.2</v>
      </c>
      <c r="F90">
        <v>53</v>
      </c>
      <c r="G90">
        <v>49</v>
      </c>
      <c r="H90" t="str">
        <v>25.26%</v>
      </c>
      <c r="I90" t="str">
        <v>8.79</v>
      </c>
      <c r="J90" t="str">
        <v>17.43</v>
      </c>
      <c r="K90" t="str">
        <f t="array" ref="K90:T90">[1]!'3338.TW-OperatingProfitRatio,NetProfitMargin,TFXRatio,MonthlyNetSalesYoY,ReturnOnAssets,DividendYear,ProfitFourSeason,CashDividendYieldRate,StockNetValue,ExchangeIndustry'</f>
        <v>4.91</v>
      </c>
      <c r="L90" t="str">
        <v>3.14</v>
      </c>
      <c r="M90" t="str">
        <v>24.23</v>
      </c>
      <c r="N90" t="str">
        <v>5.14</v>
      </c>
      <c r="O90" t="str">
        <v>2.94</v>
      </c>
      <c r="P90">
        <v>1.8</v>
      </c>
      <c r="Q90" t="str">
        <v>1.76</v>
      </c>
      <c r="R90">
        <v>3.5</v>
      </c>
      <c r="S90" t="str">
        <v>18.47</v>
      </c>
      <c r="T90" t="str">
        <v>上市電子零組件</v>
      </c>
      <c r="U90">
        <f t="array" ref="U90:Z90">[1]!'3338.TW-PreTotalVolume,ChipsField25,ChipsField27,DateofMeetingofShareHolders,CompanyPos,TradingDate'</f>
        <v>674</v>
      </c>
      <c r="V90" t="str">
        <v>2021/08/02</v>
      </c>
      <c r="W90" t="str">
        <v>--</v>
      </c>
      <c r="X90" t="str">
        <v>2021/07/05</v>
      </c>
      <c r="Y90" t="str">
        <v>台灣生產散熱器及PC用連接器廠</v>
      </c>
      <c r="Z90" t="str">
        <v>2021/12/17</v>
      </c>
    </row>
    <row r="91" spans="1:26" x14ac:dyDescent="0.3">
      <c r="A91" t="str">
        <f t="array" ref="A91:J91">[1]!'6129.TW-ID,Name,Price,PriceChangeRatio,Low,High,Volume,InOutRatioNumber,Capital,ProfitMargin'</f>
        <v>6129</v>
      </c>
      <c r="B91" t="str">
        <v>普誠</v>
      </c>
      <c r="C91">
        <v>36.049999999999997</v>
      </c>
      <c r="D91">
        <v>-3.09</v>
      </c>
      <c r="E91">
        <v>35.799999999999997</v>
      </c>
      <c r="F91">
        <v>37.950000000000003</v>
      </c>
      <c r="G91">
        <v>336</v>
      </c>
      <c r="H91" t="str">
        <v>37.23%</v>
      </c>
      <c r="I91" t="str">
        <v>18.09</v>
      </c>
      <c r="J91" t="str">
        <v>39.31</v>
      </c>
      <c r="K91" t="str">
        <f t="array" ref="K91:T91">[1]!'6129.TW-OperatingProfitRatio,NetProfitMargin,TFXRatio,MonthlyNetSalesYoY,ReturnOnAssets,DividendYear,ProfitFourSeason,CashDividendYieldRate,StockNetValue,ExchangeIndustry'</f>
        <v>7.31</v>
      </c>
      <c r="L91" t="str">
        <v>9.64</v>
      </c>
      <c r="M91" t="str">
        <v>-9.47</v>
      </c>
      <c r="N91" t="str">
        <v>19.80</v>
      </c>
      <c r="O91" t="str">
        <v>5.13</v>
      </c>
      <c r="P91">
        <v>0</v>
      </c>
      <c r="Q91" t="str">
        <v>0.50</v>
      </c>
      <c r="R91">
        <v>0</v>
      </c>
      <c r="S91" t="str">
        <v>9.88</v>
      </c>
      <c r="T91" t="str">
        <v>上櫃半導體</v>
      </c>
      <c r="U91">
        <f t="array" ref="U91:Z91">[1]!'6129.TW-PreTotalVolume,ChipsField25,ChipsField27,DateofMeetingofShareHolders,CompanyPos,TradingDate'</f>
        <v>12041</v>
      </c>
      <c r="V91" t="str">
        <v>--</v>
      </c>
      <c r="W91" t="str">
        <v>--</v>
      </c>
      <c r="X91" t="str">
        <v>2021/09/17</v>
      </c>
      <c r="Y91" t="str">
        <v>台灣消費性IC設計廠商，及車用IC設計公司</v>
      </c>
      <c r="Z91" t="str">
        <v>2021/12/17</v>
      </c>
    </row>
    <row r="92" spans="1:26" x14ac:dyDescent="0.3">
      <c r="A92" t="str">
        <f t="array" ref="A92:J92">[1]!'2387.TW-ID,Name,Price,PriceChangeRatio,Low,High,Volume,InOutRatioNumber,Capital,ProfitMargin'</f>
        <v>2387</v>
      </c>
      <c r="B92" t="str">
        <v>精元</v>
      </c>
      <c r="C92">
        <v>45.35</v>
      </c>
      <c r="D92">
        <v>-0.33</v>
      </c>
      <c r="E92">
        <v>45.15</v>
      </c>
      <c r="F92">
        <v>46.15</v>
      </c>
      <c r="G92">
        <v>49</v>
      </c>
      <c r="H92" t="str">
        <v>30.27%</v>
      </c>
      <c r="I92" t="str">
        <v>19.53</v>
      </c>
      <c r="J92" t="str">
        <v>12.93</v>
      </c>
      <c r="K92" t="str">
        <f t="array" ref="K92:T92">[1]!'2387.TW-OperatingProfitRatio,NetProfitMargin,TFXRatio,MonthlyNetSalesYoY,ReturnOnAssets,DividendYear,ProfitFourSeason,CashDividendYieldRate,StockNetValue,ExchangeIndustry'</f>
        <v>7.05</v>
      </c>
      <c r="L92" t="str">
        <v>4.84</v>
      </c>
      <c r="M92" t="str">
        <v>21.08</v>
      </c>
      <c r="N92" t="str">
        <v>-2.65</v>
      </c>
      <c r="O92" t="str">
        <v>4.07</v>
      </c>
      <c r="P92">
        <v>2</v>
      </c>
      <c r="Q92" t="str">
        <v>6.40</v>
      </c>
      <c r="R92">
        <v>4.41</v>
      </c>
      <c r="S92" t="str">
        <v>40.47</v>
      </c>
      <c r="T92" t="str">
        <v>上市電腦及週邊設備</v>
      </c>
      <c r="U92">
        <f t="array" ref="U92:Z92">[1]!'2387.TW-PreTotalVolume,ChipsField25,ChipsField27,DateofMeetingofShareHolders,CompanyPos,TradingDate'</f>
        <v>733</v>
      </c>
      <c r="V92" t="str">
        <v>2021/07/23</v>
      </c>
      <c r="W92" t="str">
        <v>--</v>
      </c>
      <c r="X92" t="str">
        <v>2021/07/07</v>
      </c>
      <c r="Y92" t="str">
        <v>全球前三大NB鍵盤廠</v>
      </c>
      <c r="Z92" t="str">
        <v>2021/12/17</v>
      </c>
    </row>
    <row r="93" spans="1:26" x14ac:dyDescent="0.3">
      <c r="A93" t="str">
        <f t="array" ref="A93:J93">[1]!'6287.TW-ID,Name,Price,PriceChangeRatio,Low,High,Volume,InOutRatioNumber,Capital,ProfitMargin'</f>
        <v>6287</v>
      </c>
      <c r="B93" t="str">
        <v>元隆</v>
      </c>
      <c r="C93">
        <v>11.8</v>
      </c>
      <c r="D93">
        <v>-0.84</v>
      </c>
      <c r="E93">
        <v>11.8</v>
      </c>
      <c r="F93">
        <v>11.85</v>
      </c>
      <c r="G93">
        <v>15</v>
      </c>
      <c r="H93" t="str">
        <v>43.59%</v>
      </c>
      <c r="I93" t="str">
        <v>43.81</v>
      </c>
      <c r="J93" t="str">
        <v>10.84</v>
      </c>
      <c r="K93" t="str">
        <f t="array" ref="K93:T93">[1]!'6287.TW-OperatingProfitRatio,NetProfitMargin,TFXRatio,MonthlyNetSalesYoY,ReturnOnAssets,DividendYear,ProfitFourSeason,CashDividendYieldRate,StockNetValue,ExchangeIndustry'</f>
        <v>6.94</v>
      </c>
      <c r="L93" t="str">
        <v>5.73</v>
      </c>
      <c r="M93" t="str">
        <v>-0.84</v>
      </c>
      <c r="N93" t="str">
        <v>33.99</v>
      </c>
      <c r="O93" t="str">
        <v>5.42</v>
      </c>
      <c r="P93">
        <v>0</v>
      </c>
      <c r="Q93" t="str">
        <v>0.10</v>
      </c>
      <c r="R93">
        <v>0</v>
      </c>
      <c r="S93" t="str">
        <v>0.34</v>
      </c>
      <c r="T93" t="str">
        <v>上櫃半導體</v>
      </c>
      <c r="U93">
        <f t="array" ref="U93:Z93">[1]!'6287.TW-PreTotalVolume,ChipsField25,ChipsField27,DateofMeetingofShareHolders,CompanyPos,TradingDate'</f>
        <v>54</v>
      </c>
      <c r="V93" t="str">
        <v>--</v>
      </c>
      <c r="W93" t="str">
        <v>--</v>
      </c>
      <c r="X93" t="str">
        <v>2021/08/20</v>
      </c>
      <c r="Y93" t="str">
        <v>台灣功率半導體及類比IC晶圓代工廠</v>
      </c>
      <c r="Z93" t="str">
        <v>2021/12/17</v>
      </c>
    </row>
    <row r="94" spans="1:26" x14ac:dyDescent="0.3">
      <c r="A94" t="str">
        <f t="array" ref="A94:J94">[1]!'2439.TW-ID,Name,Price,PriceChangeRatio,Low,High,Volume,InOutRatioNumber,Capital,ProfitMargin'</f>
        <v>2439</v>
      </c>
      <c r="B94" t="str">
        <v>美律</v>
      </c>
      <c r="C94">
        <v>93.2</v>
      </c>
      <c r="D94">
        <v>-0.43</v>
      </c>
      <c r="E94">
        <v>92.4</v>
      </c>
      <c r="F94">
        <v>93.6</v>
      </c>
      <c r="G94">
        <v>52</v>
      </c>
      <c r="H94" t="str">
        <v>30.99%</v>
      </c>
      <c r="I94" t="str">
        <v>21.71</v>
      </c>
      <c r="J94" t="str">
        <v>11.97</v>
      </c>
      <c r="K94" t="str">
        <f t="array" ref="K94:T94">[1]!'2439.TW-OperatingProfitRatio,NetProfitMargin,TFXRatio,MonthlyNetSalesYoY,ReturnOnAssets,DividendYear,ProfitFourSeason,CashDividendYieldRate,StockNetValue,ExchangeIndustry'</f>
        <v>1.50</v>
      </c>
      <c r="L94" t="str">
        <v>2.86</v>
      </c>
      <c r="M94" t="str">
        <v>22.12</v>
      </c>
      <c r="N94" t="str">
        <v>-2.21</v>
      </c>
      <c r="O94" t="str">
        <v>2.17</v>
      </c>
      <c r="P94">
        <v>5.07</v>
      </c>
      <c r="Q94" t="str">
        <v>5.63</v>
      </c>
      <c r="R94">
        <v>5.44</v>
      </c>
      <c r="S94" t="str">
        <v>52.03</v>
      </c>
      <c r="T94" t="str">
        <v>上市通信網路</v>
      </c>
      <c r="U94">
        <f t="array" ref="U94:Z94">[1]!'2439.TW-PreTotalVolume,ChipsField25,ChipsField27,DateofMeetingofShareHolders,CompanyPos,TradingDate'</f>
        <v>875</v>
      </c>
      <c r="V94" t="str">
        <v>2021/08/25</v>
      </c>
      <c r="W94" t="str">
        <v>--</v>
      </c>
      <c r="X94" t="str">
        <v>2021/07/21</v>
      </c>
      <c r="Y94" t="str">
        <v>全球前十大手機電聲元件供應商</v>
      </c>
      <c r="Z94" t="str">
        <v>2021/12/17</v>
      </c>
    </row>
    <row r="95" spans="1:26" x14ac:dyDescent="0.3">
      <c r="A95" t="str">
        <f t="array" ref="A95:J95">[1]!'2314.TW-ID,Name,Price,PriceChangeRatio,Low,High,Volume,InOutRatioNumber,Capital,ProfitMargin'</f>
        <v>2314</v>
      </c>
      <c r="B95" t="str">
        <v>台揚</v>
      </c>
      <c r="C95">
        <v>75</v>
      </c>
      <c r="D95">
        <v>-3.6</v>
      </c>
      <c r="E95">
        <v>74</v>
      </c>
      <c r="F95">
        <v>77.3</v>
      </c>
      <c r="G95">
        <v>127</v>
      </c>
      <c r="H95" t="str">
        <v>25.16%</v>
      </c>
      <c r="I95" t="str">
        <v>22.80</v>
      </c>
      <c r="J95" t="str">
        <v>14.25</v>
      </c>
      <c r="K95" t="str">
        <f t="array" ref="K95:T95">[1]!'2314.TW-OperatingProfitRatio,NetProfitMargin,TFXRatio,MonthlyNetSalesYoY,ReturnOnAssets,DividendYear,ProfitFourSeason,CashDividendYieldRate,StockNetValue,ExchangeIndustry'</f>
        <v>-10.43</v>
      </c>
      <c r="L95" t="str">
        <v>-10.24</v>
      </c>
      <c r="M95" t="str">
        <v>9.86</v>
      </c>
      <c r="N95" t="str">
        <v>1.29</v>
      </c>
      <c r="O95" t="str">
        <v>-5.06</v>
      </c>
      <c r="P95">
        <v>0</v>
      </c>
      <c r="Q95" t="str">
        <v>-1.53</v>
      </c>
      <c r="R95">
        <v>0</v>
      </c>
      <c r="S95" t="str">
        <v>9.17</v>
      </c>
      <c r="T95" t="str">
        <v>上市通信網路</v>
      </c>
      <c r="U95">
        <f t="array" ref="U95:Z95">[1]!'2314.TW-PreTotalVolume,ChipsField25,ChipsField27,DateofMeetingofShareHolders,CompanyPos,TradingDate'</f>
        <v>2324</v>
      </c>
      <c r="V95" t="str">
        <v>--</v>
      </c>
      <c r="W95" t="str">
        <v>--</v>
      </c>
      <c r="X95" t="str">
        <v>2021/08/26</v>
      </c>
      <c r="Y95" t="str">
        <v>鴻海轉投資衛星、微波通訊設備製造商</v>
      </c>
      <c r="Z95" t="str">
        <v>2021/12/17</v>
      </c>
    </row>
    <row r="96" spans="1:26" x14ac:dyDescent="0.3">
      <c r="A96" t="str">
        <f t="array" ref="A96:J96">[1]!'6781.TW-ID,Name,Price,PriceChangeRatio,Low,High,Volume,InOutRatioNumber,Capital,ProfitMargin'</f>
        <v>6781</v>
      </c>
      <c r="B96" t="str">
        <v>AES-KY</v>
      </c>
      <c r="C96">
        <v>1560</v>
      </c>
      <c r="D96">
        <v>-2.5</v>
      </c>
      <c r="E96">
        <v>1555</v>
      </c>
      <c r="F96">
        <v>1630</v>
      </c>
      <c r="G96">
        <v>22</v>
      </c>
      <c r="H96" t="str">
        <v>39.26%</v>
      </c>
      <c r="I96" t="str">
        <v>8.54</v>
      </c>
      <c r="J96" t="str">
        <v>36.15</v>
      </c>
      <c r="K96" t="str">
        <f t="array" ref="K96:T96">[1]!'6781.TW-OperatingProfitRatio,NetProfitMargin,TFXRatio,MonthlyNetSalesYoY,ReturnOnAssets,DividendYear,ProfitFourSeason,CashDividendYieldRate,StockNetValue,ExchangeIndustry'</f>
        <v>27.09</v>
      </c>
      <c r="L96" t="str">
        <v>21.87</v>
      </c>
      <c r="M96" t="str">
        <v>1.29</v>
      </c>
      <c r="N96" t="str">
        <v>39.18</v>
      </c>
      <c r="O96" t="str">
        <v>18.00</v>
      </c>
      <c r="P96">
        <v>5.3</v>
      </c>
      <c r="Q96" t="str">
        <v>29.89</v>
      </c>
      <c r="R96">
        <v>0.34</v>
      </c>
      <c r="S96" t="str">
        <v>113.53</v>
      </c>
      <c r="T96" t="str">
        <v>上市電子零組件</v>
      </c>
      <c r="U96">
        <f t="array" ref="U96:Z96">[1]!'6781.TW-PreTotalVolume,ChipsField25,ChipsField27,DateofMeetingofShareHolders,CompanyPos,TradingDate'</f>
        <v>418</v>
      </c>
      <c r="V96" t="str">
        <v>2021/08/11</v>
      </c>
      <c r="W96" t="str">
        <v>--</v>
      </c>
      <c r="X96" t="str">
        <v>2021/08/10</v>
      </c>
      <c r="Y96" t="str">
        <v>新普轉投資之鋰電池模組製造商</v>
      </c>
      <c r="Z96" t="str">
        <v>2021/12/17</v>
      </c>
    </row>
    <row r="97" spans="1:26" x14ac:dyDescent="0.3">
      <c r="A97" t="str">
        <f t="array" ref="A97:J97">[1]!'3489.TW-ID,Name,Price,PriceChangeRatio,Low,High,Volume,InOutRatioNumber,Capital,ProfitMargin'</f>
        <v>3489</v>
      </c>
      <c r="B97" t="str">
        <v>森寶</v>
      </c>
      <c r="C97">
        <v>13.9</v>
      </c>
      <c r="D97">
        <v>-4.79</v>
      </c>
      <c r="E97">
        <v>13.8</v>
      </c>
      <c r="F97">
        <v>14.65</v>
      </c>
      <c r="G97">
        <v>25</v>
      </c>
      <c r="H97" t="str">
        <v>22.63%</v>
      </c>
      <c r="I97" t="str">
        <v>8.31</v>
      </c>
      <c r="J97" t="str">
        <v>9.88</v>
      </c>
      <c r="K97" t="str">
        <f t="array" ref="K97:T97">[1]!'3489.TW-OperatingProfitRatio,NetProfitMargin,TFXRatio,MonthlyNetSalesYoY,ReturnOnAssets,DividendYear,ProfitFourSeason,CashDividendYieldRate,StockNetValue,ExchangeIndustry'</f>
        <v>3.59</v>
      </c>
      <c r="L97" t="str">
        <v>2.68</v>
      </c>
      <c r="M97" t="str">
        <v>-7.50</v>
      </c>
      <c r="N97" t="str">
        <v>75.76</v>
      </c>
      <c r="O97" t="str">
        <v>1.22</v>
      </c>
      <c r="P97">
        <v>0.3</v>
      </c>
      <c r="Q97" t="str">
        <v>0.45</v>
      </c>
      <c r="R97">
        <v>2.16</v>
      </c>
      <c r="S97" t="str">
        <v>15.77</v>
      </c>
      <c r="T97" t="str">
        <v>上櫃建材營造</v>
      </c>
      <c r="U97">
        <f t="array" ref="U97:Z97">[1]!'3489.TW-PreTotalVolume,ChipsField25,ChipsField27,DateofMeetingofShareHolders,CompanyPos,TradingDate'</f>
        <v>207</v>
      </c>
      <c r="V97" t="str">
        <v>2021/08/25</v>
      </c>
      <c r="W97" t="str">
        <v>--</v>
      </c>
      <c r="X97" t="str">
        <v>2021/07/20</v>
      </c>
      <c r="Y97" t="str">
        <v>轉型為營建商，推案集中在新北市地區</v>
      </c>
      <c r="Z97" t="str">
        <v>2021/12/17</v>
      </c>
    </row>
    <row r="98" spans="1:26" x14ac:dyDescent="0.3">
      <c r="A98" t="str">
        <f t="array" ref="A98:J98">[1]!'6224.TW-ID,Name,Price,PriceChangeRatio,Low,High,Volume,InOutRatioNumber,Capital,ProfitMargin'</f>
        <v>6224</v>
      </c>
      <c r="B98" t="str">
        <v>聚鼎</v>
      </c>
      <c r="C98">
        <v>123.5</v>
      </c>
      <c r="D98">
        <v>-1.59</v>
      </c>
      <c r="E98">
        <v>123</v>
      </c>
      <c r="F98">
        <v>126.5</v>
      </c>
      <c r="G98">
        <v>28</v>
      </c>
      <c r="H98" t="str">
        <v>26.92%</v>
      </c>
      <c r="I98" t="str">
        <v>8.56</v>
      </c>
      <c r="J98" t="str">
        <v>37.98</v>
      </c>
      <c r="K98" t="str">
        <f t="array" ref="K98:T98">[1]!'6224.TW-OperatingProfitRatio,NetProfitMargin,TFXRatio,MonthlyNetSalesYoY,ReturnOnAssets,DividendYear,ProfitFourSeason,CashDividendYieldRate,StockNetValue,ExchangeIndustry'</f>
        <v>19.45</v>
      </c>
      <c r="L98" t="str">
        <v>16.90</v>
      </c>
      <c r="M98" t="str">
        <v>-2.06</v>
      </c>
      <c r="N98" t="str">
        <v>55.72</v>
      </c>
      <c r="O98" t="str">
        <v>8.99</v>
      </c>
      <c r="P98">
        <v>4.25</v>
      </c>
      <c r="Q98" t="str">
        <v>6.67</v>
      </c>
      <c r="R98">
        <v>3.44</v>
      </c>
      <c r="S98" t="str">
        <v>32.07</v>
      </c>
      <c r="T98" t="str">
        <v>上市電子零組件</v>
      </c>
      <c r="U98">
        <f t="array" ref="U98:Z98">[1]!'6224.TW-PreTotalVolume,ChipsField25,ChipsField27,DateofMeetingofShareHolders,CompanyPos,TradingDate'</f>
        <v>798</v>
      </c>
      <c r="V98" t="str">
        <v>2021/04/08</v>
      </c>
      <c r="W98" t="str">
        <v>--</v>
      </c>
      <c r="X98" t="str">
        <v>2021/08/10</v>
      </c>
      <c r="Y98" t="str">
        <v>全球第二大PPTC保護元件大廠</v>
      </c>
      <c r="Z98" t="str">
        <v>2021/12/17</v>
      </c>
    </row>
    <row r="99" spans="1:26" x14ac:dyDescent="0.3">
      <c r="A99" t="str">
        <f t="array" ref="A99:J99">[1]!'6228.TW-ID,Name,Price,PriceChangeRatio,Low,High,Volume,InOutRatioNumber,Capital,ProfitMargin'</f>
        <v>6228</v>
      </c>
      <c r="B99" t="str">
        <v>全譜</v>
      </c>
      <c r="C99">
        <v>13.3</v>
      </c>
      <c r="D99">
        <v>-6.99</v>
      </c>
      <c r="E99">
        <v>13.3</v>
      </c>
      <c r="F99">
        <v>14.3</v>
      </c>
      <c r="G99">
        <v>2</v>
      </c>
      <c r="H99" t="str">
        <v>4.85%</v>
      </c>
      <c r="I99" t="str">
        <v>4.00</v>
      </c>
      <c r="J99" t="str">
        <v>32.10</v>
      </c>
      <c r="K99" t="str">
        <f t="array" ref="K99:T99">[1]!'6228.TW-OperatingProfitRatio,NetProfitMargin,TFXRatio,MonthlyNetSalesYoY,ReturnOnAssets,DividendYear,ProfitFourSeason,CashDividendYieldRate,StockNetValue,ExchangeIndustry'</f>
        <v>-6.38</v>
      </c>
      <c r="L99" t="str">
        <v>-9.17</v>
      </c>
      <c r="M99" t="str">
        <v>-6.49</v>
      </c>
      <c r="N99" t="str">
        <v>692.10</v>
      </c>
      <c r="O99" t="str">
        <v>-1.84</v>
      </c>
      <c r="P99">
        <v>0</v>
      </c>
      <c r="Q99" t="str">
        <v>-0.53</v>
      </c>
      <c r="R99">
        <v>0</v>
      </c>
      <c r="S99" t="str">
        <v>5.58</v>
      </c>
      <c r="T99" t="str">
        <v>上櫃電腦及週邊設備</v>
      </c>
      <c r="U99">
        <f t="array" ref="U99:Z99">[1]!'6228.TW-PreTotalVolume,ChipsField25,ChipsField27,DateofMeetingofShareHolders,CompanyPos,TradingDate'</f>
        <v>128</v>
      </c>
      <c r="V99" t="str">
        <v>--</v>
      </c>
      <c r="W99" t="str">
        <v>--</v>
      </c>
      <c r="X99" t="str">
        <v>2021/08/26</v>
      </c>
      <c r="Y99" t="str">
        <v>台灣底片掃瞄器及生物研究影像設備製造廠</v>
      </c>
      <c r="Z99" t="str">
        <v>2021/12/17</v>
      </c>
    </row>
    <row r="100" spans="1:26" x14ac:dyDescent="0.3">
      <c r="A100" t="str">
        <f t="array" ref="A100:J100">[1]!'2538.TW-ID,Name,Price,PriceChangeRatio,Low,High,Volume,InOutRatioNumber,Capital,ProfitMargin'</f>
        <v>2538</v>
      </c>
      <c r="B100" t="str">
        <v>基泰</v>
      </c>
      <c r="C100">
        <v>12.55</v>
      </c>
      <c r="D100">
        <v>-1.57</v>
      </c>
      <c r="E100">
        <v>12.3</v>
      </c>
      <c r="F100">
        <v>12.7</v>
      </c>
      <c r="G100">
        <v>203</v>
      </c>
      <c r="H100" t="str">
        <v>40.68%</v>
      </c>
      <c r="I100" t="str">
        <v>43.84</v>
      </c>
      <c r="J100" t="str">
        <v>57.93</v>
      </c>
      <c r="K100" t="str">
        <f t="array" ref="K100:T100">[1]!'2538.TW-OperatingProfitRatio,NetProfitMargin,TFXRatio,MonthlyNetSalesYoY,ReturnOnAssets,DividendYear,ProfitFourSeason,CashDividendYieldRate,StockNetValue,ExchangeIndustry'</f>
        <v>-23.03</v>
      </c>
      <c r="L100" t="str">
        <v>-68.86</v>
      </c>
      <c r="M100" t="str">
        <v>-0.80</v>
      </c>
      <c r="N100" t="str">
        <v>63.15</v>
      </c>
      <c r="O100" t="str">
        <v>-0.25</v>
      </c>
      <c r="P100">
        <v>0.5</v>
      </c>
      <c r="Q100" t="str">
        <v>-0.36</v>
      </c>
      <c r="R100">
        <v>3.98</v>
      </c>
      <c r="S100" t="str">
        <v>13.49</v>
      </c>
      <c r="T100" t="str">
        <v>上市建材營造</v>
      </c>
      <c r="U100">
        <f t="array" ref="U100:Z100">[1]!'2538.TW-PreTotalVolume,ChipsField25,ChipsField27,DateofMeetingofShareHolders,CompanyPos,TradingDate'</f>
        <v>3169</v>
      </c>
      <c r="V100" t="str">
        <v>2021/08/17</v>
      </c>
      <c r="W100" t="str">
        <v>--</v>
      </c>
      <c r="X100" t="str">
        <v>2021/07/29</v>
      </c>
      <c r="Y100" t="str">
        <v>推案集中於大台北地區之建商</v>
      </c>
      <c r="Z100" t="str">
        <v>2021/12/17</v>
      </c>
    </row>
    <row r="101" spans="1:26" x14ac:dyDescent="0.3">
      <c r="A101" t="str">
        <f t="array" ref="A101:J101">[1]!'3438.TW-ID,Name,Price,PriceChangeRatio,Low,High,Volume,InOutRatioNumber,Capital,ProfitMargin'</f>
        <v>3438</v>
      </c>
      <c r="B101" t="str">
        <v>類比科</v>
      </c>
      <c r="C101">
        <v>84.6</v>
      </c>
      <c r="D101">
        <v>-2.2000000000000002</v>
      </c>
      <c r="E101">
        <v>84.2</v>
      </c>
      <c r="F101">
        <v>86</v>
      </c>
      <c r="G101">
        <v>10</v>
      </c>
      <c r="H101" t="str">
        <v>23.04%</v>
      </c>
      <c r="I101" t="str">
        <v>4.72</v>
      </c>
      <c r="J101" t="str">
        <v>42.82</v>
      </c>
      <c r="K101" t="str">
        <f t="array" ref="K101:T101">[1]!'3438.TW-OperatingProfitRatio,NetProfitMargin,TFXRatio,MonthlyNetSalesYoY,ReturnOnAssets,DividendYear,ProfitFourSeason,CashDividendYieldRate,StockNetValue,ExchangeIndustry'</f>
        <v>20.67</v>
      </c>
      <c r="L101" t="str">
        <v>15.82</v>
      </c>
      <c r="M101" t="str">
        <v>-5.64</v>
      </c>
      <c r="N101" t="str">
        <v>-4.93</v>
      </c>
      <c r="O101" t="str">
        <v>10.87</v>
      </c>
      <c r="P101">
        <v>1.5</v>
      </c>
      <c r="Q101" t="str">
        <v>4.74</v>
      </c>
      <c r="R101">
        <v>1.77</v>
      </c>
      <c r="S101" t="str">
        <v>31.61</v>
      </c>
      <c r="T101" t="str">
        <v>上櫃半導體</v>
      </c>
      <c r="U101">
        <f t="array" ref="U101:Z101">[1]!'3438.TW-PreTotalVolume,ChipsField25,ChipsField27,DateofMeetingofShareHolders,CompanyPos,TradingDate'</f>
        <v>205</v>
      </c>
      <c r="V101" t="str">
        <v>2021/08/02</v>
      </c>
      <c r="W101" t="str">
        <v>--</v>
      </c>
      <c r="X101" t="str">
        <v>2021/07/09</v>
      </c>
      <c r="Y101" t="str">
        <v>台灣面板電源管理IC龍頭</v>
      </c>
      <c r="Z101" t="str">
        <v>2021/12/17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2021-12-17T05:42:15Z</dcterms:created>
  <dcterms:modified xsi:type="dcterms:W3CDTF">2021-12-17T05:42:59Z</dcterms:modified>
</cp:coreProperties>
</file>