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3\"/>
    </mc:Choice>
  </mc:AlternateContent>
  <xr:revisionPtr revIDLastSave="0" documentId="8_{41DF947A-6B6F-4C80-B203-93A6DE27215A}" xr6:coauthVersionLast="47" xr6:coauthVersionMax="47" xr10:uidLastSave="{00000000-0000-0000-0000-000000000000}"/>
  <bookViews>
    <workbookView xWindow="1728" yWindow="2652" windowWidth="15060" windowHeight="12264" xr2:uid="{5B669866-D223-4EBC-BF09-4D6EF75C90B6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01" i="1" l="1" a="1"/>
  <c r="U101" i="1" s="1"/>
  <c r="K101" i="1" a="1"/>
  <c r="K101" i="1" s="1"/>
  <c r="A101" i="1" a="1"/>
  <c r="A101" i="1" s="1"/>
  <c r="U100" i="1" a="1"/>
  <c r="U100" i="1" s="1"/>
  <c r="K100" i="1" a="1"/>
  <c r="K100" i="1" s="1"/>
  <c r="O100" i="1"/>
  <c r="P100" i="1"/>
  <c r="A100" i="1" a="1"/>
  <c r="A100" i="1" s="1"/>
  <c r="U99" i="1" a="1"/>
  <c r="U99" i="1" s="1"/>
  <c r="K99" i="1" a="1"/>
  <c r="K99" i="1" s="1"/>
  <c r="S99" i="1"/>
  <c r="A99" i="1" a="1"/>
  <c r="A99" i="1" s="1"/>
  <c r="E99" i="1"/>
  <c r="U98" i="1" a="1"/>
  <c r="U98" i="1" s="1"/>
  <c r="K98" i="1" a="1"/>
  <c r="K98" i="1" s="1"/>
  <c r="P98" i="1"/>
  <c r="A98" i="1" a="1"/>
  <c r="A98" i="1" s="1"/>
  <c r="U97" i="1" a="1"/>
  <c r="U97" i="1" s="1"/>
  <c r="K97" i="1" a="1"/>
  <c r="K97" i="1" s="1"/>
  <c r="T97" i="1"/>
  <c r="A97" i="1" a="1"/>
  <c r="A97" i="1" s="1"/>
  <c r="G97" i="1"/>
  <c r="U96" i="1" a="1"/>
  <c r="U96" i="1" s="1"/>
  <c r="X96" i="1"/>
  <c r="Y96" i="1"/>
  <c r="Z96" i="1"/>
  <c r="K96" i="1" a="1"/>
  <c r="K96" i="1" s="1"/>
  <c r="M96" i="1"/>
  <c r="A96" i="1" a="1"/>
  <c r="A96" i="1" s="1"/>
  <c r="D96" i="1"/>
  <c r="I96" i="1"/>
  <c r="J96" i="1"/>
  <c r="U95" i="1" a="1"/>
  <c r="U95" i="1" s="1"/>
  <c r="Y95" i="1"/>
  <c r="Z95" i="1"/>
  <c r="K95" i="1" a="1"/>
  <c r="K95" i="1" s="1"/>
  <c r="M95" i="1"/>
  <c r="N95" i="1"/>
  <c r="A95" i="1" a="1"/>
  <c r="A95" i="1" s="1"/>
  <c r="F95" i="1"/>
  <c r="U94" i="1" a="1"/>
  <c r="U94" i="1" s="1"/>
  <c r="K94" i="1" a="1"/>
  <c r="K94" i="1" s="1"/>
  <c r="A94" i="1" a="1"/>
  <c r="A94" i="1" s="1"/>
  <c r="U93" i="1" a="1"/>
  <c r="U93" i="1" s="1"/>
  <c r="K93" i="1" a="1"/>
  <c r="K93" i="1" s="1"/>
  <c r="N93" i="1"/>
  <c r="O93" i="1"/>
  <c r="P93" i="1"/>
  <c r="Q93" i="1"/>
  <c r="R93" i="1"/>
  <c r="A93" i="1" a="1"/>
  <c r="A93" i="1" s="1"/>
  <c r="E93" i="1"/>
  <c r="F93" i="1"/>
  <c r="G93" i="1"/>
  <c r="J93" i="1"/>
  <c r="U92" i="1" a="1"/>
  <c r="U92" i="1" s="1"/>
  <c r="K92" i="1" a="1"/>
  <c r="K92" i="1" s="1"/>
  <c r="L92" i="1"/>
  <c r="M92" i="1"/>
  <c r="N92" i="1"/>
  <c r="O92" i="1"/>
  <c r="P92" i="1"/>
  <c r="Q92" i="1"/>
  <c r="R92" i="1"/>
  <c r="S92" i="1"/>
  <c r="T92" i="1"/>
  <c r="A92" i="1" a="1"/>
  <c r="A92" i="1" s="1"/>
  <c r="U91" i="1" a="1"/>
  <c r="U91" i="1" s="1"/>
  <c r="K91" i="1" a="1"/>
  <c r="K91" i="1" s="1"/>
  <c r="Q91" i="1"/>
  <c r="A91" i="1" a="1"/>
  <c r="A91" i="1" s="1"/>
  <c r="G91" i="1"/>
  <c r="H91" i="1"/>
  <c r="I91" i="1"/>
  <c r="U90" i="1" a="1"/>
  <c r="U90" i="1" s="1"/>
  <c r="K90" i="1" a="1"/>
  <c r="K90" i="1" s="1"/>
  <c r="A90" i="1" a="1"/>
  <c r="A90" i="1" s="1"/>
  <c r="D90" i="1"/>
  <c r="F90" i="1"/>
  <c r="H90" i="1"/>
  <c r="I90" i="1"/>
  <c r="J90" i="1"/>
  <c r="U89" i="1" a="1"/>
  <c r="U89" i="1" s="1"/>
  <c r="X89" i="1"/>
  <c r="K89" i="1" a="1"/>
  <c r="K89" i="1" s="1"/>
  <c r="O89" i="1"/>
  <c r="S89" i="1"/>
  <c r="A89" i="1" a="1"/>
  <c r="A89" i="1" s="1"/>
  <c r="C89" i="1"/>
  <c r="D89" i="1"/>
  <c r="F89" i="1"/>
  <c r="G89" i="1"/>
  <c r="H89" i="1"/>
  <c r="I89" i="1"/>
  <c r="J89" i="1"/>
  <c r="U88" i="1" a="1"/>
  <c r="U88" i="1" s="1"/>
  <c r="X88" i="1"/>
  <c r="K88" i="1" a="1"/>
  <c r="K88" i="1" s="1"/>
  <c r="P88" i="1"/>
  <c r="T88" i="1"/>
  <c r="A88" i="1" a="1"/>
  <c r="A88" i="1" s="1"/>
  <c r="F88" i="1"/>
  <c r="G88" i="1"/>
  <c r="I88" i="1"/>
  <c r="U87" i="1" a="1"/>
  <c r="U87" i="1" s="1"/>
  <c r="X87" i="1"/>
  <c r="Y87" i="1"/>
  <c r="Z87" i="1"/>
  <c r="K87" i="1" a="1"/>
  <c r="K87" i="1" s="1"/>
  <c r="R87" i="1"/>
  <c r="A87" i="1" a="1"/>
  <c r="A87" i="1" s="1"/>
  <c r="G87" i="1"/>
  <c r="H87" i="1"/>
  <c r="U86" i="1" a="1"/>
  <c r="U86" i="1" s="1"/>
  <c r="K86" i="1" a="1"/>
  <c r="K86" i="1" s="1"/>
  <c r="A86" i="1" a="1"/>
  <c r="A86" i="1" s="1"/>
  <c r="U85" i="1" a="1"/>
  <c r="U85" i="1" s="1"/>
  <c r="K85" i="1" a="1"/>
  <c r="K85" i="1" s="1"/>
  <c r="P85" i="1"/>
  <c r="T85" i="1"/>
  <c r="A85" i="1" a="1"/>
  <c r="A85" i="1" s="1"/>
  <c r="E85" i="1"/>
  <c r="F85" i="1"/>
  <c r="G85" i="1"/>
  <c r="U84" i="1" a="1"/>
  <c r="U84" i="1" s="1"/>
  <c r="Z84" i="1"/>
  <c r="K84" i="1" a="1"/>
  <c r="K84" i="1" s="1"/>
  <c r="R84" i="1"/>
  <c r="A84" i="1" a="1"/>
  <c r="A84" i="1" s="1"/>
  <c r="C84" i="1"/>
  <c r="D84" i="1"/>
  <c r="F84" i="1"/>
  <c r="H84" i="1"/>
  <c r="I84" i="1"/>
  <c r="J84" i="1"/>
  <c r="U83" i="1" a="1"/>
  <c r="U83" i="1" s="1"/>
  <c r="Y83" i="1"/>
  <c r="K83" i="1" a="1"/>
  <c r="K83" i="1" s="1"/>
  <c r="L83" i="1"/>
  <c r="P83" i="1"/>
  <c r="T83" i="1"/>
  <c r="A83" i="1" a="1"/>
  <c r="A83" i="1" s="1"/>
  <c r="F83" i="1"/>
  <c r="G83" i="1"/>
  <c r="I83" i="1"/>
  <c r="U82" i="1" a="1"/>
  <c r="U82" i="1" s="1"/>
  <c r="Z82" i="1"/>
  <c r="K82" i="1" a="1"/>
  <c r="K82" i="1" s="1"/>
  <c r="A82" i="1" a="1"/>
  <c r="A82" i="1" s="1"/>
  <c r="E82" i="1"/>
  <c r="F82" i="1"/>
  <c r="I82" i="1"/>
  <c r="J82" i="1"/>
  <c r="U81" i="1" a="1"/>
  <c r="U81" i="1" s="1"/>
  <c r="X81" i="1"/>
  <c r="Z81" i="1"/>
  <c r="K81" i="1" a="1"/>
  <c r="K81" i="1" s="1"/>
  <c r="M81" i="1"/>
  <c r="N81" i="1"/>
  <c r="O81" i="1"/>
  <c r="A81" i="1" a="1"/>
  <c r="A81" i="1" s="1"/>
  <c r="J81" i="1"/>
  <c r="U80" i="1" a="1"/>
  <c r="U80" i="1" s="1"/>
  <c r="V80" i="1"/>
  <c r="X80" i="1"/>
  <c r="Y80" i="1"/>
  <c r="K80" i="1" a="1"/>
  <c r="K80" i="1" s="1"/>
  <c r="O80" i="1"/>
  <c r="P80" i="1"/>
  <c r="Q80" i="1"/>
  <c r="R80" i="1"/>
  <c r="T80" i="1"/>
  <c r="A80" i="1" a="1"/>
  <c r="A80" i="1" s="1"/>
  <c r="C80" i="1"/>
  <c r="D80" i="1"/>
  <c r="E80" i="1"/>
  <c r="U79" i="1" a="1"/>
  <c r="U79" i="1" s="1"/>
  <c r="W79" i="1"/>
  <c r="X79" i="1"/>
  <c r="Y79" i="1"/>
  <c r="Z79" i="1"/>
  <c r="K79" i="1" a="1"/>
  <c r="K79" i="1" s="1"/>
  <c r="R79" i="1"/>
  <c r="A79" i="1" a="1"/>
  <c r="A79" i="1" s="1"/>
  <c r="C79" i="1"/>
  <c r="E79" i="1"/>
  <c r="F79" i="1"/>
  <c r="G79" i="1"/>
  <c r="H79" i="1"/>
  <c r="I79" i="1"/>
  <c r="U78" i="1" a="1"/>
  <c r="U78" i="1" s="1"/>
  <c r="Z78" i="1"/>
  <c r="K78" i="1" a="1"/>
  <c r="K78" i="1" s="1"/>
  <c r="O78" i="1"/>
  <c r="T78" i="1"/>
  <c r="A78" i="1" a="1"/>
  <c r="A78" i="1" s="1"/>
  <c r="U77" i="1" a="1"/>
  <c r="U77" i="1" s="1"/>
  <c r="Y77" i="1"/>
  <c r="Z77" i="1"/>
  <c r="K77" i="1" a="1"/>
  <c r="K77" i="1" s="1"/>
  <c r="R77" i="1"/>
  <c r="S77" i="1"/>
  <c r="A77" i="1" a="1"/>
  <c r="A77" i="1" s="1"/>
  <c r="U76" i="1" a="1"/>
  <c r="U76" i="1" s="1"/>
  <c r="Z76" i="1"/>
  <c r="K76" i="1" a="1"/>
  <c r="K76" i="1" s="1"/>
  <c r="R76" i="1"/>
  <c r="S76" i="1"/>
  <c r="A76" i="1" a="1"/>
  <c r="A76" i="1" s="1"/>
  <c r="I76" i="1"/>
  <c r="J76" i="1"/>
  <c r="U75" i="1" a="1"/>
  <c r="U75" i="1" s="1"/>
  <c r="Y75" i="1"/>
  <c r="Z75" i="1"/>
  <c r="K75" i="1" a="1"/>
  <c r="K75" i="1" s="1"/>
  <c r="R75" i="1"/>
  <c r="S75" i="1"/>
  <c r="A75" i="1" a="1"/>
  <c r="A75" i="1" s="1"/>
  <c r="C75" i="1"/>
  <c r="D75" i="1"/>
  <c r="E75" i="1"/>
  <c r="F75" i="1"/>
  <c r="G75" i="1"/>
  <c r="H75" i="1"/>
  <c r="I75" i="1"/>
  <c r="J75" i="1"/>
  <c r="U74" i="1" a="1"/>
  <c r="U74" i="1" s="1"/>
  <c r="K74" i="1" a="1"/>
  <c r="K74" i="1" s="1"/>
  <c r="M74" i="1"/>
  <c r="N74" i="1"/>
  <c r="O74" i="1"/>
  <c r="P74" i="1"/>
  <c r="Q74" i="1"/>
  <c r="R74" i="1"/>
  <c r="S74" i="1"/>
  <c r="T74" i="1"/>
  <c r="A74" i="1" a="1"/>
  <c r="A74" i="1" s="1"/>
  <c r="D74" i="1"/>
  <c r="E74" i="1"/>
  <c r="H74" i="1"/>
  <c r="I74" i="1"/>
  <c r="J74" i="1"/>
  <c r="U73" i="1" a="1"/>
  <c r="U73" i="1" s="1"/>
  <c r="W73" i="1"/>
  <c r="K73" i="1" a="1"/>
  <c r="K73" i="1" s="1"/>
  <c r="O73" i="1"/>
  <c r="P73" i="1"/>
  <c r="Q73" i="1"/>
  <c r="R73" i="1"/>
  <c r="S73" i="1"/>
  <c r="T73" i="1"/>
  <c r="A73" i="1" a="1"/>
  <c r="A73" i="1" s="1"/>
  <c r="F73" i="1"/>
  <c r="G73" i="1"/>
  <c r="H73" i="1"/>
  <c r="J73" i="1"/>
  <c r="U72" i="1" a="1"/>
  <c r="U72" i="1" s="1"/>
  <c r="Y72" i="1"/>
  <c r="Z72" i="1"/>
  <c r="K72" i="1" a="1"/>
  <c r="K72" i="1" s="1"/>
  <c r="S72" i="1"/>
  <c r="A72" i="1" a="1"/>
  <c r="A72" i="1" s="1"/>
  <c r="U71" i="1" a="1"/>
  <c r="U71" i="1" s="1"/>
  <c r="K71" i="1" a="1"/>
  <c r="K71" i="1" s="1"/>
  <c r="A71" i="1" a="1"/>
  <c r="A71" i="1" s="1"/>
  <c r="U70" i="1" a="1"/>
  <c r="U70" i="1" s="1"/>
  <c r="Y70" i="1"/>
  <c r="Z70" i="1"/>
  <c r="K70" i="1" a="1"/>
  <c r="K70" i="1" s="1"/>
  <c r="O70" i="1"/>
  <c r="P70" i="1"/>
  <c r="Q70" i="1"/>
  <c r="R70" i="1"/>
  <c r="S70" i="1"/>
  <c r="A70" i="1" a="1"/>
  <c r="A70" i="1" s="1"/>
  <c r="H70" i="1"/>
  <c r="I70" i="1"/>
  <c r="U69" i="1" a="1"/>
  <c r="U69" i="1" s="1"/>
  <c r="K69" i="1" a="1"/>
  <c r="K69" i="1" s="1"/>
  <c r="N69" i="1"/>
  <c r="O69" i="1"/>
  <c r="P69" i="1"/>
  <c r="S69" i="1"/>
  <c r="T69" i="1"/>
  <c r="A69" i="1" a="1"/>
  <c r="A69" i="1" s="1"/>
  <c r="F69" i="1"/>
  <c r="G69" i="1"/>
  <c r="U68" i="1" a="1"/>
  <c r="U68" i="1" s="1"/>
  <c r="Z68" i="1"/>
  <c r="K68" i="1" a="1"/>
  <c r="K68" i="1" s="1"/>
  <c r="N68" i="1"/>
  <c r="A68" i="1" a="1"/>
  <c r="A68" i="1" s="1"/>
  <c r="D68" i="1"/>
  <c r="E68" i="1"/>
  <c r="F68" i="1"/>
  <c r="G68" i="1"/>
  <c r="H68" i="1"/>
  <c r="U67" i="1" a="1"/>
  <c r="U67" i="1" s="1"/>
  <c r="K67" i="1" a="1"/>
  <c r="K67" i="1" s="1"/>
  <c r="M67" i="1"/>
  <c r="O67" i="1"/>
  <c r="A67" i="1" a="1"/>
  <c r="A67" i="1" s="1"/>
  <c r="H67" i="1"/>
  <c r="I67" i="1"/>
  <c r="J67" i="1"/>
  <c r="U66" i="1" a="1"/>
  <c r="U66" i="1" s="1"/>
  <c r="W66" i="1"/>
  <c r="K66" i="1" a="1"/>
  <c r="K66" i="1" s="1"/>
  <c r="S66" i="1"/>
  <c r="T66" i="1"/>
  <c r="A66" i="1" a="1"/>
  <c r="A66" i="1" s="1"/>
  <c r="G66" i="1"/>
  <c r="H66" i="1"/>
  <c r="U65" i="1" a="1"/>
  <c r="U65" i="1" s="1"/>
  <c r="K65" i="1" a="1"/>
  <c r="K65" i="1" s="1"/>
  <c r="A65" i="1" a="1"/>
  <c r="A65" i="1" s="1"/>
  <c r="U64" i="1" a="1"/>
  <c r="U64" i="1" s="1"/>
  <c r="K64" i="1" a="1"/>
  <c r="K64" i="1" s="1"/>
  <c r="Q64" i="1"/>
  <c r="R64" i="1"/>
  <c r="S64" i="1"/>
  <c r="T64" i="1"/>
  <c r="A64" i="1" a="1"/>
  <c r="A64" i="1" s="1"/>
  <c r="U63" i="1" a="1"/>
  <c r="U63" i="1" s="1"/>
  <c r="X63" i="1"/>
  <c r="K63" i="1" a="1"/>
  <c r="K63" i="1" s="1"/>
  <c r="Q63" i="1"/>
  <c r="R63" i="1"/>
  <c r="A63" i="1" a="1"/>
  <c r="A63" i="1" s="1"/>
  <c r="D63" i="1"/>
  <c r="E63" i="1"/>
  <c r="F63" i="1"/>
  <c r="G63" i="1"/>
  <c r="H63" i="1"/>
  <c r="I63" i="1"/>
  <c r="U62" i="1" a="1"/>
  <c r="U62" i="1" s="1"/>
  <c r="K62" i="1" a="1"/>
  <c r="K62" i="1" s="1"/>
  <c r="Q62" i="1"/>
  <c r="S62" i="1"/>
  <c r="A62" i="1" a="1"/>
  <c r="A62" i="1" s="1"/>
  <c r="D62" i="1"/>
  <c r="E62" i="1"/>
  <c r="F62" i="1"/>
  <c r="G62" i="1"/>
  <c r="H62" i="1"/>
  <c r="U61" i="1" a="1"/>
  <c r="U61" i="1" s="1"/>
  <c r="K61" i="1" a="1"/>
  <c r="K61" i="1" s="1"/>
  <c r="A61" i="1" a="1"/>
  <c r="A61" i="1" s="1"/>
  <c r="U60" i="1" a="1"/>
  <c r="U60" i="1" s="1"/>
  <c r="W60" i="1"/>
  <c r="X60" i="1"/>
  <c r="Y60" i="1"/>
  <c r="Z60" i="1"/>
  <c r="K60" i="1" a="1"/>
  <c r="K60" i="1" s="1"/>
  <c r="A60" i="1" a="1"/>
  <c r="A60" i="1" s="1"/>
  <c r="F60" i="1"/>
  <c r="H60" i="1"/>
  <c r="U59" i="1" a="1"/>
  <c r="U59" i="1" s="1"/>
  <c r="K59" i="1" a="1"/>
  <c r="K59" i="1" s="1"/>
  <c r="N59" i="1"/>
  <c r="O59" i="1"/>
  <c r="A59" i="1" a="1"/>
  <c r="A59" i="1" s="1"/>
  <c r="U58" i="1" a="1"/>
  <c r="U58" i="1" s="1"/>
  <c r="K58" i="1" a="1"/>
  <c r="K58" i="1" s="1"/>
  <c r="O58" i="1"/>
  <c r="P58" i="1"/>
  <c r="A58" i="1" a="1"/>
  <c r="A58" i="1" s="1"/>
  <c r="F58" i="1"/>
  <c r="U57" i="1" a="1"/>
  <c r="U57" i="1" s="1"/>
  <c r="K57" i="1" a="1"/>
  <c r="K57" i="1" s="1"/>
  <c r="S57" i="1"/>
  <c r="T57" i="1"/>
  <c r="A57" i="1" a="1"/>
  <c r="A57" i="1" s="1"/>
  <c r="U56" i="1" a="1"/>
  <c r="U56" i="1" s="1"/>
  <c r="X56" i="1"/>
  <c r="Z56" i="1"/>
  <c r="K56" i="1" a="1"/>
  <c r="K56" i="1" s="1"/>
  <c r="O56" i="1"/>
  <c r="R56" i="1"/>
  <c r="A56" i="1" a="1"/>
  <c r="A56" i="1" s="1"/>
  <c r="F56" i="1"/>
  <c r="U55" i="1" a="1"/>
  <c r="U55" i="1" s="1"/>
  <c r="Y55" i="1"/>
  <c r="Z55" i="1"/>
  <c r="K55" i="1" a="1"/>
  <c r="K55" i="1" s="1"/>
  <c r="N55" i="1"/>
  <c r="A55" i="1" a="1"/>
  <c r="A55" i="1" s="1"/>
  <c r="E55" i="1"/>
  <c r="F55" i="1"/>
  <c r="U54" i="1" a="1"/>
  <c r="U54" i="1" s="1"/>
  <c r="K54" i="1" a="1"/>
  <c r="K54" i="1" s="1"/>
  <c r="N54" i="1"/>
  <c r="A54" i="1" a="1"/>
  <c r="A54" i="1" s="1"/>
  <c r="U53" i="1" a="1"/>
  <c r="U53" i="1" s="1"/>
  <c r="X53" i="1"/>
  <c r="K53" i="1" a="1"/>
  <c r="K53" i="1" s="1"/>
  <c r="L53" i="1"/>
  <c r="A53" i="1" a="1"/>
  <c r="A53" i="1" s="1"/>
  <c r="U52" i="1" a="1"/>
  <c r="U52" i="1" s="1"/>
  <c r="X52" i="1"/>
  <c r="K52" i="1" a="1"/>
  <c r="K52" i="1" s="1"/>
  <c r="L52" i="1"/>
  <c r="A52" i="1" a="1"/>
  <c r="A52" i="1" s="1"/>
  <c r="U51" i="1" a="1"/>
  <c r="U51" i="1" s="1"/>
  <c r="Y51" i="1"/>
  <c r="Z51" i="1"/>
  <c r="K51" i="1" a="1"/>
  <c r="K51" i="1" s="1"/>
  <c r="N51" i="1"/>
  <c r="O51" i="1"/>
  <c r="R51" i="1"/>
  <c r="S51" i="1"/>
  <c r="A51" i="1" a="1"/>
  <c r="A51" i="1" s="1"/>
  <c r="F51" i="1"/>
  <c r="I51" i="1"/>
  <c r="J51" i="1"/>
  <c r="U50" i="1" a="1"/>
  <c r="U50" i="1" s="1"/>
  <c r="K50" i="1" a="1"/>
  <c r="K50" i="1" s="1"/>
  <c r="P50" i="1"/>
  <c r="Q50" i="1"/>
  <c r="T50" i="1"/>
  <c r="A50" i="1" a="1"/>
  <c r="A50" i="1" s="1"/>
  <c r="U49" i="1" a="1"/>
  <c r="U49" i="1" s="1"/>
  <c r="X49" i="1"/>
  <c r="K49" i="1" a="1"/>
  <c r="K49" i="1" s="1"/>
  <c r="A49" i="1" a="1"/>
  <c r="A49" i="1" s="1"/>
  <c r="U48" i="1" a="1"/>
  <c r="U48" i="1" s="1"/>
  <c r="Z48" i="1"/>
  <c r="K48" i="1" a="1"/>
  <c r="K48" i="1" s="1"/>
  <c r="A48" i="1" a="1"/>
  <c r="A48" i="1" s="1"/>
  <c r="U47" i="1" a="1"/>
  <c r="U47" i="1" s="1"/>
  <c r="W47" i="1"/>
  <c r="X47" i="1"/>
  <c r="K47" i="1" a="1"/>
  <c r="K47" i="1" s="1"/>
  <c r="M47" i="1"/>
  <c r="A47" i="1" a="1"/>
  <c r="A47" i="1" s="1"/>
  <c r="C47" i="1"/>
  <c r="U46" i="1" a="1"/>
  <c r="U46" i="1" s="1"/>
  <c r="Y46" i="1"/>
  <c r="K46" i="1" a="1"/>
  <c r="K46" i="1" s="1"/>
  <c r="M46" i="1"/>
  <c r="N46" i="1"/>
  <c r="S46" i="1"/>
  <c r="A46" i="1" a="1"/>
  <c r="A46" i="1" s="1"/>
  <c r="C46" i="1"/>
  <c r="D46" i="1"/>
  <c r="E46" i="1"/>
  <c r="H46" i="1"/>
  <c r="J46" i="1"/>
  <c r="U45" i="1" a="1"/>
  <c r="U45" i="1" s="1"/>
  <c r="K45" i="1" a="1"/>
  <c r="K45" i="1" s="1"/>
  <c r="A45" i="1" a="1"/>
  <c r="A45" i="1" s="1"/>
  <c r="U44" i="1" a="1"/>
  <c r="U44" i="1" s="1"/>
  <c r="W44" i="1"/>
  <c r="X44" i="1"/>
  <c r="Y44" i="1"/>
  <c r="K44" i="1" a="1"/>
  <c r="K44" i="1" s="1"/>
  <c r="M44" i="1"/>
  <c r="P44" i="1"/>
  <c r="Q44" i="1"/>
  <c r="A44" i="1" a="1"/>
  <c r="A44" i="1" s="1"/>
  <c r="D44" i="1"/>
  <c r="E44" i="1"/>
  <c r="F44" i="1"/>
  <c r="G44" i="1"/>
  <c r="H44" i="1"/>
  <c r="I44" i="1"/>
  <c r="J44" i="1"/>
  <c r="U43" i="1" a="1"/>
  <c r="U43" i="1" s="1"/>
  <c r="V43" i="1"/>
  <c r="W43" i="1"/>
  <c r="X43" i="1"/>
  <c r="Y43" i="1"/>
  <c r="Z43" i="1"/>
  <c r="K43" i="1" a="1"/>
  <c r="K43" i="1" s="1"/>
  <c r="M43" i="1"/>
  <c r="N43" i="1"/>
  <c r="P43" i="1"/>
  <c r="Q43" i="1"/>
  <c r="R43" i="1"/>
  <c r="A43" i="1" a="1"/>
  <c r="A43" i="1" s="1"/>
  <c r="D43" i="1"/>
  <c r="E43" i="1"/>
  <c r="F43" i="1"/>
  <c r="G43" i="1"/>
  <c r="H43" i="1"/>
  <c r="I43" i="1"/>
  <c r="J43" i="1"/>
  <c r="U42" i="1" a="1"/>
  <c r="U42" i="1" s="1"/>
  <c r="Z42" i="1"/>
  <c r="K42" i="1" a="1"/>
  <c r="K42" i="1" s="1"/>
  <c r="O42" i="1"/>
  <c r="P42" i="1"/>
  <c r="Q42" i="1"/>
  <c r="R42" i="1"/>
  <c r="S42" i="1"/>
  <c r="A42" i="1" a="1"/>
  <c r="A42" i="1" s="1"/>
  <c r="B42" i="1"/>
  <c r="C42" i="1"/>
  <c r="U41" i="1" a="1"/>
  <c r="U41" i="1" s="1"/>
  <c r="K41" i="1" a="1"/>
  <c r="K41" i="1" s="1"/>
  <c r="O41" i="1"/>
  <c r="Q41" i="1"/>
  <c r="A41" i="1" a="1"/>
  <c r="A41" i="1" s="1"/>
  <c r="U40" i="1" a="1"/>
  <c r="U40" i="1" s="1"/>
  <c r="K40" i="1" a="1"/>
  <c r="K40" i="1" s="1"/>
  <c r="N40" i="1"/>
  <c r="O40" i="1"/>
  <c r="A40" i="1" a="1"/>
  <c r="A40" i="1" s="1"/>
  <c r="E40" i="1"/>
  <c r="F40" i="1"/>
  <c r="H40" i="1"/>
  <c r="I40" i="1"/>
  <c r="J40" i="1"/>
  <c r="U39" i="1" a="1"/>
  <c r="U39" i="1" s="1"/>
  <c r="Z39" i="1"/>
  <c r="K39" i="1" a="1"/>
  <c r="K39" i="1" s="1"/>
  <c r="M39" i="1"/>
  <c r="N39" i="1"/>
  <c r="O39" i="1"/>
  <c r="P39" i="1"/>
  <c r="R39" i="1"/>
  <c r="S39" i="1"/>
  <c r="T39" i="1"/>
  <c r="A39" i="1" a="1"/>
  <c r="A39" i="1" s="1"/>
  <c r="U38" i="1" a="1"/>
  <c r="U38" i="1" s="1"/>
  <c r="X38" i="1"/>
  <c r="Y38" i="1"/>
  <c r="Z38" i="1"/>
  <c r="K38" i="1" a="1"/>
  <c r="K38" i="1" s="1"/>
  <c r="O38" i="1"/>
  <c r="R38" i="1"/>
  <c r="S38" i="1"/>
  <c r="A38" i="1" a="1"/>
  <c r="A38" i="1" s="1"/>
  <c r="D38" i="1"/>
  <c r="E38" i="1"/>
  <c r="F38" i="1"/>
  <c r="G38" i="1"/>
  <c r="H38" i="1"/>
  <c r="I38" i="1"/>
  <c r="J38" i="1"/>
  <c r="U37" i="1" a="1"/>
  <c r="U37" i="1" s="1"/>
  <c r="X37" i="1"/>
  <c r="Y37" i="1"/>
  <c r="Z37" i="1"/>
  <c r="K37" i="1" a="1"/>
  <c r="K37" i="1" s="1"/>
  <c r="R37" i="1"/>
  <c r="S37" i="1"/>
  <c r="A37" i="1" a="1"/>
  <c r="A37" i="1" s="1"/>
  <c r="E37" i="1"/>
  <c r="F37" i="1"/>
  <c r="G37" i="1"/>
  <c r="H37" i="1"/>
  <c r="I37" i="1"/>
  <c r="J37" i="1"/>
  <c r="U36" i="1" a="1"/>
  <c r="U36" i="1" s="1"/>
  <c r="Z36" i="1"/>
  <c r="K36" i="1" a="1"/>
  <c r="K36" i="1" s="1"/>
  <c r="A36" i="1" a="1"/>
  <c r="A36" i="1" s="1"/>
  <c r="U35" i="1" a="1"/>
  <c r="U35" i="1" s="1"/>
  <c r="W35" i="1"/>
  <c r="Z35" i="1"/>
  <c r="K35" i="1" a="1"/>
  <c r="K35" i="1" s="1"/>
  <c r="N35" i="1"/>
  <c r="A35" i="1" a="1"/>
  <c r="A35" i="1" s="1"/>
  <c r="G35" i="1"/>
  <c r="H35" i="1"/>
  <c r="U34" i="1" a="1"/>
  <c r="U34" i="1" s="1"/>
  <c r="X34" i="1"/>
  <c r="Z34" i="1"/>
  <c r="K34" i="1" a="1"/>
  <c r="K34" i="1" s="1"/>
  <c r="N34" i="1"/>
  <c r="O34" i="1"/>
  <c r="P34" i="1"/>
  <c r="R34" i="1"/>
  <c r="S34" i="1"/>
  <c r="T34" i="1"/>
  <c r="A34" i="1" a="1"/>
  <c r="A34" i="1" s="1"/>
  <c r="U33" i="1" a="1"/>
  <c r="U33" i="1" s="1"/>
  <c r="K33" i="1" a="1"/>
  <c r="K33" i="1" s="1"/>
  <c r="P33" i="1"/>
  <c r="Q33" i="1"/>
  <c r="R33" i="1"/>
  <c r="S33" i="1"/>
  <c r="T33" i="1"/>
  <c r="A33" i="1" a="1"/>
  <c r="A33" i="1" s="1"/>
  <c r="D33" i="1"/>
  <c r="E33" i="1"/>
  <c r="F33" i="1"/>
  <c r="G33" i="1"/>
  <c r="U32" i="1" a="1"/>
  <c r="U32" i="1" s="1"/>
  <c r="Z32" i="1"/>
  <c r="K32" i="1" a="1"/>
  <c r="K32" i="1" s="1"/>
  <c r="A32" i="1" a="1"/>
  <c r="A32" i="1" s="1"/>
  <c r="F32" i="1"/>
  <c r="G32" i="1"/>
  <c r="H32" i="1"/>
  <c r="J32" i="1"/>
  <c r="U31" i="1" a="1"/>
  <c r="U31" i="1" s="1"/>
  <c r="W31" i="1"/>
  <c r="K31" i="1" a="1"/>
  <c r="K31" i="1" s="1"/>
  <c r="L31" i="1"/>
  <c r="N31" i="1"/>
  <c r="O31" i="1"/>
  <c r="P31" i="1"/>
  <c r="Q31" i="1"/>
  <c r="S31" i="1"/>
  <c r="T31" i="1"/>
  <c r="A31" i="1" a="1"/>
  <c r="A31" i="1" s="1"/>
  <c r="U30" i="1" a="1"/>
  <c r="U30" i="1" s="1"/>
  <c r="X30" i="1"/>
  <c r="K30" i="1" a="1"/>
  <c r="K30" i="1" s="1"/>
  <c r="P30" i="1"/>
  <c r="Q30" i="1"/>
  <c r="A30" i="1" a="1"/>
  <c r="A30" i="1" s="1"/>
  <c r="C30" i="1"/>
  <c r="E30" i="1"/>
  <c r="F30" i="1"/>
  <c r="G30" i="1"/>
  <c r="H30" i="1"/>
  <c r="U29" i="1" a="1"/>
  <c r="U29" i="1" s="1"/>
  <c r="K29" i="1" a="1"/>
  <c r="K29" i="1" s="1"/>
  <c r="Q29" i="1"/>
  <c r="R29" i="1"/>
  <c r="A29" i="1" a="1"/>
  <c r="A29" i="1" s="1"/>
  <c r="C29" i="1"/>
  <c r="D29" i="1"/>
  <c r="F29" i="1"/>
  <c r="G29" i="1"/>
  <c r="H29" i="1"/>
  <c r="I29" i="1"/>
  <c r="U28" i="1" a="1"/>
  <c r="U28" i="1" s="1"/>
  <c r="W28" i="1"/>
  <c r="X28" i="1"/>
  <c r="Y28" i="1"/>
  <c r="Z28" i="1"/>
  <c r="K28" i="1" a="1"/>
  <c r="K28" i="1" s="1"/>
  <c r="O28" i="1"/>
  <c r="P28" i="1"/>
  <c r="Q28" i="1"/>
  <c r="S28" i="1"/>
  <c r="T28" i="1"/>
  <c r="A28" i="1" a="1"/>
  <c r="A28" i="1" s="1"/>
  <c r="U27" i="1" a="1"/>
  <c r="U27" i="1" s="1"/>
  <c r="Y27" i="1"/>
  <c r="K27" i="1" a="1"/>
  <c r="K27" i="1" s="1"/>
  <c r="L27" i="1"/>
  <c r="M27" i="1"/>
  <c r="N27" i="1"/>
  <c r="O27" i="1"/>
  <c r="P27" i="1"/>
  <c r="Q27" i="1"/>
  <c r="R27" i="1"/>
  <c r="S27" i="1"/>
  <c r="T27" i="1"/>
  <c r="A27" i="1" a="1"/>
  <c r="A27" i="1" s="1"/>
  <c r="F27" i="1"/>
  <c r="G27" i="1"/>
  <c r="H27" i="1"/>
  <c r="I27" i="1"/>
  <c r="U26" i="1" a="1"/>
  <c r="U26" i="1" s="1"/>
  <c r="Y26" i="1"/>
  <c r="K26" i="1" a="1"/>
  <c r="K26" i="1" s="1"/>
  <c r="L26" i="1"/>
  <c r="M26" i="1"/>
  <c r="A26" i="1" a="1"/>
  <c r="A26" i="1" s="1"/>
  <c r="D26" i="1"/>
  <c r="E26" i="1"/>
  <c r="H26" i="1"/>
  <c r="I26" i="1"/>
  <c r="J26" i="1"/>
  <c r="U25" i="1" a="1"/>
  <c r="U25" i="1" s="1"/>
  <c r="K25" i="1" a="1"/>
  <c r="K25" i="1" s="1"/>
  <c r="Q25" i="1"/>
  <c r="R25" i="1"/>
  <c r="S25" i="1"/>
  <c r="A25" i="1" a="1"/>
  <c r="A25" i="1" s="1"/>
  <c r="D25" i="1"/>
  <c r="E25" i="1"/>
  <c r="F25" i="1"/>
  <c r="G25" i="1"/>
  <c r="H25" i="1"/>
  <c r="I25" i="1"/>
  <c r="J25" i="1"/>
  <c r="U24" i="1" a="1"/>
  <c r="U24" i="1" s="1"/>
  <c r="K24" i="1" a="1"/>
  <c r="K24" i="1" s="1"/>
  <c r="M24" i="1"/>
  <c r="N24" i="1"/>
  <c r="A24" i="1" a="1"/>
  <c r="A24" i="1" s="1"/>
  <c r="D24" i="1"/>
  <c r="U23" i="1" a="1"/>
  <c r="U23" i="1" s="1"/>
  <c r="W23" i="1"/>
  <c r="X23" i="1"/>
  <c r="Y23" i="1"/>
  <c r="Z23" i="1"/>
  <c r="K23" i="1" a="1"/>
  <c r="K23" i="1" s="1"/>
  <c r="N23" i="1"/>
  <c r="O23" i="1"/>
  <c r="P23" i="1"/>
  <c r="Q23" i="1"/>
  <c r="A23" i="1" a="1"/>
  <c r="A23" i="1" s="1"/>
  <c r="D23" i="1"/>
  <c r="F23" i="1"/>
  <c r="U22" i="1" a="1"/>
  <c r="U22" i="1" s="1"/>
  <c r="K22" i="1" a="1"/>
  <c r="K22" i="1" s="1"/>
  <c r="Q22" i="1"/>
  <c r="R22" i="1"/>
  <c r="A22" i="1" a="1"/>
  <c r="A22" i="1" s="1"/>
  <c r="E22" i="1"/>
  <c r="G22" i="1"/>
  <c r="H22" i="1"/>
  <c r="I22" i="1"/>
  <c r="J22" i="1"/>
  <c r="U21" i="1" a="1"/>
  <c r="U21" i="1" s="1"/>
  <c r="K21" i="1" a="1"/>
  <c r="K21" i="1" s="1"/>
  <c r="Q21" i="1"/>
  <c r="R21" i="1"/>
  <c r="A21" i="1" a="1"/>
  <c r="A21" i="1" s="1"/>
  <c r="F21" i="1"/>
  <c r="G21" i="1"/>
  <c r="U20" i="1" a="1"/>
  <c r="U20" i="1" s="1"/>
  <c r="Y20" i="1"/>
  <c r="K20" i="1" a="1"/>
  <c r="K20" i="1" s="1"/>
  <c r="N20" i="1"/>
  <c r="A20" i="1" a="1"/>
  <c r="A20" i="1" s="1"/>
  <c r="H20" i="1"/>
  <c r="I20" i="1"/>
  <c r="U19" i="1" a="1"/>
  <c r="U19" i="1" s="1"/>
  <c r="X19" i="1"/>
  <c r="Y19" i="1"/>
  <c r="Z19" i="1"/>
  <c r="K19" i="1" a="1"/>
  <c r="K19" i="1" s="1"/>
  <c r="T19" i="1"/>
  <c r="A19" i="1" a="1"/>
  <c r="A19" i="1" s="1"/>
  <c r="J19" i="1"/>
  <c r="U18" i="1" a="1"/>
  <c r="U18" i="1" s="1"/>
  <c r="Z18" i="1"/>
  <c r="K18" i="1" a="1"/>
  <c r="K18" i="1" s="1"/>
  <c r="A18" i="1" a="1"/>
  <c r="A18" i="1" s="1"/>
  <c r="U17" i="1" a="1"/>
  <c r="U17" i="1" s="1"/>
  <c r="K17" i="1" a="1"/>
  <c r="K17" i="1" s="1"/>
  <c r="P17" i="1"/>
  <c r="Q17" i="1"/>
  <c r="A17" i="1" a="1"/>
  <c r="A17" i="1" s="1"/>
  <c r="B17" i="1"/>
  <c r="D17" i="1"/>
  <c r="E17" i="1"/>
  <c r="F17" i="1"/>
  <c r="G17" i="1"/>
  <c r="J17" i="1"/>
  <c r="U16" i="1" a="1"/>
  <c r="U16" i="1" s="1"/>
  <c r="K16" i="1" a="1"/>
  <c r="K16" i="1" s="1"/>
  <c r="P16" i="1"/>
  <c r="Q16" i="1"/>
  <c r="R16" i="1"/>
  <c r="A16" i="1" a="1"/>
  <c r="A16" i="1" s="1"/>
  <c r="D16" i="1"/>
  <c r="F16" i="1"/>
  <c r="H16" i="1"/>
  <c r="I16" i="1"/>
  <c r="J16" i="1"/>
  <c r="U15" i="1" a="1"/>
  <c r="U15" i="1" s="1"/>
  <c r="K15" i="1" a="1"/>
  <c r="K15" i="1" s="1"/>
  <c r="Q15" i="1"/>
  <c r="S15" i="1"/>
  <c r="T15" i="1"/>
  <c r="A15" i="1" a="1"/>
  <c r="A15" i="1" s="1"/>
  <c r="E15" i="1"/>
  <c r="U14" i="1" a="1"/>
  <c r="U14" i="1" s="1"/>
  <c r="X14" i="1"/>
  <c r="Y14" i="1"/>
  <c r="Z14" i="1"/>
  <c r="K14" i="1" a="1"/>
  <c r="K14" i="1" s="1"/>
  <c r="A14" i="1" a="1"/>
  <c r="A14" i="1" s="1"/>
  <c r="G14" i="1"/>
  <c r="H14" i="1"/>
  <c r="I14" i="1"/>
  <c r="J14" i="1"/>
  <c r="U13" i="1" a="1"/>
  <c r="U13" i="1" s="1"/>
  <c r="X13" i="1"/>
  <c r="Y13" i="1"/>
  <c r="Z13" i="1"/>
  <c r="K13" i="1" a="1"/>
  <c r="K13" i="1" s="1"/>
  <c r="L13" i="1"/>
  <c r="M13" i="1"/>
  <c r="N13" i="1"/>
  <c r="O13" i="1"/>
  <c r="R13" i="1"/>
  <c r="S13" i="1"/>
  <c r="A13" i="1" a="1"/>
  <c r="A13" i="1" s="1"/>
  <c r="D13" i="1"/>
  <c r="E13" i="1"/>
  <c r="G13" i="1"/>
  <c r="H13" i="1"/>
  <c r="I13" i="1"/>
  <c r="J13" i="1"/>
  <c r="U12" i="1" a="1"/>
  <c r="U12" i="1" s="1"/>
  <c r="K12" i="1" a="1"/>
  <c r="K12" i="1" s="1"/>
  <c r="T12" i="1"/>
  <c r="A12" i="1" a="1"/>
  <c r="A12" i="1" s="1"/>
  <c r="J12" i="1"/>
  <c r="U11" i="1" a="1"/>
  <c r="U11" i="1" s="1"/>
  <c r="K11" i="1" a="1"/>
  <c r="K11" i="1" s="1"/>
  <c r="N11" i="1"/>
  <c r="O11" i="1"/>
  <c r="P11" i="1"/>
  <c r="Q11" i="1"/>
  <c r="R11" i="1"/>
  <c r="S11" i="1"/>
  <c r="T11" i="1"/>
  <c r="A11" i="1" a="1"/>
  <c r="A11" i="1" s="1"/>
  <c r="G11" i="1"/>
  <c r="U10" i="1" a="1"/>
  <c r="U10" i="1" s="1"/>
  <c r="X10" i="1"/>
  <c r="Y10" i="1"/>
  <c r="Z10" i="1"/>
  <c r="K10" i="1" a="1"/>
  <c r="K10" i="1" s="1"/>
  <c r="M10" i="1"/>
  <c r="N10" i="1"/>
  <c r="A10" i="1" a="1"/>
  <c r="A10" i="1" s="1"/>
  <c r="D10" i="1"/>
  <c r="E10" i="1"/>
  <c r="F10" i="1"/>
  <c r="G10" i="1"/>
  <c r="H10" i="1"/>
  <c r="I10" i="1"/>
  <c r="J10" i="1"/>
  <c r="U9" i="1" a="1"/>
  <c r="U9" i="1" s="1"/>
  <c r="Y9" i="1"/>
  <c r="K9" i="1" a="1"/>
  <c r="K9" i="1" s="1"/>
  <c r="A9" i="1" a="1"/>
  <c r="A9" i="1" s="1"/>
  <c r="U8" i="1" a="1"/>
  <c r="U8" i="1" s="1"/>
  <c r="K8" i="1" a="1"/>
  <c r="K8" i="1" s="1"/>
  <c r="A8" i="1" a="1"/>
  <c r="A8" i="1" s="1"/>
  <c r="U7" i="1" a="1"/>
  <c r="U7" i="1" s="1"/>
  <c r="K7" i="1" a="1"/>
  <c r="K7" i="1" s="1"/>
  <c r="A7" i="1" a="1"/>
  <c r="A7" i="1" s="1"/>
  <c r="U6" i="1" a="1"/>
  <c r="U6" i="1" s="1"/>
  <c r="K6" i="1" a="1"/>
  <c r="K6" i="1" s="1"/>
  <c r="A6" i="1" a="1"/>
  <c r="A6" i="1" s="1"/>
  <c r="U5" i="1" a="1"/>
  <c r="U5" i="1" s="1"/>
  <c r="K5" i="1" a="1"/>
  <c r="K5" i="1" s="1"/>
  <c r="A5" i="1" a="1"/>
  <c r="A5" i="1" s="1"/>
  <c r="U4" i="1" a="1"/>
  <c r="U4" i="1" s="1"/>
  <c r="K4" i="1" a="1"/>
  <c r="K4" i="1" s="1"/>
  <c r="A4" i="1" a="1"/>
  <c r="A4" i="1" s="1"/>
  <c r="U3" i="1" a="1"/>
  <c r="U3" i="1" s="1"/>
  <c r="K3" i="1" a="1"/>
  <c r="K3" i="1" s="1"/>
  <c r="A3" i="1" a="1"/>
  <c r="A3" i="1" s="1"/>
  <c r="U2" i="1" a="1"/>
  <c r="U2" i="1" s="1"/>
  <c r="K2" i="1" a="1"/>
  <c r="K2" i="1" s="1"/>
  <c r="A2" i="1" a="1"/>
  <c r="D2" i="1" s="1"/>
  <c r="I65" i="1" l="1"/>
  <c r="T65" i="1"/>
  <c r="S65" i="1"/>
  <c r="R65" i="1"/>
  <c r="Q65" i="1"/>
  <c r="P65" i="1"/>
  <c r="Z65" i="1"/>
  <c r="Y65" i="1"/>
  <c r="J71" i="1"/>
  <c r="I71" i="1"/>
  <c r="H71" i="1"/>
  <c r="G71" i="1"/>
  <c r="F71" i="1"/>
  <c r="E71" i="1"/>
  <c r="P71" i="1"/>
  <c r="O71" i="1"/>
  <c r="Y97" i="1"/>
  <c r="X97" i="1"/>
  <c r="S61" i="1"/>
  <c r="Q61" i="1"/>
  <c r="Z61" i="1"/>
  <c r="Y61" i="1"/>
  <c r="J97" i="1"/>
  <c r="I97" i="1"/>
  <c r="H97" i="1"/>
  <c r="W86" i="1"/>
  <c r="G86" i="1"/>
  <c r="R86" i="1"/>
  <c r="Q86" i="1"/>
  <c r="Y86" i="1"/>
  <c r="M94" i="1"/>
  <c r="N94" i="1"/>
  <c r="J45" i="1"/>
  <c r="I45" i="1"/>
  <c r="H45" i="1"/>
  <c r="G45" i="1"/>
  <c r="F45" i="1"/>
  <c r="E45" i="1"/>
  <c r="D45" i="1"/>
  <c r="O45" i="1"/>
  <c r="N45" i="1"/>
  <c r="Y45" i="1"/>
  <c r="V45" i="1"/>
  <c r="H57" i="1"/>
  <c r="P57" i="1"/>
  <c r="P41" i="1"/>
  <c r="N41" i="1"/>
  <c r="M41" i="1"/>
  <c r="L41" i="1"/>
  <c r="X41" i="1"/>
  <c r="F41" i="1"/>
  <c r="E41" i="1"/>
  <c r="S41" i="1"/>
  <c r="R41" i="1"/>
  <c r="M59" i="1"/>
  <c r="X61" i="1"/>
  <c r="N71" i="1"/>
  <c r="X72" i="1"/>
  <c r="Q76" i="1"/>
  <c r="X77" i="1"/>
  <c r="Y82" i="1"/>
  <c r="P86" i="1"/>
  <c r="T99" i="1"/>
  <c r="N100" i="1"/>
  <c r="L59" i="1"/>
  <c r="W61" i="1"/>
  <c r="M71" i="1"/>
  <c r="W72" i="1"/>
  <c r="W77" i="1"/>
  <c r="X82" i="1"/>
  <c r="O86" i="1"/>
  <c r="W87" i="1"/>
  <c r="F91" i="1"/>
  <c r="Z94" i="1"/>
  <c r="W96" i="1"/>
  <c r="J98" i="1"/>
  <c r="Y94" i="1"/>
  <c r="I98" i="1"/>
  <c r="R99" i="1"/>
  <c r="Z100" i="1"/>
  <c r="Z59" i="1"/>
  <c r="J62" i="1"/>
  <c r="P64" i="1"/>
  <c r="O65" i="1"/>
  <c r="G67" i="1"/>
  <c r="C68" i="1"/>
  <c r="R69" i="1"/>
  <c r="N70" i="1"/>
  <c r="Z71" i="1"/>
  <c r="G74" i="1"/>
  <c r="Y76" i="1"/>
  <c r="J78" i="1"/>
  <c r="S80" i="1"/>
  <c r="Y81" i="1"/>
  <c r="J83" i="1"/>
  <c r="G84" i="1"/>
  <c r="S85" i="1"/>
  <c r="Z86" i="1"/>
  <c r="J88" i="1"/>
  <c r="G90" i="1"/>
  <c r="T91" i="1"/>
  <c r="M93" i="1"/>
  <c r="X94" i="1"/>
  <c r="X95" i="1"/>
  <c r="H98" i="1"/>
  <c r="Q99" i="1"/>
  <c r="Y100" i="1"/>
  <c r="Y59" i="1"/>
  <c r="J61" i="1"/>
  <c r="I62" i="1"/>
  <c r="T63" i="1"/>
  <c r="O64" i="1"/>
  <c r="F67" i="1"/>
  <c r="B68" i="1"/>
  <c r="Q69" i="1"/>
  <c r="M70" i="1"/>
  <c r="Y71" i="1"/>
  <c r="I73" i="1"/>
  <c r="F74" i="1"/>
  <c r="T75" i="1"/>
  <c r="X76" i="1"/>
  <c r="I78" i="1"/>
  <c r="T79" i="1"/>
  <c r="R85" i="1"/>
  <c r="S91" i="1"/>
  <c r="W94" i="1"/>
  <c r="G98" i="1"/>
  <c r="P99" i="1"/>
  <c r="X100" i="1"/>
  <c r="X59" i="1"/>
  <c r="I61" i="1"/>
  <c r="S63" i="1"/>
  <c r="N64" i="1"/>
  <c r="E67" i="1"/>
  <c r="X71" i="1"/>
  <c r="S79" i="1"/>
  <c r="H83" i="1"/>
  <c r="E84" i="1"/>
  <c r="Q85" i="1"/>
  <c r="X86" i="1"/>
  <c r="H88" i="1"/>
  <c r="E89" i="1"/>
  <c r="E90" i="1"/>
  <c r="R91" i="1"/>
  <c r="Z93" i="1"/>
  <c r="V94" i="1"/>
  <c r="F98" i="1"/>
  <c r="O99" i="1"/>
  <c r="W100" i="1"/>
  <c r="W59" i="1"/>
  <c r="H61" i="1"/>
  <c r="M64" i="1"/>
  <c r="T68" i="1"/>
  <c r="J77" i="1"/>
  <c r="G61" i="1"/>
  <c r="X65" i="1"/>
  <c r="T67" i="1"/>
  <c r="S68" i="1"/>
  <c r="J72" i="1"/>
  <c r="Q75" i="1"/>
  <c r="I77" i="1"/>
  <c r="S78" i="1"/>
  <c r="Q79" i="1"/>
  <c r="P91" i="1"/>
  <c r="J94" i="1"/>
  <c r="J95" i="1"/>
  <c r="H96" i="1"/>
  <c r="F97" i="1"/>
  <c r="T98" i="1"/>
  <c r="Z99" i="1"/>
  <c r="J101" i="1"/>
  <c r="J60" i="1"/>
  <c r="F61" i="1"/>
  <c r="P63" i="1"/>
  <c r="Z64" i="1"/>
  <c r="S67" i="1"/>
  <c r="R68" i="1"/>
  <c r="X70" i="1"/>
  <c r="I72" i="1"/>
  <c r="E73" i="1"/>
  <c r="P75" i="1"/>
  <c r="H77" i="1"/>
  <c r="R78" i="1"/>
  <c r="P79" i="1"/>
  <c r="H82" i="1"/>
  <c r="E83" i="1"/>
  <c r="Z85" i="1"/>
  <c r="J87" i="1"/>
  <c r="E88" i="1"/>
  <c r="B89" i="1"/>
  <c r="T90" i="1"/>
  <c r="O91" i="1"/>
  <c r="Z92" i="1"/>
  <c r="I94" i="1"/>
  <c r="I95" i="1"/>
  <c r="G96" i="1"/>
  <c r="E97" i="1"/>
  <c r="S98" i="1"/>
  <c r="Y99" i="1"/>
  <c r="I101" i="1"/>
  <c r="I60" i="1"/>
  <c r="E61" i="1"/>
  <c r="Y64" i="1"/>
  <c r="J66" i="1"/>
  <c r="R67" i="1"/>
  <c r="Q68" i="1"/>
  <c r="Z69" i="1"/>
  <c r="H72" i="1"/>
  <c r="O75" i="1"/>
  <c r="G77" i="1"/>
  <c r="Q78" i="1"/>
  <c r="O79" i="1"/>
  <c r="Z80" i="1"/>
  <c r="G82" i="1"/>
  <c r="D83" i="1"/>
  <c r="T84" i="1"/>
  <c r="Y85" i="1"/>
  <c r="I87" i="1"/>
  <c r="D88" i="1"/>
  <c r="S90" i="1"/>
  <c r="N91" i="1"/>
  <c r="Y92" i="1"/>
  <c r="H94" i="1"/>
  <c r="H95" i="1"/>
  <c r="F96" i="1"/>
  <c r="D97" i="1"/>
  <c r="R98" i="1"/>
  <c r="X99" i="1"/>
  <c r="H101" i="1"/>
  <c r="Z63" i="1"/>
  <c r="X64" i="1"/>
  <c r="I66" i="1"/>
  <c r="Q67" i="1"/>
  <c r="P68" i="1"/>
  <c r="Y69" i="1"/>
  <c r="G72" i="1"/>
  <c r="F77" i="1"/>
  <c r="P78" i="1"/>
  <c r="N79" i="1"/>
  <c r="S84" i="1"/>
  <c r="X85" i="1"/>
  <c r="T89" i="1"/>
  <c r="R90" i="1"/>
  <c r="M91" i="1"/>
  <c r="X92" i="1"/>
  <c r="G94" i="1"/>
  <c r="G95" i="1"/>
  <c r="E96" i="1"/>
  <c r="Q98" i="1"/>
  <c r="W99" i="1"/>
  <c r="G101" i="1"/>
  <c r="G60" i="1"/>
  <c r="T61" i="1"/>
  <c r="T62" i="1"/>
  <c r="Y63" i="1"/>
  <c r="W64" i="1"/>
  <c r="P67" i="1"/>
  <c r="O68" i="1"/>
  <c r="X69" i="1"/>
  <c r="F72" i="1"/>
  <c r="E77" i="1"/>
  <c r="Q90" i="1"/>
  <c r="F94" i="1"/>
  <c r="N78" i="1"/>
  <c r="W80" i="1"/>
  <c r="D82" i="1"/>
  <c r="S83" i="1"/>
  <c r="Q84" i="1"/>
  <c r="J86" i="1"/>
  <c r="S88" i="1"/>
  <c r="R89" i="1"/>
  <c r="P90" i="1"/>
  <c r="Z91" i="1"/>
  <c r="E94" i="1"/>
  <c r="E95" i="1"/>
  <c r="S97" i="1"/>
  <c r="O98" i="1"/>
  <c r="J100" i="1"/>
  <c r="T101" i="1"/>
  <c r="E60" i="1"/>
  <c r="R61" i="1"/>
  <c r="R62" i="1"/>
  <c r="W63" i="1"/>
  <c r="J65" i="1"/>
  <c r="N67" i="1"/>
  <c r="M68" i="1"/>
  <c r="J70" i="1"/>
  <c r="T72" i="1"/>
  <c r="T77" i="1"/>
  <c r="M78" i="1"/>
  <c r="R83" i="1"/>
  <c r="P84" i="1"/>
  <c r="I86" i="1"/>
  <c r="T87" i="1"/>
  <c r="R88" i="1"/>
  <c r="Q89" i="1"/>
  <c r="O90" i="1"/>
  <c r="Y91" i="1"/>
  <c r="I93" i="1"/>
  <c r="D94" i="1"/>
  <c r="D95" i="1"/>
  <c r="T96" i="1"/>
  <c r="R97" i="1"/>
  <c r="N98" i="1"/>
  <c r="I100" i="1"/>
  <c r="S101" i="1"/>
  <c r="T82" i="1"/>
  <c r="Q83" i="1"/>
  <c r="H86" i="1"/>
  <c r="S87" i="1"/>
  <c r="Q88" i="1"/>
  <c r="P89" i="1"/>
  <c r="N90" i="1"/>
  <c r="X91" i="1"/>
  <c r="H93" i="1"/>
  <c r="C94" i="1"/>
  <c r="C95" i="1"/>
  <c r="S96" i="1"/>
  <c r="Q97" i="1"/>
  <c r="M98" i="1"/>
  <c r="H100" i="1"/>
  <c r="R101" i="1"/>
  <c r="T60" i="1"/>
  <c r="P61" i="1"/>
  <c r="P62" i="1"/>
  <c r="J64" i="1"/>
  <c r="H65" i="1"/>
  <c r="R72" i="1"/>
  <c r="S82" i="1"/>
  <c r="R96" i="1"/>
  <c r="P97" i="1"/>
  <c r="G100" i="1"/>
  <c r="Q101" i="1"/>
  <c r="S60" i="1"/>
  <c r="O61" i="1"/>
  <c r="O62" i="1"/>
  <c r="I64" i="1"/>
  <c r="G65" i="1"/>
  <c r="R66" i="1"/>
  <c r="Z67" i="1"/>
  <c r="Y68" i="1"/>
  <c r="G70" i="1"/>
  <c r="D71" i="1"/>
  <c r="Q72" i="1"/>
  <c r="N73" i="1"/>
  <c r="H76" i="1"/>
  <c r="Q77" i="1"/>
  <c r="Y78" i="1"/>
  <c r="R82" i="1"/>
  <c r="O83" i="1"/>
  <c r="Y84" i="1"/>
  <c r="F86" i="1"/>
  <c r="Q87" i="1"/>
  <c r="O88" i="1"/>
  <c r="N89" i="1"/>
  <c r="Z90" i="1"/>
  <c r="J92" i="1"/>
  <c r="T94" i="1"/>
  <c r="T95" i="1"/>
  <c r="Q96" i="1"/>
  <c r="O97" i="1"/>
  <c r="F100" i="1"/>
  <c r="P101" i="1"/>
  <c r="T59" i="1"/>
  <c r="R60" i="1"/>
  <c r="N61" i="1"/>
  <c r="N62" i="1"/>
  <c r="H64" i="1"/>
  <c r="F65" i="1"/>
  <c r="Q66" i="1"/>
  <c r="Y67" i="1"/>
  <c r="X68" i="1"/>
  <c r="F70" i="1"/>
  <c r="P72" i="1"/>
  <c r="M73" i="1"/>
  <c r="Z74" i="1"/>
  <c r="G76" i="1"/>
  <c r="P77" i="1"/>
  <c r="X78" i="1"/>
  <c r="J80" i="1"/>
  <c r="T81" i="1"/>
  <c r="Q82" i="1"/>
  <c r="N83" i="1"/>
  <c r="X84" i="1"/>
  <c r="E86" i="1"/>
  <c r="P87" i="1"/>
  <c r="N88" i="1"/>
  <c r="M89" i="1"/>
  <c r="Y90" i="1"/>
  <c r="I92" i="1"/>
  <c r="S94" i="1"/>
  <c r="S95" i="1"/>
  <c r="P96" i="1"/>
  <c r="N97" i="1"/>
  <c r="J99" i="1"/>
  <c r="O101" i="1"/>
  <c r="S59" i="1"/>
  <c r="Q60" i="1"/>
  <c r="M61" i="1"/>
  <c r="G64" i="1"/>
  <c r="E65" i="1"/>
  <c r="X67" i="1"/>
  <c r="E70" i="1"/>
  <c r="T71" i="1"/>
  <c r="O72" i="1"/>
  <c r="F76" i="1"/>
  <c r="O77" i="1"/>
  <c r="W78" i="1"/>
  <c r="I80" i="1"/>
  <c r="S81" i="1"/>
  <c r="P82" i="1"/>
  <c r="M83" i="1"/>
  <c r="D86" i="1"/>
  <c r="O87" i="1"/>
  <c r="M88" i="1"/>
  <c r="L89" i="1"/>
  <c r="X90" i="1"/>
  <c r="H92" i="1"/>
  <c r="D93" i="1"/>
  <c r="R94" i="1"/>
  <c r="R95" i="1"/>
  <c r="O96" i="1"/>
  <c r="M97" i="1"/>
  <c r="I99" i="1"/>
  <c r="T100" i="1"/>
  <c r="N101" i="1"/>
  <c r="R59" i="1"/>
  <c r="P60" i="1"/>
  <c r="L61" i="1"/>
  <c r="F64" i="1"/>
  <c r="D65" i="1"/>
  <c r="Z66" i="1"/>
  <c r="J69" i="1"/>
  <c r="D70" i="1"/>
  <c r="S71" i="1"/>
  <c r="N72" i="1"/>
  <c r="Z73" i="1"/>
  <c r="E76" i="1"/>
  <c r="N77" i="1"/>
  <c r="H80" i="1"/>
  <c r="R81" i="1"/>
  <c r="O82" i="1"/>
  <c r="J85" i="1"/>
  <c r="N87" i="1"/>
  <c r="W90" i="1"/>
  <c r="G92" i="1"/>
  <c r="Q94" i="1"/>
  <c r="Q95" i="1"/>
  <c r="N96" i="1"/>
  <c r="L97" i="1"/>
  <c r="H99" i="1"/>
  <c r="S100" i="1"/>
  <c r="M101" i="1"/>
  <c r="Q59" i="1"/>
  <c r="O60" i="1"/>
  <c r="J63" i="1"/>
  <c r="E64" i="1"/>
  <c r="C65" i="1"/>
  <c r="Y66" i="1"/>
  <c r="J68" i="1"/>
  <c r="I69" i="1"/>
  <c r="R71" i="1"/>
  <c r="M72" i="1"/>
  <c r="Y73" i="1"/>
  <c r="M77" i="1"/>
  <c r="J79" i="1"/>
  <c r="G80" i="1"/>
  <c r="Q81" i="1"/>
  <c r="N82" i="1"/>
  <c r="I85" i="1"/>
  <c r="T86" i="1"/>
  <c r="M87" i="1"/>
  <c r="Z88" i="1"/>
  <c r="Z89" i="1"/>
  <c r="F92" i="1"/>
  <c r="T93" i="1"/>
  <c r="P94" i="1"/>
  <c r="P95" i="1"/>
  <c r="G99" i="1"/>
  <c r="R100" i="1"/>
  <c r="P59" i="1"/>
  <c r="N60" i="1"/>
  <c r="D64" i="1"/>
  <c r="X66" i="1"/>
  <c r="I68" i="1"/>
  <c r="H69" i="1"/>
  <c r="T70" i="1"/>
  <c r="Q71" i="1"/>
  <c r="X73" i="1"/>
  <c r="T76" i="1"/>
  <c r="F80" i="1"/>
  <c r="P81" i="1"/>
  <c r="M82" i="1"/>
  <c r="Z83" i="1"/>
  <c r="H85" i="1"/>
  <c r="S86" i="1"/>
  <c r="Y88" i="1"/>
  <c r="Y89" i="1"/>
  <c r="J91" i="1"/>
  <c r="S93" i="1"/>
  <c r="O94" i="1"/>
  <c r="O95" i="1"/>
  <c r="Z97" i="1"/>
  <c r="F99" i="1"/>
  <c r="Q100" i="1"/>
  <c r="I11" i="1"/>
  <c r="W12" i="1"/>
  <c r="G15" i="1"/>
  <c r="T16" i="1"/>
  <c r="S17" i="1"/>
  <c r="N18" i="1"/>
  <c r="M19" i="1"/>
  <c r="I21" i="1"/>
  <c r="T22" i="1"/>
  <c r="R23" i="1"/>
  <c r="P24" i="1"/>
  <c r="X25" i="1"/>
  <c r="J27" i="1"/>
  <c r="E28" i="1"/>
  <c r="T29" i="1"/>
  <c r="S30" i="1"/>
  <c r="Y31" i="1"/>
  <c r="H33" i="1"/>
  <c r="D34" i="1"/>
  <c r="P35" i="1"/>
  <c r="N36" i="1"/>
  <c r="L37" i="1"/>
  <c r="L38" i="1"/>
  <c r="W39" i="1"/>
  <c r="H41" i="1"/>
  <c r="E42" i="1"/>
  <c r="T43" i="1"/>
  <c r="S44" i="1"/>
  <c r="Q45" i="1"/>
  <c r="P46" i="1"/>
  <c r="O47" i="1"/>
  <c r="N48" i="1"/>
  <c r="E50" i="1"/>
  <c r="N52" i="1"/>
  <c r="N53" i="1"/>
  <c r="H55" i="1"/>
  <c r="H56" i="1"/>
  <c r="B57" i="1"/>
  <c r="R58" i="1"/>
  <c r="H11" i="1"/>
  <c r="F15" i="1"/>
  <c r="S16" i="1"/>
  <c r="R17" i="1"/>
  <c r="M18" i="1"/>
  <c r="H21" i="1"/>
  <c r="S22" i="1"/>
  <c r="O24" i="1"/>
  <c r="D28" i="1"/>
  <c r="S29" i="1"/>
  <c r="R30" i="1"/>
  <c r="X31" i="1"/>
  <c r="O35" i="1"/>
  <c r="M36" i="1"/>
  <c r="G41" i="1"/>
  <c r="D42" i="1"/>
  <c r="S43" i="1"/>
  <c r="R44" i="1"/>
  <c r="P45" i="1"/>
  <c r="O46" i="1"/>
  <c r="N47" i="1"/>
  <c r="M48" i="1"/>
  <c r="D50" i="1"/>
  <c r="T51" i="1"/>
  <c r="M52" i="1"/>
  <c r="M53" i="1"/>
  <c r="G55" i="1"/>
  <c r="G56" i="1"/>
  <c r="Q58" i="1"/>
  <c r="O17" i="1"/>
  <c r="Y18" i="1"/>
  <c r="P22" i="1"/>
  <c r="P29" i="1"/>
  <c r="Y36" i="1"/>
  <c r="O44" i="1"/>
  <c r="Z47" i="1"/>
  <c r="Y48" i="1"/>
  <c r="S50" i="1"/>
  <c r="Q51" i="1"/>
  <c r="Z52" i="1"/>
  <c r="Z53" i="1"/>
  <c r="D55" i="1"/>
  <c r="T56" i="1"/>
  <c r="R57" i="1"/>
  <c r="N58" i="1"/>
  <c r="F14" i="1"/>
  <c r="O16" i="1"/>
  <c r="N17" i="1"/>
  <c r="T21" i="1"/>
  <c r="O22" i="1"/>
  <c r="Z24" i="1"/>
  <c r="G26" i="1"/>
  <c r="R28" i="1"/>
  <c r="O29" i="1"/>
  <c r="Z30" i="1"/>
  <c r="I32" i="1"/>
  <c r="C33" i="1"/>
  <c r="Q34" i="1"/>
  <c r="Y35" i="1"/>
  <c r="X36" i="1"/>
  <c r="W37" i="1"/>
  <c r="G40" i="1"/>
  <c r="T41" i="1"/>
  <c r="T42" i="1"/>
  <c r="O43" i="1"/>
  <c r="N44" i="1"/>
  <c r="Z45" i="1"/>
  <c r="Z46" i="1"/>
  <c r="Y47" i="1"/>
  <c r="X48" i="1"/>
  <c r="R50" i="1"/>
  <c r="P51" i="1"/>
  <c r="Y52" i="1"/>
  <c r="Y53" i="1"/>
  <c r="C55" i="1"/>
  <c r="S56" i="1"/>
  <c r="Q57" i="1"/>
  <c r="M58" i="1"/>
  <c r="X18" i="1"/>
  <c r="F13" i="1"/>
  <c r="E14" i="1"/>
  <c r="R15" i="1"/>
  <c r="N16" i="1"/>
  <c r="M17" i="1"/>
  <c r="W18" i="1"/>
  <c r="J20" i="1"/>
  <c r="S21" i="1"/>
  <c r="N22" i="1"/>
  <c r="Y24" i="1"/>
  <c r="F26" i="1"/>
  <c r="N29" i="1"/>
  <c r="Y30" i="1"/>
  <c r="X35" i="1"/>
  <c r="W36" i="1"/>
  <c r="V37" i="1"/>
  <c r="J39" i="1"/>
  <c r="D14" i="1"/>
  <c r="L17" i="1"/>
  <c r="M22" i="1"/>
  <c r="M29" i="1"/>
  <c r="I39" i="1"/>
  <c r="X45" i="1"/>
  <c r="X46" i="1"/>
  <c r="J49" i="1"/>
  <c r="T55" i="1"/>
  <c r="Q56" i="1"/>
  <c r="O57" i="1"/>
  <c r="Z58" i="1"/>
  <c r="H39" i="1"/>
  <c r="D40" i="1"/>
  <c r="Z44" i="1"/>
  <c r="W45" i="1"/>
  <c r="W46" i="1"/>
  <c r="I49" i="1"/>
  <c r="O50" i="1"/>
  <c r="M51" i="1"/>
  <c r="J53" i="1"/>
  <c r="J54" i="1"/>
  <c r="S55" i="1"/>
  <c r="P56" i="1"/>
  <c r="N57" i="1"/>
  <c r="Y58" i="1"/>
  <c r="C13" i="1"/>
  <c r="T14" i="1"/>
  <c r="O15" i="1"/>
  <c r="Z16" i="1"/>
  <c r="Z17" i="1"/>
  <c r="I19" i="1"/>
  <c r="G20" i="1"/>
  <c r="P21" i="1"/>
  <c r="Z22" i="1"/>
  <c r="Z29" i="1"/>
  <c r="J31" i="1"/>
  <c r="E32" i="1"/>
  <c r="M34" i="1"/>
  <c r="J36" i="1"/>
  <c r="G39" i="1"/>
  <c r="C40" i="1"/>
  <c r="J48" i="1"/>
  <c r="H49" i="1"/>
  <c r="N50" i="1"/>
  <c r="I53" i="1"/>
  <c r="I54" i="1"/>
  <c r="R55" i="1"/>
  <c r="X58" i="1"/>
  <c r="S14" i="1"/>
  <c r="N15" i="1"/>
  <c r="Y16" i="1"/>
  <c r="O21" i="1"/>
  <c r="Y22" i="1"/>
  <c r="T26" i="1"/>
  <c r="Y29" i="1"/>
  <c r="I31" i="1"/>
  <c r="D32" i="1"/>
  <c r="I36" i="1"/>
  <c r="F39" i="1"/>
  <c r="B40" i="1"/>
  <c r="J47" i="1"/>
  <c r="I48" i="1"/>
  <c r="G49" i="1"/>
  <c r="M50" i="1"/>
  <c r="H53" i="1"/>
  <c r="Q55" i="1"/>
  <c r="Z57" i="1"/>
  <c r="W58" i="1"/>
  <c r="H19" i="1"/>
  <c r="S10" i="1"/>
  <c r="T13" i="1"/>
  <c r="R14" i="1"/>
  <c r="M15" i="1"/>
  <c r="X16" i="1"/>
  <c r="J18" i="1"/>
  <c r="G19" i="1"/>
  <c r="T20" i="1"/>
  <c r="N21" i="1"/>
  <c r="X22" i="1"/>
  <c r="J24" i="1"/>
  <c r="S26" i="1"/>
  <c r="X29" i="1"/>
  <c r="H31" i="1"/>
  <c r="C32" i="1"/>
  <c r="H36" i="1"/>
  <c r="N42" i="1"/>
  <c r="I47" i="1"/>
  <c r="H48" i="1"/>
  <c r="F49" i="1"/>
  <c r="G53" i="1"/>
  <c r="T54" i="1"/>
  <c r="P55" i="1"/>
  <c r="Y57" i="1"/>
  <c r="I18" i="1"/>
  <c r="S20" i="1"/>
  <c r="M21" i="1"/>
  <c r="I24" i="1"/>
  <c r="R26" i="1"/>
  <c r="W29" i="1"/>
  <c r="Y34" i="1"/>
  <c r="G36" i="1"/>
  <c r="T40" i="1"/>
  <c r="I46" i="1"/>
  <c r="H47" i="1"/>
  <c r="G48" i="1"/>
  <c r="E49" i="1"/>
  <c r="Z50" i="1"/>
  <c r="F53" i="1"/>
  <c r="S54" i="1"/>
  <c r="O55" i="1"/>
  <c r="Y56" i="1"/>
  <c r="X57" i="1"/>
  <c r="J59" i="1"/>
  <c r="J23" i="1"/>
  <c r="H24" i="1"/>
  <c r="Q26" i="1"/>
  <c r="T32" i="1"/>
  <c r="Z33" i="1"/>
  <c r="F36" i="1"/>
  <c r="S40" i="1"/>
  <c r="G47" i="1"/>
  <c r="F48" i="1"/>
  <c r="Y50" i="1"/>
  <c r="J52" i="1"/>
  <c r="E53" i="1"/>
  <c r="R54" i="1"/>
  <c r="I59" i="1"/>
  <c r="M16" i="1"/>
  <c r="P15" i="1"/>
  <c r="Q10" i="1"/>
  <c r="P14" i="1"/>
  <c r="H18" i="1"/>
  <c r="R20" i="1"/>
  <c r="P10" i="1"/>
  <c r="X11" i="1"/>
  <c r="Q13" i="1"/>
  <c r="O14" i="1"/>
  <c r="Y15" i="1"/>
  <c r="I17" i="1"/>
  <c r="G18" i="1"/>
  <c r="D19" i="1"/>
  <c r="Q20" i="1"/>
  <c r="Z21" i="1"/>
  <c r="I23" i="1"/>
  <c r="G24" i="1"/>
  <c r="P26" i="1"/>
  <c r="J30" i="1"/>
  <c r="S32" i="1"/>
  <c r="Y33" i="1"/>
  <c r="E36" i="1"/>
  <c r="D37" i="1"/>
  <c r="R40" i="1"/>
  <c r="Y42" i="1"/>
  <c r="G46" i="1"/>
  <c r="F47" i="1"/>
  <c r="E48" i="1"/>
  <c r="X50" i="1"/>
  <c r="I52" i="1"/>
  <c r="D53" i="1"/>
  <c r="Q54" i="1"/>
  <c r="M55" i="1"/>
  <c r="W56" i="1"/>
  <c r="J58" i="1"/>
  <c r="H59" i="1"/>
  <c r="T10" i="1"/>
  <c r="R10" i="1"/>
  <c r="Z11" i="1"/>
  <c r="Q14" i="1"/>
  <c r="F19" i="1"/>
  <c r="Y11" i="1"/>
  <c r="Z15" i="1"/>
  <c r="E19" i="1"/>
  <c r="O10" i="1"/>
  <c r="W11" i="1"/>
  <c r="P13" i="1"/>
  <c r="N14" i="1"/>
  <c r="X15" i="1"/>
  <c r="H17" i="1"/>
  <c r="F18" i="1"/>
  <c r="C19" i="1"/>
  <c r="P20" i="1"/>
  <c r="H23" i="1"/>
  <c r="F24" i="1"/>
  <c r="O26" i="1"/>
  <c r="J29" i="1"/>
  <c r="I30" i="1"/>
  <c r="R31" i="1"/>
  <c r="R32" i="1"/>
  <c r="X33" i="1"/>
  <c r="J35" i="1"/>
  <c r="D36" i="1"/>
  <c r="Q39" i="1"/>
  <c r="Q40" i="1"/>
  <c r="Z41" i="1"/>
  <c r="F46" i="1"/>
  <c r="E47" i="1"/>
  <c r="D48" i="1"/>
  <c r="Z49" i="1"/>
  <c r="W50" i="1"/>
  <c r="H52" i="1"/>
  <c r="C53" i="1"/>
  <c r="P54" i="1"/>
  <c r="L55" i="1"/>
  <c r="I58" i="1"/>
  <c r="G59" i="1"/>
  <c r="E18" i="1"/>
  <c r="O20" i="1"/>
  <c r="G23" i="1"/>
  <c r="E24" i="1"/>
  <c r="T25" i="1"/>
  <c r="N26" i="1"/>
  <c r="Z27" i="1"/>
  <c r="Q32" i="1"/>
  <c r="W33" i="1"/>
  <c r="I35" i="1"/>
  <c r="C36" i="1"/>
  <c r="T37" i="1"/>
  <c r="T38" i="1"/>
  <c r="P40" i="1"/>
  <c r="Y41" i="1"/>
  <c r="D47" i="1"/>
  <c r="C48" i="1"/>
  <c r="Y49" i="1"/>
  <c r="G52" i="1"/>
  <c r="B53" i="1"/>
  <c r="O54" i="1"/>
  <c r="J57" i="1"/>
  <c r="H58" i="1"/>
  <c r="F59" i="1"/>
  <c r="I57" i="1"/>
  <c r="G58" i="1"/>
  <c r="E59" i="1"/>
  <c r="T18" i="1"/>
  <c r="S19" i="1"/>
  <c r="M20" i="1"/>
  <c r="E23" i="1"/>
  <c r="C24" i="1"/>
  <c r="J34" i="1"/>
  <c r="T36" i="1"/>
  <c r="T48" i="1"/>
  <c r="T52" i="1"/>
  <c r="T53" i="1"/>
  <c r="S18" i="1"/>
  <c r="J28" i="1"/>
  <c r="Y32" i="1"/>
  <c r="I34" i="1"/>
  <c r="S36" i="1"/>
  <c r="Q37" i="1"/>
  <c r="Q38" i="1"/>
  <c r="J42" i="1"/>
  <c r="T47" i="1"/>
  <c r="S48" i="1"/>
  <c r="J50" i="1"/>
  <c r="H51" i="1"/>
  <c r="S52" i="1"/>
  <c r="S53" i="1"/>
  <c r="Z54" i="1"/>
  <c r="X55" i="1"/>
  <c r="G57" i="1"/>
  <c r="E58" i="1"/>
  <c r="R19" i="1"/>
  <c r="G16" i="1"/>
  <c r="C17" i="1"/>
  <c r="R18" i="1"/>
  <c r="Q19" i="1"/>
  <c r="Z20" i="1"/>
  <c r="F22" i="1"/>
  <c r="C23" i="1"/>
  <c r="T24" i="1"/>
  <c r="P25" i="1"/>
  <c r="Z26" i="1"/>
  <c r="I28" i="1"/>
  <c r="E29" i="1"/>
  <c r="D30" i="1"/>
  <c r="M31" i="1"/>
  <c r="X32" i="1"/>
  <c r="H34" i="1"/>
  <c r="T35" i="1"/>
  <c r="R36" i="1"/>
  <c r="P37" i="1"/>
  <c r="P38" i="1"/>
  <c r="Z40" i="1"/>
  <c r="I42" i="1"/>
  <c r="T46" i="1"/>
  <c r="S47" i="1"/>
  <c r="R48" i="1"/>
  <c r="I50" i="1"/>
  <c r="G51" i="1"/>
  <c r="R52" i="1"/>
  <c r="R53" i="1"/>
  <c r="Y54" i="1"/>
  <c r="W55" i="1"/>
  <c r="F57" i="1"/>
  <c r="D58" i="1"/>
  <c r="Z12" i="1"/>
  <c r="J15" i="1"/>
  <c r="Q18" i="1"/>
  <c r="P19" i="1"/>
  <c r="H28" i="1"/>
  <c r="G34" i="1"/>
  <c r="S35" i="1"/>
  <c r="Q36" i="1"/>
  <c r="O37" i="1"/>
  <c r="H42" i="1"/>
  <c r="T45" i="1"/>
  <c r="R47" i="1"/>
  <c r="Q48" i="1"/>
  <c r="H50" i="1"/>
  <c r="Q52" i="1"/>
  <c r="Q53" i="1"/>
  <c r="E57" i="1"/>
  <c r="Y12" i="1"/>
  <c r="I15" i="1"/>
  <c r="P18" i="1"/>
  <c r="O19" i="1"/>
  <c r="D22" i="1"/>
  <c r="T23" i="1"/>
  <c r="R24" i="1"/>
  <c r="Z25" i="1"/>
  <c r="X26" i="1"/>
  <c r="G28" i="1"/>
  <c r="J33" i="1"/>
  <c r="F34" i="1"/>
  <c r="R35" i="1"/>
  <c r="P36" i="1"/>
  <c r="N37" i="1"/>
  <c r="N38" i="1"/>
  <c r="Y39" i="1"/>
  <c r="J41" i="1"/>
  <c r="G42" i="1"/>
  <c r="S45" i="1"/>
  <c r="R46" i="1"/>
  <c r="Q47" i="1"/>
  <c r="P48" i="1"/>
  <c r="G50" i="1"/>
  <c r="E51" i="1"/>
  <c r="P52" i="1"/>
  <c r="P53" i="1"/>
  <c r="J55" i="1"/>
  <c r="J56" i="1"/>
  <c r="D57" i="1"/>
  <c r="T58" i="1"/>
  <c r="S24" i="1"/>
  <c r="J11" i="1"/>
  <c r="X12" i="1"/>
  <c r="H15" i="1"/>
  <c r="T17" i="1"/>
  <c r="O18" i="1"/>
  <c r="N19" i="1"/>
  <c r="J21" i="1"/>
  <c r="S23" i="1"/>
  <c r="Q24" i="1"/>
  <c r="Y25" i="1"/>
  <c r="F28" i="1"/>
  <c r="T30" i="1"/>
  <c r="Z31" i="1"/>
  <c r="I33" i="1"/>
  <c r="E34" i="1"/>
  <c r="Q35" i="1"/>
  <c r="O36" i="1"/>
  <c r="M37" i="1"/>
  <c r="M38" i="1"/>
  <c r="X39" i="1"/>
  <c r="I41" i="1"/>
  <c r="F42" i="1"/>
  <c r="T44" i="1"/>
  <c r="R45" i="1"/>
  <c r="Q46" i="1"/>
  <c r="P47" i="1"/>
  <c r="O48" i="1"/>
  <c r="F50" i="1"/>
  <c r="D51" i="1"/>
  <c r="O52" i="1"/>
  <c r="O53" i="1"/>
  <c r="I55" i="1"/>
  <c r="I56" i="1"/>
  <c r="C57" i="1"/>
  <c r="S58" i="1"/>
  <c r="T7" i="1"/>
  <c r="S7" i="1"/>
  <c r="R7" i="1"/>
  <c r="T8" i="1"/>
  <c r="T3" i="1"/>
  <c r="S8" i="1"/>
  <c r="S3" i="1"/>
  <c r="R8" i="1"/>
  <c r="Q8" i="1"/>
  <c r="P8" i="1"/>
  <c r="J4" i="1"/>
  <c r="O8" i="1"/>
  <c r="H4" i="1"/>
  <c r="T9" i="1"/>
  <c r="I4" i="1"/>
  <c r="S9" i="1"/>
  <c r="R9" i="1"/>
  <c r="P9" i="1"/>
  <c r="Z9" i="1"/>
  <c r="Z101" i="1"/>
  <c r="Y101" i="1"/>
  <c r="X101" i="1"/>
  <c r="W101" i="1"/>
  <c r="V101" i="1"/>
  <c r="L101" i="1"/>
  <c r="F101" i="1"/>
  <c r="E101" i="1"/>
  <c r="D101" i="1"/>
  <c r="C101" i="1"/>
  <c r="B101" i="1"/>
  <c r="V100" i="1"/>
  <c r="M100" i="1"/>
  <c r="L100" i="1"/>
  <c r="E100" i="1"/>
  <c r="D100" i="1"/>
  <c r="C100" i="1"/>
  <c r="B100" i="1"/>
  <c r="V99" i="1"/>
  <c r="N99" i="1"/>
  <c r="M99" i="1"/>
  <c r="L99" i="1"/>
  <c r="D99" i="1"/>
  <c r="C99" i="1"/>
  <c r="B99" i="1"/>
  <c r="Z98" i="1"/>
  <c r="Y98" i="1"/>
  <c r="X98" i="1"/>
  <c r="W98" i="1"/>
  <c r="V98" i="1"/>
  <c r="L98" i="1"/>
  <c r="E98" i="1"/>
  <c r="D98" i="1"/>
  <c r="C98" i="1"/>
  <c r="B98" i="1"/>
  <c r="W97" i="1"/>
  <c r="V97" i="1"/>
  <c r="C97" i="1"/>
  <c r="B97" i="1"/>
  <c r="V96" i="1"/>
  <c r="L96" i="1"/>
  <c r="C96" i="1"/>
  <c r="B96" i="1"/>
  <c r="W95" i="1"/>
  <c r="V95" i="1"/>
  <c r="L95" i="1"/>
  <c r="B95" i="1"/>
  <c r="L94" i="1"/>
  <c r="B94" i="1"/>
  <c r="Y93" i="1"/>
  <c r="X93" i="1"/>
  <c r="W93" i="1"/>
  <c r="V93" i="1"/>
  <c r="L93" i="1"/>
  <c r="C93" i="1"/>
  <c r="B93" i="1"/>
  <c r="W92" i="1"/>
  <c r="V92" i="1"/>
  <c r="E92" i="1"/>
  <c r="D92" i="1"/>
  <c r="C92" i="1"/>
  <c r="B92" i="1"/>
  <c r="W91" i="1"/>
  <c r="V91" i="1"/>
  <c r="L91" i="1"/>
  <c r="E91" i="1"/>
  <c r="D91" i="1"/>
  <c r="C91" i="1"/>
  <c r="B91" i="1"/>
  <c r="V90" i="1"/>
  <c r="M90" i="1"/>
  <c r="L90" i="1"/>
  <c r="C90" i="1"/>
  <c r="B90" i="1"/>
  <c r="W89" i="1"/>
  <c r="V89" i="1"/>
  <c r="W88" i="1"/>
  <c r="V88" i="1"/>
  <c r="L88" i="1"/>
  <c r="C88" i="1"/>
  <c r="B88" i="1"/>
  <c r="V87" i="1"/>
  <c r="L87" i="1"/>
  <c r="F87" i="1"/>
  <c r="E87" i="1"/>
  <c r="D87" i="1"/>
  <c r="C87" i="1"/>
  <c r="B87" i="1"/>
  <c r="V86" i="1"/>
  <c r="N86" i="1"/>
  <c r="M86" i="1"/>
  <c r="L86" i="1"/>
  <c r="C86" i="1"/>
  <c r="B86" i="1"/>
  <c r="W85" i="1"/>
  <c r="V85" i="1"/>
  <c r="O85" i="1"/>
  <c r="N85" i="1"/>
  <c r="M85" i="1"/>
  <c r="L85" i="1"/>
  <c r="D85" i="1"/>
  <c r="C85" i="1"/>
  <c r="B85" i="1"/>
  <c r="W84" i="1"/>
  <c r="V84" i="1"/>
  <c r="O84" i="1"/>
  <c r="N84" i="1"/>
  <c r="M84" i="1"/>
  <c r="L84" i="1"/>
  <c r="B84" i="1"/>
  <c r="X83" i="1"/>
  <c r="W83" i="1"/>
  <c r="V83" i="1"/>
  <c r="C83" i="1"/>
  <c r="B83" i="1"/>
  <c r="W82" i="1"/>
  <c r="V82" i="1"/>
  <c r="L82" i="1"/>
  <c r="C82" i="1"/>
  <c r="B82" i="1"/>
  <c r="W81" i="1"/>
  <c r="V81" i="1"/>
  <c r="L81" i="1"/>
  <c r="I81" i="1"/>
  <c r="H81" i="1"/>
  <c r="G81" i="1"/>
  <c r="F81" i="1"/>
  <c r="E81" i="1"/>
  <c r="D81" i="1"/>
  <c r="C81" i="1"/>
  <c r="B81" i="1"/>
  <c r="N80" i="1"/>
  <c r="M80" i="1"/>
  <c r="L80" i="1"/>
  <c r="B80" i="1"/>
  <c r="V79" i="1"/>
  <c r="M79" i="1"/>
  <c r="L79" i="1"/>
  <c r="D79" i="1"/>
  <c r="B79" i="1"/>
  <c r="V78" i="1"/>
  <c r="L78" i="1"/>
  <c r="H78" i="1"/>
  <c r="G78" i="1"/>
  <c r="F78" i="1"/>
  <c r="E78" i="1"/>
  <c r="D78" i="1"/>
  <c r="C78" i="1"/>
  <c r="B78" i="1"/>
  <c r="V77" i="1"/>
  <c r="L77" i="1"/>
  <c r="D77" i="1"/>
  <c r="C77" i="1"/>
  <c r="B77" i="1"/>
  <c r="W76" i="1"/>
  <c r="V76" i="1"/>
  <c r="P76" i="1"/>
  <c r="O76" i="1"/>
  <c r="N76" i="1"/>
  <c r="M76" i="1"/>
  <c r="L76" i="1"/>
  <c r="D76" i="1"/>
  <c r="C76" i="1"/>
  <c r="B76" i="1"/>
  <c r="X75" i="1"/>
  <c r="W75" i="1"/>
  <c r="V75" i="1"/>
  <c r="N75" i="1"/>
  <c r="M75" i="1"/>
  <c r="L75" i="1"/>
  <c r="B75" i="1"/>
  <c r="Y74" i="1"/>
  <c r="X74" i="1"/>
  <c r="W74" i="1"/>
  <c r="V74" i="1"/>
  <c r="L74" i="1"/>
  <c r="C74" i="1"/>
  <c r="B74" i="1"/>
  <c r="V73" i="1"/>
  <c r="L73" i="1"/>
  <c r="D73" i="1"/>
  <c r="C73" i="1"/>
  <c r="B73" i="1"/>
  <c r="V72" i="1"/>
  <c r="L72" i="1"/>
  <c r="E72" i="1"/>
  <c r="D72" i="1"/>
  <c r="C72" i="1"/>
  <c r="B72" i="1"/>
  <c r="W71" i="1"/>
  <c r="V71" i="1"/>
  <c r="L71" i="1"/>
  <c r="C71" i="1"/>
  <c r="B71" i="1"/>
  <c r="W70" i="1"/>
  <c r="V70" i="1"/>
  <c r="L70" i="1"/>
  <c r="C70" i="1"/>
  <c r="B70" i="1"/>
  <c r="W69" i="1"/>
  <c r="V69" i="1"/>
  <c r="M69" i="1"/>
  <c r="L69" i="1"/>
  <c r="E69" i="1"/>
  <c r="D69" i="1"/>
  <c r="C69" i="1"/>
  <c r="B69" i="1"/>
  <c r="W68" i="1"/>
  <c r="V68" i="1"/>
  <c r="L68" i="1"/>
  <c r="W67" i="1"/>
  <c r="V67" i="1"/>
  <c r="L67" i="1"/>
  <c r="D67" i="1"/>
  <c r="C67" i="1"/>
  <c r="B67" i="1"/>
  <c r="V66" i="1"/>
  <c r="P66" i="1"/>
  <c r="O66" i="1"/>
  <c r="N66" i="1"/>
  <c r="M66" i="1"/>
  <c r="L66" i="1"/>
  <c r="F66" i="1"/>
  <c r="E66" i="1"/>
  <c r="D66" i="1"/>
  <c r="C66" i="1"/>
  <c r="B66" i="1"/>
  <c r="W65" i="1"/>
  <c r="V65" i="1"/>
  <c r="N65" i="1"/>
  <c r="M65" i="1"/>
  <c r="L65" i="1"/>
  <c r="B65" i="1"/>
  <c r="V64" i="1"/>
  <c r="L64" i="1"/>
  <c r="C64" i="1"/>
  <c r="B64" i="1"/>
  <c r="V63" i="1"/>
  <c r="O63" i="1"/>
  <c r="N63" i="1"/>
  <c r="M63" i="1"/>
  <c r="L63" i="1"/>
  <c r="C63" i="1"/>
  <c r="B63" i="1"/>
  <c r="B2" i="1"/>
  <c r="A2" i="1"/>
  <c r="Z62" i="1"/>
  <c r="I2" i="1"/>
  <c r="Y62" i="1"/>
  <c r="H2" i="1"/>
  <c r="X62" i="1"/>
  <c r="G2" i="1"/>
  <c r="W62" i="1"/>
  <c r="F2" i="1"/>
  <c r="V62" i="1"/>
  <c r="E2" i="1"/>
  <c r="C2" i="1"/>
  <c r="M62" i="1"/>
  <c r="L62" i="1"/>
  <c r="C62" i="1"/>
  <c r="B62" i="1"/>
  <c r="V61" i="1"/>
  <c r="D61" i="1"/>
  <c r="C61" i="1"/>
  <c r="B61" i="1"/>
  <c r="V60" i="1"/>
  <c r="M60" i="1"/>
  <c r="L60" i="1"/>
  <c r="D60" i="1"/>
  <c r="C60" i="1"/>
  <c r="B60" i="1"/>
  <c r="V59" i="1"/>
  <c r="D59" i="1"/>
  <c r="C59" i="1"/>
  <c r="B59" i="1"/>
  <c r="V58" i="1"/>
  <c r="L58" i="1"/>
  <c r="C58" i="1"/>
  <c r="B58" i="1"/>
  <c r="W57" i="1"/>
  <c r="V57" i="1"/>
  <c r="M57" i="1"/>
  <c r="L57" i="1"/>
  <c r="V56" i="1"/>
  <c r="N56" i="1"/>
  <c r="M56" i="1"/>
  <c r="L56" i="1"/>
  <c r="E56" i="1"/>
  <c r="D56" i="1"/>
  <c r="C56" i="1"/>
  <c r="B56" i="1"/>
  <c r="V55" i="1"/>
  <c r="B55" i="1"/>
  <c r="X54" i="1"/>
  <c r="W54" i="1"/>
  <c r="V54" i="1"/>
  <c r="M54" i="1"/>
  <c r="L54" i="1"/>
  <c r="H54" i="1"/>
  <c r="G54" i="1"/>
  <c r="F54" i="1"/>
  <c r="E54" i="1"/>
  <c r="D54" i="1"/>
  <c r="C54" i="1"/>
  <c r="B54" i="1"/>
  <c r="W53" i="1"/>
  <c r="V53" i="1"/>
  <c r="W52" i="1"/>
  <c r="V52" i="1"/>
  <c r="F52" i="1"/>
  <c r="E52" i="1"/>
  <c r="D52" i="1"/>
  <c r="C52" i="1"/>
  <c r="B52" i="1"/>
  <c r="X51" i="1"/>
  <c r="W51" i="1"/>
  <c r="V51" i="1"/>
  <c r="L51" i="1"/>
  <c r="C51" i="1"/>
  <c r="B51" i="1"/>
  <c r="V50" i="1"/>
  <c r="L50" i="1"/>
  <c r="C50" i="1"/>
  <c r="B50" i="1"/>
  <c r="W49" i="1"/>
  <c r="V49" i="1"/>
  <c r="T49" i="1"/>
  <c r="S49" i="1"/>
  <c r="R49" i="1"/>
  <c r="Q49" i="1"/>
  <c r="P49" i="1"/>
  <c r="O49" i="1"/>
  <c r="N49" i="1"/>
  <c r="M49" i="1"/>
  <c r="L49" i="1"/>
  <c r="D49" i="1"/>
  <c r="C49" i="1"/>
  <c r="B49" i="1"/>
  <c r="W48" i="1"/>
  <c r="V48" i="1"/>
  <c r="L48" i="1"/>
  <c r="B48" i="1"/>
  <c r="V47" i="1"/>
  <c r="L47" i="1"/>
  <c r="B47" i="1"/>
  <c r="V46" i="1"/>
  <c r="L46" i="1"/>
  <c r="B46" i="1"/>
  <c r="M45" i="1"/>
  <c r="L45" i="1"/>
  <c r="C45" i="1"/>
  <c r="B45" i="1"/>
  <c r="V44" i="1"/>
  <c r="L44" i="1"/>
  <c r="C44" i="1"/>
  <c r="B44" i="1"/>
  <c r="L43" i="1"/>
  <c r="C43" i="1"/>
  <c r="B43" i="1"/>
  <c r="X42" i="1"/>
  <c r="W42" i="1"/>
  <c r="V42" i="1"/>
  <c r="M42" i="1"/>
  <c r="L42" i="1"/>
  <c r="W41" i="1"/>
  <c r="V41" i="1"/>
  <c r="D41" i="1"/>
  <c r="C41" i="1"/>
  <c r="B41" i="1"/>
  <c r="Y40" i="1"/>
  <c r="X40" i="1"/>
  <c r="W40" i="1"/>
  <c r="V40" i="1"/>
  <c r="M40" i="1"/>
  <c r="L40" i="1"/>
  <c r="V39" i="1"/>
  <c r="L39" i="1"/>
  <c r="E39" i="1"/>
  <c r="D39" i="1"/>
  <c r="C39" i="1"/>
  <c r="B39" i="1"/>
  <c r="W38" i="1"/>
  <c r="V38" i="1"/>
  <c r="C38" i="1"/>
  <c r="B38" i="1"/>
  <c r="C37" i="1"/>
  <c r="B37" i="1"/>
  <c r="V36" i="1"/>
  <c r="L36" i="1"/>
  <c r="B36" i="1"/>
  <c r="V35" i="1"/>
  <c r="M35" i="1"/>
  <c r="L35" i="1"/>
  <c r="F35" i="1"/>
  <c r="E35" i="1"/>
  <c r="D35" i="1"/>
  <c r="C35" i="1"/>
  <c r="B35" i="1"/>
  <c r="W34" i="1"/>
  <c r="V34" i="1"/>
  <c r="L34" i="1"/>
  <c r="C34" i="1"/>
  <c r="B34" i="1"/>
  <c r="V33" i="1"/>
  <c r="O33" i="1"/>
  <c r="N33" i="1"/>
  <c r="M33" i="1"/>
  <c r="L33" i="1"/>
  <c r="B33" i="1"/>
  <c r="W32" i="1"/>
  <c r="V32" i="1"/>
  <c r="P32" i="1"/>
  <c r="O32" i="1"/>
  <c r="N32" i="1"/>
  <c r="M32" i="1"/>
  <c r="L32" i="1"/>
  <c r="B32" i="1"/>
  <c r="V31" i="1"/>
  <c r="G31" i="1"/>
  <c r="F31" i="1"/>
  <c r="E31" i="1"/>
  <c r="D31" i="1"/>
  <c r="C31" i="1"/>
  <c r="B31" i="1"/>
  <c r="W30" i="1"/>
  <c r="V30" i="1"/>
  <c r="O30" i="1"/>
  <c r="N30" i="1"/>
  <c r="M30" i="1"/>
  <c r="L30" i="1"/>
  <c r="B30" i="1"/>
  <c r="V29" i="1"/>
  <c r="L29" i="1"/>
  <c r="B29" i="1"/>
  <c r="V28" i="1"/>
  <c r="N28" i="1"/>
  <c r="M28" i="1"/>
  <c r="L28" i="1"/>
  <c r="C28" i="1"/>
  <c r="B28" i="1"/>
  <c r="X27" i="1"/>
  <c r="W27" i="1"/>
  <c r="V27" i="1"/>
  <c r="E27" i="1"/>
  <c r="D27" i="1"/>
  <c r="C27" i="1"/>
  <c r="B27" i="1"/>
  <c r="W26" i="1"/>
  <c r="V26" i="1"/>
  <c r="C26" i="1"/>
  <c r="B26" i="1"/>
  <c r="W25" i="1"/>
  <c r="V25" i="1"/>
  <c r="O25" i="1"/>
  <c r="N25" i="1"/>
  <c r="M25" i="1"/>
  <c r="L25" i="1"/>
  <c r="C25" i="1"/>
  <c r="B25" i="1"/>
  <c r="X24" i="1"/>
  <c r="W24" i="1"/>
  <c r="V24" i="1"/>
  <c r="L24" i="1"/>
  <c r="B24" i="1"/>
  <c r="V23" i="1"/>
  <c r="M23" i="1"/>
  <c r="L23" i="1"/>
  <c r="B23" i="1"/>
  <c r="W22" i="1"/>
  <c r="V22" i="1"/>
  <c r="L22" i="1"/>
  <c r="C22" i="1"/>
  <c r="B22" i="1"/>
  <c r="Y21" i="1"/>
  <c r="X21" i="1"/>
  <c r="W21" i="1"/>
  <c r="V21" i="1"/>
  <c r="L21" i="1"/>
  <c r="E21" i="1"/>
  <c r="D21" i="1"/>
  <c r="C21" i="1"/>
  <c r="B21" i="1"/>
  <c r="X20" i="1"/>
  <c r="W20" i="1"/>
  <c r="V20" i="1"/>
  <c r="L20" i="1"/>
  <c r="F20" i="1"/>
  <c r="E20" i="1"/>
  <c r="D20" i="1"/>
  <c r="C20" i="1"/>
  <c r="B20" i="1"/>
  <c r="W19" i="1"/>
  <c r="V19" i="1"/>
  <c r="L19" i="1"/>
  <c r="B19" i="1"/>
  <c r="V18" i="1"/>
  <c r="L18" i="1"/>
  <c r="D18" i="1"/>
  <c r="C18" i="1"/>
  <c r="B18" i="1"/>
  <c r="Y17" i="1"/>
  <c r="X17" i="1"/>
  <c r="W17" i="1"/>
  <c r="V17" i="1"/>
  <c r="W16" i="1"/>
  <c r="V16" i="1"/>
  <c r="L16" i="1"/>
  <c r="E16" i="1"/>
  <c r="C16" i="1"/>
  <c r="B16" i="1"/>
  <c r="W15" i="1"/>
  <c r="V15" i="1"/>
  <c r="L15" i="1"/>
  <c r="B15" i="1"/>
  <c r="D15" i="1"/>
  <c r="C15" i="1"/>
  <c r="W14" i="1"/>
  <c r="V14" i="1"/>
  <c r="M14" i="1"/>
  <c r="L14" i="1"/>
  <c r="C14" i="1"/>
  <c r="B14" i="1"/>
  <c r="W13" i="1"/>
  <c r="V13" i="1"/>
  <c r="B13" i="1"/>
  <c r="V12" i="1"/>
  <c r="P12" i="1"/>
  <c r="O12" i="1"/>
  <c r="N12" i="1"/>
  <c r="S12" i="1"/>
  <c r="Q12" i="1"/>
  <c r="M12" i="1"/>
  <c r="R12" i="1"/>
  <c r="L12" i="1"/>
  <c r="I12" i="1"/>
  <c r="G12" i="1"/>
  <c r="C12" i="1"/>
  <c r="B12" i="1"/>
  <c r="H12" i="1"/>
  <c r="F12" i="1"/>
  <c r="E12" i="1"/>
  <c r="D12" i="1"/>
  <c r="V11" i="1"/>
  <c r="M11" i="1"/>
  <c r="L11" i="1"/>
  <c r="F11" i="1"/>
  <c r="E11" i="1"/>
  <c r="D11" i="1"/>
  <c r="C11" i="1"/>
  <c r="B11" i="1"/>
  <c r="V10" i="1"/>
  <c r="W10" i="1"/>
  <c r="L10" i="1"/>
  <c r="B10" i="1"/>
  <c r="C10" i="1"/>
  <c r="V9" i="1"/>
  <c r="X9" i="1"/>
  <c r="W9" i="1"/>
  <c r="Q9" i="1"/>
  <c r="O9" i="1"/>
  <c r="N9" i="1"/>
  <c r="M9" i="1"/>
  <c r="L9" i="1"/>
  <c r="J9" i="1"/>
  <c r="G9" i="1"/>
  <c r="E9" i="1"/>
  <c r="B9" i="1"/>
  <c r="I9" i="1"/>
  <c r="H9" i="1"/>
  <c r="F9" i="1"/>
  <c r="D9" i="1"/>
  <c r="C9" i="1"/>
  <c r="V8" i="1"/>
  <c r="Z8" i="1"/>
  <c r="Y8" i="1"/>
  <c r="X8" i="1"/>
  <c r="W8" i="1"/>
  <c r="N8" i="1"/>
  <c r="L8" i="1"/>
  <c r="M8" i="1"/>
  <c r="I8" i="1"/>
  <c r="H8" i="1"/>
  <c r="F8" i="1"/>
  <c r="B8" i="1"/>
  <c r="J8" i="1"/>
  <c r="G8" i="1"/>
  <c r="E8" i="1"/>
  <c r="D8" i="1"/>
  <c r="C8" i="1"/>
  <c r="V7" i="1"/>
  <c r="Z7" i="1"/>
  <c r="Y7" i="1"/>
  <c r="X7" i="1"/>
  <c r="W7" i="1"/>
  <c r="L7" i="1"/>
  <c r="Q7" i="1"/>
  <c r="P7" i="1"/>
  <c r="O7" i="1"/>
  <c r="N7" i="1"/>
  <c r="M7" i="1"/>
  <c r="C7" i="1"/>
  <c r="I7" i="1"/>
  <c r="H7" i="1"/>
  <c r="E7" i="1"/>
  <c r="B7" i="1"/>
  <c r="J7" i="1"/>
  <c r="G7" i="1"/>
  <c r="F7" i="1"/>
  <c r="D7" i="1"/>
  <c r="W6" i="1"/>
  <c r="Y6" i="1"/>
  <c r="V6" i="1"/>
  <c r="Z6" i="1"/>
  <c r="X6" i="1"/>
  <c r="T6" i="1"/>
  <c r="S6" i="1"/>
  <c r="R6" i="1"/>
  <c r="Q6" i="1"/>
  <c r="P6" i="1"/>
  <c r="O6" i="1"/>
  <c r="N6" i="1"/>
  <c r="M6" i="1"/>
  <c r="L6" i="1"/>
  <c r="I6" i="1"/>
  <c r="B6" i="1"/>
  <c r="J6" i="1"/>
  <c r="H6" i="1"/>
  <c r="G6" i="1"/>
  <c r="F6" i="1"/>
  <c r="E6" i="1"/>
  <c r="D6" i="1"/>
  <c r="C6" i="1"/>
  <c r="Z5" i="1"/>
  <c r="X5" i="1"/>
  <c r="V5" i="1"/>
  <c r="Y5" i="1"/>
  <c r="W5" i="1"/>
  <c r="L5" i="1"/>
  <c r="T5" i="1"/>
  <c r="S5" i="1"/>
  <c r="R5" i="1"/>
  <c r="Q5" i="1"/>
  <c r="P5" i="1"/>
  <c r="O5" i="1"/>
  <c r="N5" i="1"/>
  <c r="M5" i="1"/>
  <c r="H5" i="1"/>
  <c r="J5" i="1"/>
  <c r="I5" i="1"/>
  <c r="G5" i="1"/>
  <c r="F5" i="1"/>
  <c r="E5" i="1"/>
  <c r="D5" i="1"/>
  <c r="C5" i="1"/>
  <c r="B5" i="1"/>
  <c r="Z4" i="1"/>
  <c r="Y4" i="1"/>
  <c r="X4" i="1"/>
  <c r="W4" i="1"/>
  <c r="V4" i="1"/>
  <c r="P4" i="1"/>
  <c r="T4" i="1"/>
  <c r="S4" i="1"/>
  <c r="R4" i="1"/>
  <c r="Q4" i="1"/>
  <c r="O4" i="1"/>
  <c r="N4" i="1"/>
  <c r="M4" i="1"/>
  <c r="L4" i="1"/>
  <c r="B4" i="1"/>
  <c r="G4" i="1"/>
  <c r="F4" i="1"/>
  <c r="E4" i="1"/>
  <c r="D4" i="1"/>
  <c r="C4" i="1"/>
  <c r="Z3" i="1"/>
  <c r="V3" i="1"/>
  <c r="Y3" i="1"/>
  <c r="X3" i="1"/>
  <c r="W3" i="1"/>
  <c r="R3" i="1"/>
  <c r="Q3" i="1"/>
  <c r="P3" i="1"/>
  <c r="O3" i="1"/>
  <c r="N3" i="1"/>
  <c r="M3" i="1"/>
  <c r="L3" i="1"/>
  <c r="B3" i="1"/>
  <c r="J3" i="1"/>
  <c r="I3" i="1"/>
  <c r="H3" i="1"/>
  <c r="G3" i="1"/>
  <c r="F3" i="1"/>
  <c r="E3" i="1"/>
  <c r="D3" i="1"/>
  <c r="C3" i="1"/>
  <c r="V2" i="1"/>
  <c r="Z2" i="1"/>
  <c r="Y2" i="1"/>
  <c r="X2" i="1"/>
  <c r="W2" i="1"/>
  <c r="T2" i="1"/>
  <c r="S2" i="1"/>
  <c r="Q2" i="1"/>
  <c r="L2" i="1"/>
  <c r="R2" i="1"/>
  <c r="P2" i="1"/>
  <c r="O2" i="1"/>
  <c r="N2" i="1"/>
  <c r="M2" i="1"/>
  <c r="J2" i="1"/>
</calcChain>
</file>

<file path=xl/sharedStrings.xml><?xml version="1.0" encoding="utf-8"?>
<sst xmlns="http://schemas.openxmlformats.org/spreadsheetml/2006/main" count="26" uniqueCount="26">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</sst>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102.TW-ID,Name,Price,PriceChangeRatio,Low,High,Volume,InOutRatioNumber,Capital,ProfitMargin" advise="1">
        <values cols="10">
          <value t="str">
            <val>1102</val>
          </value>
          <value t="str">
            <val>亞泥</val>
          </value>
          <value>
            <val>44</val>
          </value>
          <value>
            <val>-0.68</val>
          </value>
          <value>
            <val>43.85</val>
          </value>
          <value>
            <val>44.45</val>
          </value>
          <value>
            <val>324</val>
          </value>
          <value t="str">
            <val>29.88%</val>
          </value>
          <value t="str">
            <val>359.94</val>
          </value>
          <value t="str">
            <val>22.95</val>
          </value>
        </values>
      </ddeItem>
      <ddeItem name="1102.TW-OperatingProfitRatio,NetProfitMargin,TFXRatio,MonthlyNetSalesYoY,ReturnOnAssets,DividendYear,ProfitFourSeason,CashDividendYieldRate,StockNetValue,ExchangeIndustry" advise="1">
        <values cols="10">
          <value t="str">
            <val>19.13</val>
          </value>
          <value t="str">
            <val>19.84</val>
          </value>
          <value t="str">
            <val>-4.96</val>
          </value>
          <value t="str">
            <val>13.40</val>
          </value>
          <value t="str">
            <val>4.48</val>
          </value>
          <value>
            <val>3.46</val>
          </value>
          <value t="str">
            <val>4.89</val>
          </value>
          <value>
            <val>7.86</val>
          </value>
          <value t="str">
            <val>42.80</val>
          </value>
          <value t="str">
            <val>上市水泥</val>
          </value>
        </values>
      </ddeItem>
      <ddeItem name="1102.TW-PreTotalVolume,ChipsField25,ChipsField27,DateofMeetingofShareHolders,CompanyPos,TradingDate" advise="1">
        <values cols="6">
          <value>
            <val>2657</val>
          </value>
          <value t="str">
            <val>2021/08/05</val>
          </value>
          <value t="str">
            <val>--</val>
          </value>
          <value t="str">
            <val>2021/07/23</val>
          </value>
          <value t="str">
            <val>台灣第二大水泥廠</val>
          </value>
          <value t="str">
            <val>2022/01/03</val>
          </value>
        </values>
      </ddeItem>
      <ddeItem name="1313.TW-ID,Name,Price,PriceChangeRatio,Low,High,Volume,InOutRatioNumber,Capital,ProfitMargin" advise="1">
        <values cols="10">
          <value t="str">
            <val>1313</val>
          </value>
          <value t="str">
            <val>聯成</val>
          </value>
          <value>
            <val>21.3</val>
          </value>
          <value>
            <val>-1.39</val>
          </value>
          <value>
            <val>21.2</val>
          </value>
          <value>
            <val>21.7</val>
          </value>
          <value>
            <val>103</val>
          </value>
          <value t="str">
            <val>20.01%</val>
          </value>
          <value t="str">
            <val>134.76</val>
          </value>
          <value t="str">
            <val>9.20</val>
          </value>
        </values>
      </ddeItem>
      <ddeItem name="1313.TW-OperatingProfitRatio,NetProfitMargin,TFXRatio,MonthlyNetSalesYoY,ReturnOnAssets,DividendYear,ProfitFourSeason,CashDividendYieldRate,StockNetValue,ExchangeIndustry" advise="1">
        <values cols="10">
          <value t="str">
            <val>5.84</val>
          </value>
          <value t="str">
            <val>5.03</val>
          </value>
          <value t="str">
            <val>7.10</val>
          </value>
          <value t="str">
            <val>28.99</val>
          </value>
          <value t="str">
            <val>6.44</val>
          </value>
          <value>
            <val>1</val>
          </value>
          <value t="str">
            <val>3.31</val>
          </value>
          <value>
            <val>4.6900000000000004</val>
          </value>
          <value t="str">
            <val>22.32</val>
          </value>
          <value t="str">
            <val>上市塑膠</val>
          </value>
        </values>
      </ddeItem>
      <ddeItem name="1313.TW-PreTotalVolume,ChipsField25,ChipsField27,DateofMeetingofShareHolders,CompanyPos,TradingDate" advise="1">
        <values cols="6">
          <value>
            <val>3467</val>
          </value>
          <value t="str">
            <val>2021/04/08</val>
          </value>
          <value t="str">
            <val>--</val>
          </value>
          <value t="str">
            <val>2021/07/21</val>
          </value>
          <value t="str">
            <val>兩岸最大的可塑劑及苯酐製造商</val>
          </value>
          <value t="str">
            <val>2022/01/03</val>
          </value>
        </values>
      </ddeItem>
      <ddeItem name="1316.TW-ID,Name,Price,PriceChangeRatio,Low,High,Volume,InOutRatioNumber,Capital,ProfitMargin" advise="1">
        <values cols="10">
          <value t="str">
            <val>1316</val>
          </value>
          <value t="str">
            <val>上曜</val>
          </value>
          <value>
            <val>20.8</val>
          </value>
          <value>
            <val>-2.35</val>
          </value>
          <value>
            <val>20.399999999999999</val>
          </value>
          <value>
            <val>21.3</val>
          </value>
          <value>
            <val>210</val>
          </value>
          <value t="str">
            <val>33.18%</val>
          </value>
          <value t="str">
            <val>22.67</val>
          </value>
          <value t="str">
            <val>22.22</val>
          </value>
        </values>
      </ddeItem>
      <ddeItem name="1316.TW-OperatingProfitRatio,NetProfitMargin,TFXRatio,MonthlyNetSalesYoY,ReturnOnAssets,DividendYear,ProfitFourSeason,CashDividendYieldRate,StockNetValue,ExchangeIndustry" advise="1">
        <values cols="10">
          <value t="str">
            <val>-4.49</val>
          </value>
          <value t="str">
            <val>6.08</val>
          </value>
          <value t="str">
            <val>-21.19</val>
          </value>
          <value t="str">
            <val>-49.17</val>
          </value>
          <value t="str">
            <val>1.03</val>
          </value>
          <value>
            <val>0</val>
          </value>
          <value t="str">
            <val>-0.20</val>
          </value>
          <value>
            <val>0</val>
          </value>
          <value t="str">
            <val>10.51</val>
          </value>
          <value t="str">
            <val>上市建材營造</val>
          </value>
        </values>
      </ddeItem>
      <ddeItem name="1316.TW-PreTotalVolume,ChipsField25,ChipsField27,DateofMeetingofShareHolders,CompanyPos,TradingDate" advise="1">
        <values cols="6">
          <value>
            <val>10359</val>
          </value>
          <value t="str">
            <val>--</val>
          </value>
          <value t="str">
            <val>--</val>
          </value>
          <value t="str">
            <val>2021/07/02</val>
          </value>
          <value t="str">
            <val>主要經營PU合成皮樹脂及營建業務</val>
          </value>
          <value t="str">
            <val>2022/01/03</val>
          </value>
        </values>
      </ddeItem>
      <ddeItem name="1467.TW-ID,Name,Price,PriceChangeRatio,Low,High,Volume,InOutRatioNumber,Capital,ProfitMargin" advise="1">
        <values cols="10">
          <value t="str">
            <val>1467</val>
          </value>
          <value t="str">
            <val>南緯</val>
          </value>
          <value>
            <val>14.1</val>
          </value>
          <value>
            <val>-0.7</val>
          </value>
          <value>
            <val>14.05</val>
          </value>
          <value>
            <val>14.5</val>
          </value>
          <value>
            <val>45</val>
          </value>
          <value t="str">
            <val>36.94%</val>
          </value>
          <value t="str">
            <val>23.36</val>
          </value>
          <value t="str">
            <val>20.77</val>
          </value>
        </values>
      </ddeItem>
      <ddeItem name="1467.TW-OperatingProfitRatio,NetProfitMargin,TFXRatio,MonthlyNetSalesYoY,ReturnOnAssets,DividendYear,ProfitFourSeason,CashDividendYieldRate,StockNetValue,ExchangeIndustry" advise="1">
        <values cols="10">
          <value t="str">
            <val>1.44</val>
          </value>
          <value t="str">
            <val>-1.55</val>
          </value>
          <value t="str">
            <val>2.25</val>
          </value>
          <value t="str">
            <val>-23.25</val>
          </value>
          <value t="str">
            <val>-0.32</val>
          </value>
          <value>
            <val>0.7</val>
          </value>
          <value t="str">
            <val>0.02</val>
          </value>
          <value>
            <val>4.96</val>
          </value>
          <value t="str">
            <val>12.45</val>
          </value>
          <value t="str">
            <val>上市紡織纖維</val>
          </value>
        </values>
      </ddeItem>
      <ddeItem name="1467.TW-PreTotalVolume,ChipsField25,ChipsField27,DateofMeetingofShareHolders,CompanyPos,TradingDate" advise="1">
        <values cols="6">
          <value>
            <val>1590</val>
          </value>
          <value t="str">
            <val>2021/09/13</val>
          </value>
          <value t="str">
            <val>--</val>
          </value>
          <value t="str">
            <val>2021/07/12</val>
          </value>
          <value t="str">
            <val>為品牌大廠代工及與Wal-mart合作的成衣廠</val>
          </value>
          <value t="str">
            <val>2022/01/03</val>
          </value>
        </values>
      </ddeItem>
      <ddeItem name="1513.TW-ID,Name,Price,PriceChangeRatio,Low,High,Volume,InOutRatioNumber,Capital,ProfitMargin" advise="1">
        <values cols="10">
          <value t="str">
            <val>1513</val>
          </value>
          <value t="str">
            <val>中興電</val>
          </value>
          <value>
            <val>44.85</val>
          </value>
          <value>
            <val>-0.88</val>
          </value>
          <value>
            <val>44.7</val>
          </value>
          <value>
            <val>45.45</val>
          </value>
          <value>
            <val>72</val>
          </value>
          <value t="str">
            <val>28.96%</val>
          </value>
          <value t="str">
            <val>47.61</val>
          </value>
          <value t="str">
            <val>23.50</val>
          </value>
        </values>
      </ddeItem>
      <ddeItem name="1513.TW-OperatingProfitRatio,NetProfitMargin,TFXRatio,MonthlyNetSalesYoY,ReturnOnAssets,DividendYear,ProfitFourSeason,CashDividendYieldRate,StockNetValue,ExchangeIndustry" advise="1">
        <values cols="10">
          <value t="str">
            <val>14.39</val>
          </value>
          <value t="str">
            <val>10.69</val>
          </value>
          <value t="str">
            <val>-31.44</val>
          </value>
          <value t="str">
            <val>2.51</val>
          </value>
          <value t="str">
            <val>4.62</val>
          </value>
          <value>
            <val>2.2000000000000002</val>
          </value>
          <value t="str">
            <val>4.81</val>
          </value>
          <value>
            <val>4.91</val>
          </value>
          <value t="str">
            <val>23.30</val>
          </value>
          <value t="str">
            <val>上市電機機械</val>
          </value>
        </values>
      </ddeItem>
      <ddeItem name="1513.TW-PreTotalVolume,ChipsField25,ChipsField27,DateofMeetingofShareHolders,CompanyPos,TradingDate" advise="1">
        <values cols="6">
          <value>
            <val>1757</val>
          </value>
          <value t="str">
            <val>2021/09/07</val>
          </value>
          <value t="str">
            <val>--</val>
          </value>
          <value t="str">
            <val>2021/07/30</val>
          </value>
          <value t="str">
            <val>台灣知名重電及機電工程廠商</val>
          </value>
          <value t="str">
            <val>2022/01/03</val>
          </value>
        </values>
      </ddeItem>
      <ddeItem name="1612.TW-ID,Name,Price,PriceChangeRatio,Low,High,Volume,InOutRatioNumber,Capital,ProfitMargin" advise="1">
        <values cols="10">
          <value t="str">
            <val>1612</val>
          </value>
          <value t="str">
            <val>宏泰</val>
          </value>
          <value>
            <val>26.7</val>
          </value>
          <value>
            <val>-0.74</val>
          </value>
          <value>
            <val>26.65</val>
          </value>
          <value>
            <val>27.15</val>
          </value>
          <value>
            <val>20</val>
          </value>
          <value t="str">
            <val>26.94%</val>
          </value>
          <value t="str">
            <val>31.61</val>
          </value>
          <value t="str">
            <val>13.18</val>
          </value>
        </values>
      </ddeItem>
      <ddeItem name="1612.TW-OperatingProfitRatio,NetProfitMargin,TFXRatio,MonthlyNetSalesYoY,ReturnOnAssets,DividendYear,ProfitFourSeason,CashDividendYieldRate,StockNetValue,ExchangeIndustry" advise="1">
        <values cols="10">
          <value t="str">
            <val>9.16</val>
          </value>
          <value t="str">
            <val>9.88</val>
          </value>
          <value t="str">
            <val>35.81</val>
          </value>
          <value t="str">
            <val>52.81</val>
          </value>
          <value t="str">
            <val>7.32</val>
          </value>
          <value>
            <val>1.2</val>
          </value>
          <value t="str">
            <val>2.00</val>
          </value>
          <value>
            <val>4.49</val>
          </value>
          <value t="str">
            <val>17.28</val>
          </value>
          <value t="str">
            <val>上市電器電纜</val>
          </value>
        </values>
      </ddeItem>
      <ddeItem name="1612.TW-PreTotalVolume,ChipsField25,ChipsField27,DateofMeetingofShareHolders,CompanyPos,TradingDate" advise="1">
        <values cols="6">
          <value>
            <val>1152</val>
          </value>
          <value t="str">
            <val>2021/07/06</val>
          </value>
          <value t="str">
            <val>--</val>
          </value>
          <value t="str">
            <val>2021/08/25</val>
          </value>
          <value t="str">
            <val>橫跨銅箔基板及電力電纜業者</val>
          </value>
          <value t="str">
            <val>2022/01/03</val>
          </value>
        </values>
      </ddeItem>
      <ddeItem name="1616.TW-ID,Name,Price,PriceChangeRatio,Low,High,Volume,InOutRatioNumber,Capital,ProfitMargin" advise="1">
        <values cols="10">
          <value t="str">
            <val>1616</val>
          </value>
          <value t="str">
            <val>億泰</val>
          </value>
          <value>
            <val>11.7</val>
          </value>
          <value>
            <val>-3.7</val>
          </value>
          <value>
            <val>11.55</val>
          </value>
          <value>
            <val>12.15</val>
          </value>
          <value>
            <val>65</val>
          </value>
          <value t="str">
            <val>27.13%</val>
          </value>
          <value t="str">
            <val>19.41</val>
          </value>
          <value t="str">
            <val>7.95</val>
          </value>
        </values>
      </ddeItem>
      <ddeItem name="1616.TW-OperatingProfitRatio,NetProfitMargin,TFXRatio,MonthlyNetSalesYoY,ReturnOnAssets,DividendYear,ProfitFourSeason,CashDividendYieldRate,StockNetValue,ExchangeIndustry" advise="1">
        <values cols="10">
          <value t="str">
            <val>2.69</val>
          </value>
          <value t="str">
            <val>2.99</val>
          </value>
          <value t="str">
            <val>6.15</val>
          </value>
          <value t="str">
            <val>38.06</val>
          </value>
          <value t="str">
            <val>2.39</val>
          </value>
          <value>
            <val>0</val>
          </value>
          <value t="str">
            <val>0.33</val>
          </value>
          <value>
            <val>0</val>
          </value>
          <value t="str">
            <val>8.28</val>
          </value>
          <value t="str">
            <val>上市電器電纜</val>
          </value>
        </values>
      </ddeItem>
      <ddeItem name="1616.TW-PreTotalVolume,ChipsField25,ChipsField27,DateofMeetingofShareHolders,CompanyPos,TradingDate" advise="1">
        <values cols="6">
          <value>
            <val>6894</val>
          </value>
          <value t="str">
            <val>--</val>
          </value>
          <value t="str">
            <val>--</val>
          </value>
          <value t="str">
            <val>2021/08/30</val>
          </value>
          <value t="str">
            <val>國內電力電纜業者</val>
          </value>
          <value t="str">
            <val>2022/01/03</val>
          </value>
        </values>
      </ddeItem>
      <ddeItem name="1712.TW-ID,Name,Price,PriceChangeRatio,Low,High,Volume,InOutRatioNumber,Capital,ProfitMargin" advise="1">
        <values cols="10">
          <value t="str">
            <val>1712</val>
          </value>
          <value t="str">
            <val>興農</val>
          </value>
          <value>
            <val>28.05</val>
          </value>
          <value>
            <val>-0.71</val>
          </value>
          <value>
            <val>28.05</val>
          </value>
          <value>
            <val>28.5</val>
          </value>
          <value>
            <val>30</val>
          </value>
          <value t="str">
            <val>40.29%</val>
          </value>
          <value t="str">
            <val>42.05</val>
          </value>
          <value t="str">
            <val>27.85</val>
          </value>
        </values>
      </ddeItem>
      <ddeItem name="1712.TW-OperatingProfitRatio,NetProfitMargin,TFXRatio,MonthlyNetSalesYoY,ReturnOnAssets,DividendYear,ProfitFourSeason,CashDividendYieldRate,StockNetValue,ExchangeIndustry" advise="1">
        <values cols="10">
          <value t="str">
            <val>6.64</val>
          </value>
          <value t="str">
            <val>5.22</val>
          </value>
          <value t="str">
            <val>-2.15</val>
          </value>
          <value t="str">
            <val>11.79</val>
          </value>
          <value t="str">
            <val>5.16</val>
          </value>
          <value>
            <val>1.3</val>
          </value>
          <value t="str">
            <val>2.03</val>
          </value>
          <value>
            <val>4.63</val>
          </value>
          <value t="str">
            <val>17.19</val>
          </value>
          <value t="str">
            <val>上市化工</val>
          </value>
        </values>
      </ddeItem>
      <ddeItem name="1712.TW-PreTotalVolume,ChipsField25,ChipsField27,DateofMeetingofShareHolders,CompanyPos,TradingDate" advise="1">
        <values cols="6">
          <value>
            <val>1324</val>
          </value>
          <value t="str">
            <val>2021/04/08</val>
          </value>
          <value t="str">
            <val>--</val>
          </value>
          <value t="str">
            <val>2021/08/26</val>
          </value>
          <value t="str">
            <val>台灣農藥第一大廠,在中部經營連鎖超市</val>
          </value>
          <value t="str">
            <val>2022/01/03</val>
          </value>
        </values>
      </ddeItem>
      <ddeItem name="1722.TW-ID,Name,Price,PriceChangeRatio,Low,High,Volume,InOutRatioNumber,Capital,ProfitMargin" advise="1">
        <values cols="10">
          <value t="str">
            <val>1722</val>
          </value>
          <value t="str">
            <val>台肥</val>
          </value>
          <value>
            <val>69.400000000000006</val>
          </value>
          <value>
            <val>-0.86</val>
          </value>
          <value>
            <val>69.2</val>
          </value>
          <value>
            <val>70.3</val>
          </value>
          <value>
            <val>41</val>
          </value>
          <value t="str">
            <val>38.32%</val>
          </value>
          <value t="str">
            <val>98.00</val>
          </value>
          <value t="str">
            <val>21.45</val>
          </value>
        </values>
      </ddeItem>
      <ddeItem name="1722.TW-OperatingProfitRatio,NetProfitMargin,TFXRatio,MonthlyNetSalesYoY,ReturnOnAssets,DividendYear,ProfitFourSeason,CashDividendYieldRate,StockNetValue,ExchangeIndustry" advise="1">
        <values cols="10">
          <value t="str">
            <val>8.70</val>
          </value>
          <value t="str">
            <val>26.58</val>
          </value>
          <value t="str">
            <val>49.71</val>
          </value>
          <value t="str">
            <val>131.75</val>
          </value>
          <value t="str">
            <val>2.99</val>
          </value>
          <value>
            <val>2.2999999999999998</val>
          </value>
          <value t="str">
            <val>2.71</val>
          </value>
          <value>
            <val>3.31</val>
          </value>
          <value t="str">
            <val>53.11</val>
          </value>
          <value t="str">
            <val>上市化工</val>
          </value>
        </values>
      </ddeItem>
      <ddeItem name="1722.TW-PreTotalVolume,ChipsField25,ChipsField27,DateofMeetingofShareHolders,CompanyPos,TradingDate" advise="1">
        <values cols="6">
          <value>
            <val>3302</val>
          </value>
          <value t="str">
            <val>2021/08/30</val>
          </value>
          <value t="str">
            <val>--</val>
          </value>
          <value t="str">
            <val>2021/07/28</val>
          </value>
          <value t="str">
            <val>台灣最大肥料及化學廠商</val>
          </value>
          <value t="str">
            <val>2022/01/03</val>
          </value>
        </values>
      </ddeItem>
      <ddeItem name="1723.TW-ID,Name,Price,PriceChangeRatio,Low,High,Volume,InOutRatioNumber,Capital,ProfitMargin" advise="1">
        <values cols="10">
          <value t="str">
            <val>1723</val>
          </value>
          <value t="str">
            <val>中碳</val>
          </value>
          <value>
            <val>119</val>
          </value>
          <value>
            <val>-1.24</val>
          </value>
          <value>
            <val>118.5</val>
          </value>
          <value>
            <val>123</val>
          </value>
          <value>
            <val>40</val>
          </value>
          <value t="str">
            <val>36.83%</val>
          </value>
          <value t="str">
            <val>23.69</val>
          </value>
          <value t="str">
            <val>21.08</val>
          </value>
        </values>
      </ddeItem>
      <ddeItem name="1723.TW-OperatingProfitRatio,NetProfitMargin,TFXRatio,MonthlyNetSalesYoY,ReturnOnAssets,DividendYear,ProfitFourSeason,CashDividendYieldRate,StockNetValue,ExchangeIndustry" advise="1">
        <values cols="10">
          <value t="str">
            <val>15.86</val>
          </value>
          <value t="str">
            <val>14.40</val>
          </value>
          <value t="str">
            <val>8.55</val>
          </value>
          <value t="str">
            <val>43.41</val>
          </value>
          <value t="str">
            <val>7.44</val>
          </value>
          <value>
            <val>2.8</val>
          </value>
          <value t="str">
            <val>4.58</val>
          </value>
          <value>
            <val>2.35</val>
          </value>
          <value t="str">
            <val>30.77</val>
          </value>
          <value t="str">
            <val>上市化工</val>
          </value>
        </values>
      </ddeItem>
      <ddeItem name="1723.TW-PreTotalVolume,ChipsField25,ChipsField27,DateofMeetingofShareHolders,CompanyPos,TradingDate" advise="1">
        <values cols="6">
          <value>
            <val>3425</val>
          </value>
          <value t="str">
            <val>2021/08/19</val>
          </value>
          <value t="str">
            <val>--</val>
          </value>
          <value t="str">
            <val>2021/07/20</val>
          </value>
          <value t="str">
            <val>中鋼集團旗下，台灣唯一煤化工製造商</val>
          </value>
          <value t="str">
            <val>2022/01/03</val>
          </value>
        </values>
      </ddeItem>
      <ddeItem name="1760.TW-ID,Name,Price,PriceChangeRatio,Low,High,Volume,InOutRatioNumber,Capital,ProfitMargin" advise="1">
        <values cols="10">
          <value t="str">
            <val>1760</val>
          </value>
          <value t="str">
            <val>寶齡富錦</val>
          </value>
          <value>
            <val>72</val>
          </value>
          <value>
            <val>-4.26</val>
          </value>
          <value>
            <val>71.8</val>
          </value>
          <value>
            <val>73.8</val>
          </value>
          <value>
            <val>64</val>
          </value>
          <value t="str">
            <val>21.28%</val>
          </value>
          <value t="str">
            <val>8.57</val>
          </value>
          <value t="str">
            <val>49.78</val>
          </value>
        </values>
      </ddeItem>
      <ddeItem name="1760.TW-OperatingProfitRatio,NetProfitMargin,TFXRatio,MonthlyNetSalesYoY,ReturnOnAssets,DividendYear,ProfitFourSeason,CashDividendYieldRate,StockNetValue,ExchangeIndustry" advise="1">
        <values cols="10">
          <value t="str">
            <val>10.33</val>
          </value>
          <value t="str">
            <val>7.62</val>
          </value>
          <value t="str">
            <val>82.60</val>
          </value>
          <value t="str">
            <val>-1.85</val>
          </value>
          <value t="str">
            <val>3.93</val>
          </value>
          <value>
            <val>0.7</val>
          </value>
          <value t="str">
            <val>1.91</val>
          </value>
          <value>
            <val>0.97</val>
          </value>
          <value t="str">
            <val>22.58</val>
          </value>
          <value t="str">
            <val>上市生技醫療</val>
          </value>
        </values>
      </ddeItem>
      <ddeItem name="1760.TW-PreTotalVolume,ChipsField25,ChipsField27,DateofMeetingofShareHolders,CompanyPos,TradingDate" advise="1">
        <values cols="6">
          <value>
            <val>2488</val>
          </value>
          <value t="str">
            <val>2021/06/24</val>
          </value>
          <value t="str">
            <val>--</val>
          </value>
          <value t="str">
            <val>2021/08/12</val>
          </value>
          <value t="str">
            <val>腎臟病新藥Nephoxil取得美FDA藥證</val>
          </value>
          <value t="str">
            <val>2022/01/03</val>
          </value>
        </values>
      </ddeItem>
      <ddeItem name="1806.TW-ID,Name,Price,PriceChangeRatio,Low,High,Volume,InOutRatioNumber,Capital,ProfitMargin" advise="1">
        <values cols="10">
          <value t="str">
            <val>1806</val>
          </value>
          <value t="str">
            <val>冠軍</val>
          </value>
          <value>
            <val>12.45</val>
          </value>
          <value>
            <val>-1.19</val>
          </value>
          <value>
            <val>12.45</val>
          </value>
          <value>
            <val>12.8</val>
          </value>
          <value>
            <val>48</val>
          </value>
          <value t="str">
            <val>31.53%</val>
          </value>
          <value t="str">
            <val>43.38</val>
          </value>
          <value t="str">
            <val>24.13</val>
          </value>
        </values>
      </ddeItem>
      <ddeItem name="1806.TW-OperatingProfitRatio,NetProfitMargin,TFXRatio,MonthlyNetSalesYoY,ReturnOnAssets,DividendYear,ProfitFourSeason,CashDividendYieldRate,StockNetValue,ExchangeIndustry" advise="1">
        <values cols="10">
          <value t="str">
            <val>0.85</val>
          </value>
          <value t="str">
            <val>40.93</val>
          </value>
          <value t="str">
            <val>8.65</val>
          </value>
          <value t="str">
            <val>1.88</val>
          </value>
          <value t="str">
            <val>9.93</val>
          </value>
          <value>
            <val>0</val>
          </value>
          <value t="str">
            <val>2.45</val>
          </value>
          <value>
            <val>0</val>
          </value>
          <value t="str">
            <val>15.07</val>
          </value>
          <value t="str">
            <val>上市玻璃陶瓷</val>
          </value>
        </values>
      </ddeItem>
      <ddeItem name="1806.TW-PreTotalVolume,ChipsField25,ChipsField27,DateofMeetingofShareHolders,CompanyPos,TradingDate" advise="1">
        <values cols="6">
          <value>
            <val>1370</val>
          </value>
          <value t="str">
            <val>--</val>
          </value>
          <value t="str">
            <val>--</val>
          </value>
          <value t="str">
            <val>2021/07/27</val>
          </value>
          <value t="str">
            <val>台灣最大磁磚廠商</val>
          </value>
          <value t="str">
            <val>2022/01/03</val>
          </value>
        </values>
      </ddeItem>
      <ddeItem name="1809.TW-ID,Name,Price,PriceChangeRatio,Low,High,Volume,InOutRatioNumber,Capital,ProfitMargin" advise="1">
        <values cols="10">
          <value t="str">
            <val>1809</val>
          </value>
          <value t="str">
            <val>中釉</val>
          </value>
          <value>
            <val>15.55</val>
          </value>
          <value>
            <val>-5.18</val>
          </value>
          <value>
            <val>15.55</val>
          </value>
          <value>
            <val>16.55</val>
          </value>
          <value>
            <val>209</val>
          </value>
          <value t="str">
            <val>28.07%</val>
          </value>
          <value t="str">
            <val>16.70</val>
          </value>
          <value t="str">
            <val>21.25</val>
          </value>
        </values>
      </ddeItem>
      <ddeItem name="1809.TW-OperatingProfitRatio,NetProfitMargin,TFXRatio,MonthlyNetSalesYoY,ReturnOnAssets,DividendYear,ProfitFourSeason,CashDividendYieldRate,StockNetValue,ExchangeIndustry" advise="1">
        <values cols="10">
          <value t="str">
            <val>0.91</val>
          </value>
          <value t="str">
            <val>1.03</val>
          </value>
          <value t="str">
            <val>24.67</val>
          </value>
          <value t="str">
            <val>51.77</val>
          </value>
          <value t="str">
            <val>0.51</val>
          </value>
          <value>
            <val>0.2</val>
          </value>
          <value t="str">
            <val>0.03</val>
          </value>
          <value>
            <val>1.29</val>
          </value>
          <value t="str">
            <val>17.19</val>
          </value>
          <value t="str">
            <val>上市玻璃陶瓷</val>
          </value>
        </values>
      </ddeItem>
      <ddeItem name="1809.TW-PreTotalVolume,ChipsField25,ChipsField27,DateofMeetingofShareHolders,CompanyPos,TradingDate" advise="1">
        <values cols="6">
          <value>
            <val>3359</val>
          </value>
          <value t="str">
            <val>2021/08/12</val>
          </value>
          <value t="str">
            <val>--</val>
          </value>
          <value t="str">
            <val>2021/07/22</val>
          </value>
          <value t="str">
            <val>亞洲最大釉料廠</val>
          </value>
          <value t="str">
            <val>2022/01/03</val>
          </value>
        </values>
      </ddeItem>
      <ddeItem name="1905.TW-ID,Name,Price,PriceChangeRatio,Low,High,Volume,InOutRatioNumber,Capital,ProfitMargin" advise="1">
        <values cols="10">
          <value t="str">
            <val>1905</val>
          </value>
          <value t="str">
            <val>華紙</val>
          </value>
          <value>
            <val>24.2</val>
          </value>
          <value>
            <val>-2.42</val>
          </value>
          <value>
            <val>24.2</val>
          </value>
          <value>
            <val>24.95</val>
          </value>
          <value>
            <val>248</val>
          </value>
          <value t="str">
            <val>23.92%</val>
          </value>
          <value t="str">
            <val>110.28</val>
          </value>
          <value t="str">
            <val>13.27</val>
          </value>
        </values>
      </ddeItem>
      <ddeItem name="1905.TW-OperatingProfitRatio,NetProfitMargin,TFXRatio,MonthlyNetSalesYoY,ReturnOnAssets,DividendYear,ProfitFourSeason,CashDividendYieldRate,StockNetValue,ExchangeIndustry" advise="1">
        <values cols="10">
          <value t="str">
            <val>3.57</val>
          </value>
          <value t="str">
            <val>4.01</val>
          </value>
          <value t="str">
            <val>1.68</val>
          </value>
          <value t="str">
            <val>11.37</val>
          </value>
          <value t="str">
            <val>2.13</val>
          </value>
          <value>
            <val>0</val>
          </value>
          <value t="str">
            <val>0.62</val>
          </value>
          <value>
            <val>0</val>
          </value>
          <value t="str">
            <val>14.26</val>
          </value>
          <value t="str">
            <val>上市造紙</val>
          </value>
        </values>
      </ddeItem>
      <ddeItem name="1905.TW-PreTotalVolume,ChipsField25,ChipsField27,DateofMeetingofShareHolders,CompanyPos,TradingDate" advise="1">
        <values cols="6">
          <value>
            <val>5700</val>
          </value>
          <value t="str">
            <val>--</val>
          </value>
          <value t="str">
            <val>--</val>
          </value>
          <value t="str">
            <val>2021/07/07</val>
          </value>
          <value t="str">
            <val>紙漿及文化用紙一貫廠，亦為永豐餘子公司</val>
          </value>
          <value t="str">
            <val>2022/01/03</val>
          </value>
        </values>
      </ddeItem>
      <ddeItem name="1907.TW-ID,Name,Price,PriceChangeRatio,Low,High,Volume,InOutRatioNumber,Capital,ProfitMargin" advise="1">
        <values cols="10">
          <value t="str">
            <val>1907</val>
          </value>
          <value t="str">
            <val>永豐餘</val>
          </value>
          <value>
            <val>34.799999999999997</val>
          </value>
          <value>
            <val>-2.11</val>
          </value>
          <value>
            <val>34.799999999999997</val>
          </value>
          <value>
            <val>35.700000000000003</val>
          </value>
          <value>
            <val>293</val>
          </value>
          <value t="str">
            <val>19.79%</val>
          </value>
          <value t="str">
            <val>166.04</val>
          </value>
          <value t="str">
            <val>23.36</val>
          </value>
        </values>
      </ddeItem>
      <ddeItem name="1907.TW-OperatingProfitRatio,NetProfitMargin,TFXRatio,MonthlyNetSalesYoY,ReturnOnAssets,DividendYear,ProfitFourSeason,CashDividendYieldRate,StockNetValue,ExchangeIndustry" advise="1">
        <values cols="10">
          <value t="str">
            <val>11.39</val>
          </value>
          <value t="str">
            <val>10.92</val>
          </value>
          <value t="str">
            <val>0.66</val>
          </value>
          <value t="str">
            <val>2.78</val>
          </value>
          <value t="str">
            <val>5.68</val>
          </value>
          <value>
            <val>1.5</val>
          </value>
          <value t="str">
            <val>3.40</val>
          </value>
          <value>
            <val>4.3099999999999996</val>
          </value>
          <value t="str">
            <val>29.15</val>
          </value>
          <value t="str">
            <val>上市造紙</val>
          </value>
        </values>
      </ddeItem>
      <ddeItem name="1907.TW-PreTotalVolume,ChipsField25,ChipsField27,DateofMeetingofShareHolders,CompanyPos,TradingDate" advise="1">
        <values cols="6">
          <value>
            <val>2454</val>
          </value>
          <value t="str">
            <val>2021/06/09</val>
          </value>
          <value t="str">
            <val>--</val>
          </value>
          <value t="str">
            <val>2021/05/17</val>
          </value>
          <value t="str">
            <val>台灣第一大造紙集團</val>
          </value>
          <value t="str">
            <val>2022/01/03</val>
          </value>
        </values>
      </ddeItem>
      <ddeItem name="2022.TW-ID,Name,Price,PriceChangeRatio,Low,High,Volume,InOutRatioNumber,Capital,ProfitMargin" advise="1">
        <values cols="10">
          <value t="str">
            <val>2022</val>
          </value>
          <value t="str">
            <val>聚亨</val>
          </value>
          <value>
            <val>14</val>
          </value>
          <value>
            <val>-2.78</val>
          </value>
          <value>
            <val>14</val>
          </value>
          <value>
            <val>14.45</val>
          </value>
          <value>
            <val>114</val>
          </value>
          <value t="str">
            <val>26.01%</val>
          </value>
          <value t="str">
            <val>47.98</val>
          </value>
          <value t="str">
            <val>14.26</val>
          </value>
        </values>
      </ddeItem>
      <ddeItem name="2022.TW-OperatingProfitRatio,NetProfitMargin,TFXRatio,MonthlyNetSalesYoY,ReturnOnAssets,DividendYear,ProfitFourSeason,CashDividendYieldRate,StockNetValue,ExchangeIndustry" advise="1">
        <values cols="10">
          <value t="str">
            <val>10.06</val>
          </value>
          <value t="str">
            <val>7.25</val>
          </value>
          <value t="str">
            <val>-18.98</val>
          </value>
          <value t="str">
            <val>9.86</val>
          </value>
          <value t="str">
            <val>7.67</val>
          </value>
          <value>
            <val>0</val>
          </value>
          <value t="str">
            <val>0.83</val>
          </value>
          <value>
            <val>0</val>
          </value>
          <value t="str">
            <val>7.67</val>
          </value>
          <value t="str">
            <val>上市鋼鐵</val>
          </value>
        </values>
      </ddeItem>
      <ddeItem name="2022.TW-PreTotalVolume,ChipsField25,ChipsField27,DateofMeetingofShareHolders,CompanyPos,TradingDate" advise="1">
        <values cols="6">
          <value>
            <val>1738</val>
          </value>
          <value t="str">
            <val>--</val>
          </value>
          <value t="str">
            <val>--</val>
          </value>
          <value t="str">
            <val>2021/07/02</val>
          </value>
          <value t="str">
            <val>以泰國為生產基地的線材盤元大廠</val>
          </value>
          <value t="str">
            <val>2022/01/03</val>
          </value>
        </values>
      </ddeItem>
      <ddeItem name="2023.TW-ID,Name,Price,PriceChangeRatio,Low,High,Volume,InOutRatioNumber,Capital,ProfitMargin" advise="1">
        <values cols="10">
          <value t="str">
            <val>2023</val>
          </value>
          <value t="str">
            <val>燁輝</val>
          </value>
          <value>
            <val>24.8</val>
          </value>
          <value>
            <val>-1.98</val>
          </value>
          <value>
            <val>24.8</val>
          </value>
          <value>
            <val>25.5</val>
          </value>
          <value>
            <val>355</val>
          </value>
          <value t="str">
            <val>25.65%</val>
          </value>
          <value t="str">
            <val>189.06</val>
          </value>
          <value t="str">
            <val>12.02</val>
          </value>
        </values>
      </ddeItem>
      <ddeItem name="2023.TW-OperatingProfitRatio,NetProfitMargin,TFXRatio,MonthlyNetSalesYoY,ReturnOnAssets,DividendYear,ProfitFourSeason,CashDividendYieldRate,StockNetValue,ExchangeIndustry" advise="1">
        <values cols="10">
          <value t="str">
            <val>6.04</val>
          </value>
          <value t="str">
            <val>6.22</val>
          </value>
          <value t="str">
            <val>5.25</val>
          </value>
          <value t="str">
            <val>43.97</val>
          </value>
          <value t="str">
            <val>5.45</val>
          </value>
          <value>
            <val>0</val>
          </value>
          <value t="str">
            <val>2.39</val>
          </value>
          <value>
            <val>0</val>
          </value>
          <value t="str">
            <val>16.18</val>
          </value>
          <value t="str">
            <val>上市鋼鐵</val>
          </value>
        </values>
      </ddeItem>
      <ddeItem name="2023.TW-PreTotalVolume,ChipsField25,ChipsField27,DateofMeetingofShareHolders,CompanyPos,TradingDate" advise="1">
        <values cols="6">
          <value>
            <val>3821</val>
          </value>
          <value t="str">
            <val>--</val>
          </value>
          <value t="str">
            <val>--</val>
          </value>
          <value t="str">
            <val>2021/08/25</val>
          </value>
          <value t="str">
            <val>台灣第一大鍍鋅烤漆廠</val>
          </value>
          <value t="str">
            <val>2022/01/03</val>
          </value>
        </values>
      </ddeItem>
      <ddeItem name="2030.TW-ID,Name,Price,PriceChangeRatio,Low,High,Volume,InOutRatioNumber,Capital,ProfitMargin" advise="1">
        <values cols="10">
          <value t="str">
            <val>2030</val>
          </value>
          <value t="str">
            <val>彰源</val>
          </value>
          <value>
            <val>29.3</val>
          </value>
          <value>
            <val>-1.18</val>
          </value>
          <value>
            <val>29.2</val>
          </value>
          <value>
            <val>29.85</val>
          </value>
          <value>
            <val>101</val>
          </value>
          <value t="str">
            <val>32.46%</val>
          </value>
          <value t="str">
            <val>28.05</val>
          </value>
          <value t="str">
            <val>17.44</val>
          </value>
        </values>
      </ddeItem>
      <ddeItem name="2030.TW-OperatingProfitRatio,NetProfitMargin,TFXRatio,MonthlyNetSalesYoY,ReturnOnAssets,DividendYear,ProfitFourSeason,CashDividendYieldRate,StockNetValue,ExchangeIndustry" advise="1">
        <values cols="10">
          <value t="str">
            <val>10.20</val>
          </value>
          <value t="str">
            <val>7.18</val>
          </value>
          <value t="str">
            <val>-1.90</val>
          </value>
          <value t="str">
            <val>62.61</val>
          </value>
          <value t="str">
            <val>6.70</val>
          </value>
          <value>
            <val>0.5</val>
          </value>
          <value t="str">
            <val>3.10</val>
          </value>
          <value>
            <val>1.71</val>
          </value>
          <value t="str">
            <val>16.00</val>
          </value>
          <value t="str">
            <val>上市鋼鐵</val>
          </value>
        </values>
      </ddeItem>
      <ddeItem name="2030.TW-PreTotalVolume,ChipsField25,ChipsField27,DateofMeetingofShareHolders,CompanyPos,TradingDate" advise="1">
        <values cols="6">
          <value>
            <val>2182</val>
          </value>
          <value t="str">
            <val>2021/09/03</val>
          </value>
          <value t="str">
            <val>--</val>
          </value>
          <value t="str">
            <val>2021/08/19</val>
          </value>
          <value t="str">
            <val>台灣前二大不鏽鋼管製造廠</val>
          </value>
          <value t="str">
            <val>2022/01/03</val>
          </value>
        </values>
      </ddeItem>
      <ddeItem name="2069.TW-ID,Name,Price,PriceChangeRatio,Low,High,Volume,InOutRatioNumber,Capital,ProfitMargin" advise="1">
        <values cols="10">
          <value t="str">
            <val>2069</val>
          </value>
          <value t="str">
            <val>運錩</val>
          </value>
          <value>
            <val>34.15</val>
          </value>
          <value>
            <val>-1.73</val>
          </value>
          <value>
            <val>33.950000000000003</val>
          </value>
          <value>
            <val>34.75</val>
          </value>
          <value>
            <val>59</val>
          </value>
          <value t="str">
            <val>28.09%</val>
          </value>
          <value t="str">
            <val>16.64</val>
          </value>
          <value t="str">
            <val>13.00</val>
          </value>
        </values>
      </ddeItem>
      <ddeItem name="2069.TW-OperatingProfitRatio,NetProfitMargin,TFXRatio,MonthlyNetSalesYoY,ReturnOnAssets,DividendYear,ProfitFourSeason,CashDividendYieldRate,StockNetValue,ExchangeIndustry" advise="1">
        <values cols="10">
          <value t="str">
            <val>6.49</val>
          </value>
          <value t="str">
            <val>5.03</val>
          </value>
          <value t="str">
            <val>8.75</val>
          </value>
          <value t="str">
            <val>102.07</val>
          </value>
          <value t="str">
            <val>6.10</val>
          </value>
          <value>
            <val>0.55000000000000004</val>
          </value>
          <value t="str">
            <val>3.86</val>
          </value>
          <value>
            <val>1.61</val>
          </value>
          <value t="str">
            <val>23.88</val>
          </value>
          <value t="str">
            <val>上市鋼鐵</val>
          </value>
        </values>
      </ddeItem>
      <ddeItem name="2069.TW-PreTotalVolume,ChipsField25,ChipsField27,DateofMeetingofShareHolders,CompanyPos,TradingDate" advise="1">
        <values cols="6">
          <value>
            <val>1367</val>
          </value>
          <value t="str">
            <val>2021/08/04</val>
          </value>
          <value t="str">
            <val>--</val>
          </value>
          <value t="str">
            <val>2021/07/20</val>
          </value>
          <value t="str">
            <val>台灣不銹鋼材料加工製造廠</val>
          </value>
          <value t="str">
            <val>2022/01/03</val>
          </value>
        </values>
      </ddeItem>
      <ddeItem name="2101.TW-ID,Name,Price,PriceChangeRatio,Low,High,Volume,InOutRatioNumber,Capital,ProfitMargin" advise="1">
        <values cols="10">
          <value t="str">
            <val>2101</val>
          </value>
          <value t="str">
            <val>南港</val>
          </value>
          <value>
            <val>40.200000000000003</val>
          </value>
          <value>
            <val>0.25</val>
          </value>
          <value>
            <val>39.700000000000003</val>
          </value>
          <value>
            <val>40.299999999999997</val>
          </value>
          <value>
            <val>196</val>
          </value>
          <value t="str">
            <val>39.34%</val>
          </value>
          <value t="str">
            <val>83.39</val>
          </value>
          <value t="str">
            <val>17.52</val>
          </value>
        </values>
      </ddeItem>
      <ddeItem name="2101.TW-OperatingProfitRatio,NetProfitMargin,TFXRatio,MonthlyNetSalesYoY,ReturnOnAssets,DividendYear,ProfitFourSeason,CashDividendYieldRate,StockNetValue,ExchangeIndustry" advise="1">
        <values cols="10">
          <value t="str">
            <val>-9.90</val>
          </value>
          <value t="str">
            <val>4.68</val>
          </value>
          <value t="str">
            <val>2.47</val>
          </value>
          <value t="str">
            <val>-32.02</val>
          </value>
          <value t="str">
            <val>1.02</val>
          </value>
          <value>
            <val>0.95</val>
          </value>
          <value t="str">
            <val>0.57</val>
          </value>
          <value>
            <val>2.36</val>
          </value>
          <value t="str">
            <val>14.04</val>
          </value>
          <value t="str">
            <val>上市橡膠</val>
          </value>
        </values>
      </ddeItem>
      <ddeItem name="2101.TW-PreTotalVolume,ChipsField25,ChipsField27,DateofMeetingofShareHolders,CompanyPos,TradingDate" advise="1">
        <values cols="6">
          <value>
            <val>24948</val>
          </value>
          <value t="str">
            <val>2021/05/12</val>
          </value>
          <value t="str">
            <val>--</val>
          </value>
          <value t="str">
            <val>2021/05/12</val>
          </value>
          <value t="str">
            <val>台灣擁有土地資產的老牌輪胎廠</val>
          </value>
          <value t="str">
            <val>2022/01/03</val>
          </value>
        </values>
      </ddeItem>
      <ddeItem name="2102.TW-ID,Name,Price,PriceChangeRatio,Low,High,Volume,InOutRatioNumber,Capital,ProfitMargin" advise="1">
        <values cols="10">
          <value t="str">
            <val>2102</val>
          </value>
          <value t="str">
            <val>泰豐</val>
          </value>
          <value>
            <val>28.1</val>
          </value>
          <value>
            <val>-2.6</val>
          </value>
          <value>
            <val>28</val>
          </value>
          <value>
            <val>29</val>
          </value>
          <value>
            <val>47</val>
          </value>
          <value t="str">
            <val>22.06%</val>
          </value>
          <value t="str">
            <val>47.33</val>
          </value>
          <value t="str">
            <val>-46.29</val>
          </value>
        </values>
      </ddeItem>
      <ddeItem name="2102.TW-OperatingProfitRatio,NetProfitMargin,TFXRatio,MonthlyNetSalesYoY,ReturnOnAssets,DividendYear,ProfitFourSeason,CashDividendYieldRate,StockNetValue,ExchangeIndustry" advise="1">
        <values cols="10">
          <value t="str">
            <val>-122.05</val>
          </value>
          <value t="str">
            <val>-151.97</val>
          </value>
          <value t="str">
            <val>32.27</val>
          </value>
          <value t="str">
            <val>-75.90</val>
          </value>
          <value t="str">
            <val>-13.68</val>
          </value>
          <value>
            <val>0.02</val>
          </value>
          <value t="str">
            <val>-4.05</val>
          </value>
          <value>
            <val>7.0000000000000007E-2</val>
          </value>
          <value t="str">
            <val>12.50</val>
          </value>
          <value t="str">
            <val>上市橡膠</val>
          </value>
        </values>
      </ddeItem>
      <ddeItem name="2102.TW-PreTotalVolume,ChipsField25,ChipsField27,DateofMeetingofShareHolders,CompanyPos,TradingDate" advise="1">
        <values cols="6">
          <value>
            <val>2267</val>
          </value>
          <value t="str">
            <val>2021/11/09</val>
          </value>
          <value t="str">
            <val>--</val>
          </value>
          <value t="str">
            <val>2021/08/31</val>
          </value>
          <value t="str">
            <val>台灣輪胎製造商</val>
          </value>
          <value t="str">
            <val>2022/01/03</val>
          </value>
        </values>
      </ddeItem>
      <ddeItem name="2104.TW-ID,Name,Price,PriceChangeRatio,Low,High,Volume,InOutRatioNumber,Capital,ProfitMargin" advise="1">
        <values cols="10">
          <value t="str">
            <val>2104</val>
          </value>
          <value t="str">
            <val>國際中橡</val>
          </value>
          <value>
            <val>27.8</val>
          </value>
          <value>
            <val>-1.42</val>
          </value>
          <value>
            <val>27.75</val>
          </value>
          <value>
            <val>28.3</val>
          </value>
          <value>
            <val>131</val>
          </value>
          <value t="str">
            <val>27.25%</val>
          </value>
          <value t="str">
            <val>98.47</val>
          </value>
          <value t="str">
            <val>20.63</val>
          </value>
        </values>
      </ddeItem>
      <ddeItem name="2104.TW-OperatingProfitRatio,NetProfitMargin,TFXRatio,MonthlyNetSalesYoY,ReturnOnAssets,DividendYear,ProfitFourSeason,CashDividendYieldRate,StockNetValue,ExchangeIndustry" advise="1">
        <values cols="10">
          <value t="str">
            <val>10.90</val>
          </value>
          <value t="str">
            <val>8.27</val>
          </value>
          <value t="str">
            <val>183.56</val>
          </value>
          <value t="str">
            <val>191.70</val>
          </value>
          <value t="str">
            <val>2.93</val>
          </value>
          <value>
            <val>0.1</val>
          </value>
          <value t="str">
            <val>1.92</val>
          </value>
          <value>
            <val>0.36</val>
          </value>
          <value t="str">
            <val>32.95</val>
          </value>
          <value t="str">
            <val>上市橡膠</val>
          </value>
        </values>
      </ddeItem>
      <ddeItem name="2104.TW-PreTotalVolume,ChipsField25,ChipsField27,DateofMeetingofShareHolders,CompanyPos,TradingDate" advise="1">
        <values cols="6">
          <value>
            <val>3700</val>
          </value>
          <value t="str">
            <val>2021/09/01</val>
          </value>
          <value t="str">
            <val>--</val>
          </value>
          <value t="str">
            <val>2021/07/07</val>
          </value>
          <value t="str">
            <val>全球市佔率前五大的碳煙公司</val>
          </value>
          <value t="str">
            <val>2022/01/03</val>
          </value>
        </values>
      </ddeItem>
      <ddeItem name="2105.TW-ID,Name,Price,PriceChangeRatio,Low,High,Volume,InOutRatioNumber,Capital,ProfitMargin" advise="1">
        <values cols="10">
          <value t="str">
            <val>2105</val>
          </value>
          <value t="str">
            <val>正新</val>
          </value>
          <value>
            <val>35.85</val>
          </value>
          <value>
            <val>-0.69</val>
          </value>
          <value>
            <val>35.85</val>
          </value>
          <value>
            <val>36.5</val>
          </value>
          <value>
            <val>257</val>
          </value>
          <value t="str">
            <val>36.07%</val>
          </value>
          <value t="str">
            <val>324.14</val>
          </value>
          <value t="str">
            <val>22.71</val>
          </value>
        </values>
      </ddeItem>
      <ddeItem name="2105.TW-OperatingProfitRatio,NetProfitMargin,TFXRatio,MonthlyNetSalesYoY,ReturnOnAssets,DividendYear,ProfitFourSeason,CashDividendYieldRate,StockNetValue,ExchangeIndustry" advise="1">
        <values cols="10">
          <value t="str">
            <val>8.17</val>
          </value>
          <value t="str">
            <val>5.66</val>
          </value>
          <value t="str">
            <val>3.67</val>
          </value>
          <value t="str">
            <val>-9.92</val>
          </value>
          <value t="str">
            <val>3.16</val>
          </value>
          <value>
            <val>1.2</val>
          </value>
          <value t="str">
            <val>2.32</val>
          </value>
          <value>
            <val>3.35</val>
          </value>
          <value t="str">
            <val>24.50</val>
          </value>
          <value t="str">
            <val>上市橡膠</val>
          </value>
        </values>
      </ddeItem>
      <ddeItem name="2105.TW-PreTotalVolume,ChipsField25,ChipsField27,DateofMeetingofShareHolders,CompanyPos,TradingDate" advise="1">
        <values cols="6">
          <value>
            <val>5157</val>
          </value>
          <value t="str">
            <val>2021/08/30</val>
          </value>
          <value t="str">
            <val>--</val>
          </value>
          <value t="str">
            <val>2021/07/29</val>
          </value>
          <value t="str">
            <val>台灣最大、全球前十大輪胎製造商</val>
          </value>
          <value t="str">
            <val>2022/01/03</val>
          </value>
        </values>
      </ddeItem>
      <ddeItem name="2108.TW-ID,Name,Price,PriceChangeRatio,Low,High,Volume,InOutRatioNumber,Capital,ProfitMargin" advise="1">
        <values cols="10">
          <value t="str">
            <val>2108</val>
          </value>
          <value t="str">
            <val>南帝</val>
          </value>
          <value>
            <val>85</val>
          </value>
          <value>
            <val>-0.23</val>
          </value>
          <value>
            <val>83.8</val>
          </value>
          <value>
            <val>85.6</val>
          </value>
          <value>
            <val>193</val>
          </value>
          <value t="str">
            <val>21.39%</val>
          </value>
          <value t="str">
            <val>49.24</val>
          </value>
          <value t="str">
            <val>54.83</val>
          </value>
        </values>
      </ddeItem>
      <ddeItem name="2108.TW-OperatingProfitRatio,NetProfitMargin,TFXRatio,MonthlyNetSalesYoY,ReturnOnAssets,DividendYear,ProfitFourSeason,CashDividendYieldRate,StockNetValue,ExchangeIndustry" advise="1">
        <values cols="10">
          <value t="str">
            <val>45.03</val>
          </value>
          <value t="str">
            <val>34.68</val>
          </value>
          <value t="str">
            <val>-13.26</val>
          </value>
          <value t="str">
            <val>-34.72</val>
          </value>
          <value t="str">
            <val>39.64</val>
          </value>
          <value>
            <val>4</val>
          </value>
          <value t="str">
            <val>17.56</val>
          </value>
          <value>
            <val>4.71</val>
          </value>
          <value t="str">
            <val>31.54</val>
          </value>
          <value t="str">
            <val>上市橡膠</val>
          </value>
        </values>
      </ddeItem>
      <ddeItem name="2108.TW-PreTotalVolume,ChipsField25,ChipsField27,DateofMeetingofShareHolders,CompanyPos,TradingDate" advise="1">
        <values cols="6">
          <value>
            <val>2462</val>
          </value>
          <value t="str">
            <val>2021/04/07</val>
          </value>
          <value t="str">
            <val>--</val>
          </value>
          <value t="str">
            <val>2021/07/26</val>
          </value>
          <value t="str">
            <val>全球前五大NBR乳膠廠</val>
          </value>
          <value t="str">
            <val>2022/01/03</val>
          </value>
        </values>
      </ddeItem>
      <ddeItem name="2312.TW-ID,Name,Price,PriceChangeRatio,Low,High,Volume,InOutRatioNumber,Capital,ProfitMargin" advise="1">
        <values cols="10">
          <value t="str">
            <val>2312</val>
          </value>
          <value t="str">
            <val>金寶</val>
          </value>
          <value>
            <val>15.75</val>
          </value>
          <value>
            <val>-2.48</val>
          </value>
          <value>
            <val>15.75</val>
          </value>
          <value>
            <val>16.350000000000001</val>
          </value>
          <value>
            <val>1406</val>
          </value>
          <value t="str">
            <val>29.58%</val>
          </value>
          <value t="str">
            <val>147.15</val>
          </value>
          <value t="str">
            <val>7.02</val>
          </value>
        </values>
      </ddeItem>
      <ddeItem name="2312.TW-OperatingProfitRatio,NetProfitMargin,TFXRatio,MonthlyNetSalesYoY,ReturnOnAssets,DividendYear,ProfitFourSeason,CashDividendYieldRate,StockNetValue,ExchangeIndustry" advise="1">
        <values cols="10">
          <value t="str">
            <val>1.34</val>
          </value>
          <value t="str">
            <val>0.57</val>
          </value>
          <value t="str">
            <val>1.94</val>
          </value>
          <value t="str">
            <val>3.89</val>
          </value>
          <value t="str">
            <val>1.07</val>
          </value>
          <value>
            <val>0.28999999999999998</val>
          </value>
          <value t="str">
            <val>-0.09</val>
          </value>
          <value>
            <val>1.84</val>
          </value>
          <value t="str">
            <val>11.13</val>
          </value>
          <value t="str">
            <val>上市其他電子</val>
          </value>
        </values>
      </ddeItem>
      <ddeItem name="2312.TW-PreTotalVolume,ChipsField25,ChipsField27,DateofMeetingofShareHolders,CompanyPos,TradingDate" advise="1">
        <values cols="6">
          <value>
            <val>22990</val>
          </value>
          <value t="str">
            <val>2021/06/22</val>
          </value>
          <value t="str">
            <val>--</val>
          </value>
          <value t="str">
            <val>2021/08/20</val>
          </value>
          <value t="str">
            <val>金仁寶集團旗下消費性電子代工廠</val>
          </value>
          <value t="str">
            <val>2022/01/03</val>
          </value>
        </values>
      </ddeItem>
      <ddeItem name="2316.TW-ID,Name,Price,PriceChangeRatio,Low,High,Volume,InOutRatioNumber,Capital,ProfitMargin" advise="1">
        <values cols="10">
          <value t="str">
            <val>2316</val>
          </value>
          <value t="str">
            <val>楠梓電</val>
          </value>
          <value>
            <val>35.200000000000003</val>
          </value>
          <value>
            <val>-4.8600000000000003</val>
          </value>
          <value>
            <val>35</val>
          </value>
          <value>
            <val>36.65</val>
          </value>
          <value>
            <val>291</val>
          </value>
          <value t="str">
            <val>26.93%</val>
          </value>
          <value t="str">
            <val>18.27</val>
          </value>
          <value t="str">
            <val>8.75</val>
          </value>
        </values>
      </ddeItem>
      <ddeItem name="2316.TW-OperatingProfitRatio,NetProfitMargin,TFXRatio,MonthlyNetSalesYoY,ReturnOnAssets,DividendYear,ProfitFourSeason,CashDividendYieldRate,StockNetValue,ExchangeIndustry" advise="1">
        <values cols="10">
          <value t="str">
            <val>0.55</val>
          </value>
          <value t="str">
            <val>9.93</val>
          </value>
          <value t="str">
            <val>15.67</val>
          </value>
          <value t="str">
            <val>21.50</val>
          </value>
          <value t="str">
            <val>3.16</val>
          </value>
          <value>
            <val>1.5</val>
          </value>
          <value t="str">
            <val>2.66</val>
          </value>
          <value>
            <val>4.26</val>
          </value>
          <value t="str">
            <val>41.24</val>
          </value>
          <value t="str">
            <val>上市電子零組件</val>
          </value>
        </values>
      </ddeItem>
      <ddeItem name="2316.TW-PreTotalVolume,ChipsField25,ChipsField27,DateofMeetingofShareHolders,CompanyPos,TradingDate" advise="1">
        <values cols="6">
          <value>
            <val>7780</val>
          </value>
          <value t="str">
            <val>2021/08/30</val>
          </value>
          <value t="str">
            <val>--</val>
          </value>
          <value t="str">
            <val>2021/07/20</val>
          </value>
          <value t="str">
            <val>國內PCB廠商，並轉投資於深交所掛牌之滬電股份</val>
          </value>
          <value t="str">
            <val>2022/01/03</val>
          </value>
        </values>
      </ddeItem>
      <ddeItem name="2329.TW-ID,Name,Price,PriceChangeRatio,Low,High,Volume,InOutRatioNumber,Capital,ProfitMargin" advise="1">
        <values cols="10">
          <value t="str">
            <val>2329</val>
          </value>
          <value t="str">
            <val>華泰</val>
          </value>
          <value>
            <val>26</val>
          </value>
          <value>
            <val>-1.89</val>
          </value>
          <value>
            <val>25.9</val>
          </value>
          <value>
            <val>26.7</val>
          </value>
          <value>
            <val>207</val>
          </value>
          <value t="str">
            <val>31.86%</val>
          </value>
          <value t="str">
            <val>64.86</val>
          </value>
          <value t="str">
            <val>17.11</val>
          </value>
        </values>
      </ddeItem>
      <ddeItem name="2329.TW-OperatingProfitRatio,NetProfitMargin,TFXRatio,MonthlyNetSalesYoY,ReturnOnAssets,DividendYear,ProfitFourSeason,CashDividendYieldRate,StockNetValue,ExchangeIndustry" advise="1">
        <values cols="10">
          <value t="str">
            <val>10.34</val>
          </value>
          <value t="str">
            <val>8.42</val>
          </value>
          <value t="str">
            <val>1.15</val>
          </value>
          <value t="str">
            <val>24.17</val>
          </value>
          <value t="str">
            <val>6.75</val>
          </value>
          <value>
            <val>0</val>
          </value>
          <value t="str">
            <val>1.79</val>
          </value>
          <value>
            <val>0</val>
          </value>
          <value t="str">
            <val>11.65</val>
          </value>
          <value t="str">
            <val>上市半導體</val>
          </value>
        </values>
      </ddeItem>
      <ddeItem name="2329.TW-PreTotalVolume,ChipsField25,ChipsField27,DateofMeetingofShareHolders,CompanyPos,TradingDate" advise="1">
        <values cols="6">
          <value>
            <val>12124</val>
          </value>
          <value t="str">
            <val>--</val>
          </value>
          <value t="str">
            <val>--</val>
          </value>
          <value t="str">
            <val>2021/07/15</val>
          </value>
          <value t="str">
            <val>與金士頓合作之NAND Flash、記憶卡封測廠</val>
          </value>
          <value t="str">
            <val>2022/01/03</val>
          </value>
        </values>
      </ddeItem>
      <ddeItem name="2337.TW-ID,Name,Price,PriceChangeRatio,Low,High,Volume,InOutRatioNumber,Capital,ProfitMargin" advise="1">
        <values cols="10">
          <value t="str">
            <val>2337</val>
          </value>
          <value t="str">
            <val>旺宏</val>
          </value>
          <value>
            <val>41.1</val>
          </value>
          <value>
            <val>-2.61</val>
          </value>
          <value>
            <val>41.1</val>
          </value>
          <value>
            <val>42.4</val>
          </value>
          <value>
            <val>1197</val>
          </value>
          <value t="str">
            <val>25.02%</val>
          </value>
          <value t="str">
            <val>185.60</val>
          </value>
          <value t="str">
            <val>39.38</val>
          </value>
        </values>
      </ddeItem>
      <ddeItem name="2337.TW-OperatingProfitRatio,NetProfitMargin,TFXRatio,MonthlyNetSalesYoY,ReturnOnAssets,DividendYear,ProfitFourSeason,CashDividendYieldRate,StockNetValue,ExchangeIndustry" advise="1">
        <values cols="10">
          <value t="str">
            <val>19.35</val>
          </value>
          <value t="str">
            <val>22.96</val>
          </value>
          <value t="str">
            <val>-17.10</val>
          </value>
          <value t="str">
            <val>57.42</val>
          </value>
          <value t="str">
            <val>12.06</val>
          </value>
          <value>
            <val>1.2</val>
          </value>
          <value t="str">
            <val>5.12</val>
          </value>
          <value>
            <val>2.92</val>
          </value>
          <value t="str">
            <val>23.21</val>
          </value>
          <value t="str">
            <val>上市半導體</val>
          </value>
        </values>
      </ddeItem>
      <ddeItem name="2337.TW-PreTotalVolume,ChipsField25,ChipsField27,DateofMeetingofShareHolders,CompanyPos,TradingDate" advise="1">
        <values cols="6">
          <value>
            <val>22619</val>
          </value>
          <value t="str">
            <val>2021/09/08</val>
          </value>
          <value t="str">
            <val>--</val>
          </value>
          <value t="str">
            <val>2021/08/17</val>
          </value>
          <value t="str">
            <val>全球非揮發性記憶體整合元件領導廠</val>
          </value>
          <value t="str">
            <val>2022/01/03</val>
          </value>
        </values>
      </ddeItem>
      <ddeItem name="2344.TW-ID,Name,Price,PriceChangeRatio,Low,High,Volume,InOutRatioNumber,Capital,ProfitMargin" advise="1">
        <values cols="10">
          <value t="str">
            <val>2344</val>
          </value>
          <value t="str">
            <val>華邦電</val>
          </value>
          <value>
            <val>32.1</val>
          </value>
          <value>
            <val>-5.59</val>
          </value>
          <value>
            <val>31.9</val>
          </value>
          <value>
            <val>33.700000000000003</val>
          </value>
          <value>
            <val>5927</val>
          </value>
          <value t="str">
            <val>33.99%</val>
          </value>
          <value t="str">
            <val>398.00</val>
          </value>
          <value t="str">
            <val>41.81</val>
          </value>
        </values>
      </ddeItem>
      <ddeItem name="2344.TW-OperatingProfitRatio,NetProfitMargin,TFXRatio,MonthlyNetSalesYoY,ReturnOnAssets,DividendYear,ProfitFourSeason,CashDividendYieldRate,StockNetValue,ExchangeIndustry" advise="1">
        <values cols="10">
          <value t="str">
            <val>17.49</val>
          </value>
          <value t="str">
            <val>13.97</val>
          </value>
          <value t="str">
            <val>-3.06</val>
          </value>
          <value t="str">
            <val>28.23</val>
          </value>
          <value t="str">
            <val>7.82</val>
          </value>
          <value>
            <val>0.2</val>
          </value>
          <value t="str">
            <val>2.45</val>
          </value>
          <value>
            <val>0.62</val>
          </value>
          <value t="str">
            <val>19.12</val>
          </value>
          <value t="str">
            <val>上市半導體</val>
          </value>
        </values>
      </ddeItem>
      <ddeItem name="2344.TW-PreTotalVolume,ChipsField25,ChipsField27,DateofMeetingofShareHolders,CompanyPos,TradingDate" advise="1">
        <values cols="6">
          <value>
            <val>229670</val>
          </value>
          <value t="str">
            <val>2021/07/13</val>
          </value>
          <value t="str">
            <val>--</val>
          </value>
          <value t="str">
            <val>2021/08/12</val>
          </value>
          <value t="str">
            <val>台灣利基型DRAM廠</val>
          </value>
          <value t="str">
            <val>2022/01/03</val>
          </value>
        </values>
      </ddeItem>
      <ddeItem name="2377.TW-ID,Name,Price,PriceChangeRatio,Low,High,Volume,InOutRatioNumber,Capital,ProfitMargin" advise="1">
        <values cols="10">
          <value t="str">
            <val>2377</val>
          </value>
          <value t="str">
            <val>微星</val>
          </value>
          <value>
            <val>160</val>
          </value>
          <value>
            <val>-0.31</val>
          </value>
          <value>
            <val>160</val>
          </value>
          <value>
            <val>161.5</val>
          </value>
          <value>
            <val>197</val>
          </value>
          <value t="str">
            <val>27.84%</val>
          </value>
          <value t="str">
            <val>84.49</val>
          </value>
          <value t="str">
            <val>19.44</val>
          </value>
        </values>
      </ddeItem>
      <ddeItem name="2377.TW-OperatingProfitRatio,NetProfitMargin,TFXRatio,MonthlyNetSalesYoY,ReturnOnAssets,DividendYear,ProfitFourSeason,CashDividendYieldRate,StockNetValue,ExchangeIndustry" advise="1">
        <values cols="10">
          <value t="str">
            <val>10.51</val>
          </value>
          <value t="str">
            <val>8.90</val>
          </value>
          <value t="str">
            <val>-0.42</val>
          </value>
          <value t="str">
            <val>27.09</val>
          </value>
          <value t="str">
            <val>15.07</val>
          </value>
          <value>
            <val>6.1</val>
          </value>
          <value t="str">
            <val>17.79</val>
          </value>
          <value>
            <val>3.81</val>
          </value>
          <value t="str">
            <val>51.07</val>
          </value>
          <value t="str">
            <val>上市電腦及週邊設備</val>
          </value>
        </values>
      </ddeItem>
      <ddeItem name="2377.TW-PreTotalVolume,ChipsField25,ChipsField27,DateofMeetingofShareHolders,CompanyPos,TradingDate" advise="1">
        <values cols="6">
          <value>
            <val>3871</val>
          </value>
          <value t="str">
            <val>2021/08/23</val>
          </value>
          <value t="str">
            <val>--</val>
          </value>
          <value t="str">
            <val>2021/07/16</val>
          </value>
          <value t="str">
            <val>台灣知名主機板及電競筆電廠</val>
          </value>
          <value t="str">
            <val>2022/01/03</val>
          </value>
        </values>
      </ddeItem>
      <ddeItem name="2390.TW-ID,Name,Price,PriceChangeRatio,Low,High,Volume,InOutRatioNumber,Capital,ProfitMargin" advise="1">
        <values cols="10">
          <value t="str">
            <val>2390</val>
          </value>
          <value t="str">
            <val>云辰</val>
          </value>
          <value>
            <val>22.4</val>
          </value>
          <value>
            <val>-2.82</val>
          </value>
          <value>
            <val>22.35</val>
          </value>
          <value>
            <val>23</val>
          </value>
          <value>
            <val>197</val>
          </value>
          <value t="str">
            <val>27.30%</val>
          </value>
          <value t="str">
            <val>21.40</val>
          </value>
          <value t="str">
            <val>16.98</val>
          </value>
        </values>
      </ddeItem>
      <ddeItem name="2390.TW-OperatingProfitRatio,NetProfitMargin,TFXRatio,MonthlyNetSalesYoY,ReturnOnAssets,DividendYear,ProfitFourSeason,CashDividendYieldRate,StockNetValue,ExchangeIndustry" advise="1">
        <values cols="10">
          <value t="str">
            <val>-29.21</val>
          </value>
          <value t="str">
            <val>306.44</val>
          </value>
          <value t="str">
            <val>7.64</val>
          </value>
          <value t="str">
            <val>6.40</val>
          </value>
          <value t="str">
            <val>38.36</val>
          </value>
          <value>
            <val>0</val>
          </value>
          <value t="str">
            <val>6.38</val>
          </value>
          <value>
            <val>0</val>
          </value>
          <value t="str">
            <val>17.78</val>
          </value>
          <value t="str">
            <val>上市其他電子</val>
          </value>
        </values>
      </ddeItem>
      <ddeItem name="2390.TW-PreTotalVolume,ChipsField25,ChipsField27,DateofMeetingofShareHolders,CompanyPos,TradingDate" advise="1">
        <values cols="6">
          <value>
            <val>5411</val>
          </value>
          <value t="str">
            <val>--</val>
          </value>
          <value t="str">
            <val>--</val>
          </value>
          <value t="str">
            <val>2021/07/08</val>
          </value>
          <value t="str">
            <val>台灣防盜器龍頭廠商，轉型為智慧家庭解決方案商</val>
          </value>
          <value t="str">
            <val>2022/01/03</val>
          </value>
        </values>
      </ddeItem>
      <ddeItem name="2405.TW-ID,Name,Price,PriceChangeRatio,Low,High,Volume,InOutRatioNumber,Capital,ProfitMargin" advise="1">
        <values cols="10">
          <value t="str">
            <val>2405</val>
          </value>
          <value t="str">
            <val>浩鑫</val>
          </value>
          <value>
            <val>18.850000000000001</val>
          </value>
          <value>
            <val>-7.14</val>
          </value>
          <value>
            <val>18.350000000000001</val>
          </value>
          <value>
            <val>19.8</val>
          </value>
          <value>
            <val>427</val>
          </value>
          <value t="str">
            <val>28.90%</val>
          </value>
          <value t="str">
            <val>34.34</val>
          </value>
          <value t="str">
            <val>39.88</val>
          </value>
        </values>
      </ddeItem>
      <ddeItem name="2405.TW-OperatingProfitRatio,NetProfitMargin,TFXRatio,MonthlyNetSalesYoY,ReturnOnAssets,DividendYear,ProfitFourSeason,CashDividendYieldRate,StockNetValue,ExchangeIndustry" advise="1">
        <values cols="10">
          <value t="str">
            <val>3.93</val>
          </value>
          <value t="str">
            <val>1.68</val>
          </value>
          <value t="str">
            <val>-2.87</val>
          </value>
          <value t="str">
            <val>42.27</val>
          </value>
          <value t="str">
            <val>0.60</val>
          </value>
          <value>
            <val>0</val>
          </value>
          <value t="str">
            <val>0.29</val>
          </value>
          <value>
            <val>0</val>
          </value>
          <value t="str">
            <val>9.87</val>
          </value>
          <value t="str">
            <val>上市電腦及週邊設備</val>
          </value>
        </values>
      </ddeItem>
      <ddeItem name="2405.TW-PreTotalVolume,ChipsField25,ChipsField27,DateofMeetingofShareHolders,CompanyPos,TradingDate" advise="1">
        <values cols="6">
          <value>
            <val>29845</val>
          </value>
          <value t="str">
            <val>--</val>
          </value>
          <value t="str">
            <val>--</val>
          </value>
          <value t="str">
            <val>2021/07/05</val>
          </value>
          <value t="str">
            <val>白牌NB代工廠</val>
          </value>
          <value t="str">
            <val>2022/01/03</val>
          </value>
        </values>
      </ddeItem>
      <ddeItem name="2408.TW-ID,Name,Price,PriceChangeRatio,Low,High,Volume,InOutRatioNumber,Capital,ProfitMargin" advise="1">
        <values cols="10">
          <value t="str">
            <val>2408</val>
          </value>
          <value t="str">
            <val>南亞科</val>
          </value>
          <value>
            <val>76.2</val>
          </value>
          <value>
            <val>-2.4300000000000002</val>
          </value>
          <value>
            <val>76</val>
          </value>
          <value>
            <val>78</val>
          </value>
          <value>
            <val>433</val>
          </value>
          <value t="str">
            <val>28.24%</val>
          </value>
          <value t="str">
            <val>309.70</val>
          </value>
          <value t="str">
            <val>41.24</val>
          </value>
        </values>
      </ddeItem>
      <ddeItem name="2408.TW-OperatingProfitRatio,NetProfitMargin,TFXRatio,MonthlyNetSalesYoY,ReturnOnAssets,DividendYear,ProfitFourSeason,CashDividendYieldRate,StockNetValue,ExchangeIndustry" advise="1">
        <values cols="10">
          <value t="str">
            <val>29.85</val>
          </value>
          <value t="str">
            <val>25.54</val>
          </value>
          <value t="str">
            <val>0.71</val>
          </value>
          <value t="str">
            <val>48.15</val>
          </value>
          <value t="str">
            <val>9.33</val>
          </value>
          <value>
            <val>1.3</val>
          </value>
          <value t="str">
            <val>5.62</val>
          </value>
          <value>
            <val>1.71</val>
          </value>
          <value t="str">
            <val>53.87</val>
          </value>
          <value t="str">
            <val>上市半導體</val>
          </value>
        </values>
      </ddeItem>
      <ddeItem name="2408.TW-PreTotalVolume,ChipsField25,ChipsField27,DateofMeetingofShareHolders,CompanyPos,TradingDate" advise="1">
        <values cols="6">
          <value>
            <val>15683</val>
          </value>
          <value t="str">
            <val>2021/08/05</val>
          </value>
          <value t="str">
            <val>--</val>
          </value>
          <value t="str">
            <val>2021/08/04</val>
          </value>
          <value t="str">
            <val>轉型利基型及消費型DRAM廠</val>
          </value>
          <value t="str">
            <val>2022/01/03</val>
          </value>
        </values>
      </ddeItem>
      <ddeItem name="2409.TW-ID,Name,Price,PriceChangeRatio,Low,High,Volume,InOutRatioNumber,Capital,ProfitMargin" advise="1">
        <values cols="10">
          <value t="str">
            <val>2409</val>
          </value>
          <value t="str">
            <val>友達</val>
          </value>
          <value>
            <val>22.6</val>
          </value>
          <value>
            <val>-1.31</val>
          </value>
          <value>
            <val>22.55</val>
          </value>
          <value>
            <val>23.2</val>
          </value>
          <value>
            <val>3984</val>
          </value>
          <value t="str">
            <val>38.10%</val>
          </value>
          <value t="str">
            <val>962.42</val>
          </value>
          <value t="str">
            <val>26.35</val>
          </value>
        </values>
      </ddeItem>
      <ddeItem name="2409.TW-OperatingProfitRatio,NetProfitMargin,TFXRatio,MonthlyNetSalesYoY,ReturnOnAssets,DividendYear,ProfitFourSeason,CashDividendYieldRate,StockNetValue,ExchangeIndustry" advise="1">
        <values cols="10">
          <value t="str">
            <val>18.99</val>
          </value>
          <value t="str">
            <val>18.61</val>
          </value>
          <value t="str">
            <val>1.65</val>
          </value>
          <value t="str">
            <val>19.01</val>
          </value>
          <value t="str">
            <val>12.61</val>
          </value>
          <value>
            <val>0.3</val>
          </value>
          <value t="str">
            <val>6.22</val>
          </value>
          <value>
            <val>1.33</val>
          </value>
          <value t="str">
            <val>24.01</val>
          </value>
          <value t="str">
            <val>上市光電</val>
          </value>
        </values>
      </ddeItem>
      <ddeItem name="2409.TW-PreTotalVolume,ChipsField25,ChipsField27,DateofMeetingofShareHolders,CompanyPos,TradingDate" advise="1">
        <values cols="6">
          <value>
            <val>84382</val>
          </value>
          <value t="str">
            <val>2021/06/24</val>
          </value>
          <value t="str">
            <val>--</val>
          </value>
          <value t="str">
            <val>2021/08/19</val>
          </value>
          <value t="str">
            <val>全球前四大面板大廠</val>
          </value>
          <value t="str">
            <val>2022/01/03</val>
          </value>
        </values>
      </ddeItem>
      <ddeItem name="2412.TW-ID,Name,Price,PriceChangeRatio,Low,High,Volume,InOutRatioNumber,Capital,ProfitMargin" advise="1">
        <values cols="10">
          <value t="str">
            <val>2412</val>
          </value>
          <value t="str">
            <val>中華電</val>
          </value>
          <value>
            <val>115.5</val>
          </value>
          <value>
            <val>-0.86</val>
          </value>
          <value>
            <val>114.5</val>
          </value>
          <value>
            <val>116.5</val>
          </value>
          <value>
            <val>399</val>
          </value>
          <value t="str">
            <val>26.07%</val>
          </value>
          <value t="str">
            <val>775.74</val>
          </value>
          <value t="str">
            <val>36.92</val>
          </value>
        </values>
      </ddeItem>
      <ddeItem name="2412.TW-OperatingProfitRatio,NetProfitMargin,TFXRatio,MonthlyNetSalesYoY,ReturnOnAssets,DividendYear,ProfitFourSeason,CashDividendYieldRate,StockNetValue,ExchangeIndustry" advise="1">
        <values cols="10">
          <value t="str">
            <val>22.46</val>
          </value>
          <value t="str">
            <val>18.68</val>
          </value>
          <value t="str">
            <val>-3.58</val>
          </value>
          <value t="str">
            <val>0.32</val>
          </value>
          <value t="str">
            <val>5.64</val>
          </value>
          <value>
            <val>4.3099999999999996</val>
          </value>
          <value t="str">
            <val>4.55</val>
          </value>
          <value>
            <val>3.73</val>
          </value>
          <value t="str">
            <val>47.74</val>
          </value>
          <value t="str">
            <val>上市通信網路</val>
          </value>
        </values>
      </ddeItem>
      <ddeItem name="2412.TW-PreTotalVolume,ChipsField25,ChipsField27,DateofMeetingofShareHolders,CompanyPos,TradingDate" advise="1">
        <values cols="6">
          <value>
            <val>4167</val>
          </value>
          <value t="str">
            <val>2021/08/25</val>
          </value>
          <value t="str">
            <val>--</val>
          </value>
          <value t="str">
            <val>2021/08/20</val>
          </value>
          <value t="str">
            <val>台灣電信業龍頭</val>
          </value>
          <value t="str">
            <val>2022/01/03</val>
          </value>
        </values>
      </ddeItem>
      <ddeItem name="2442.TW-ID,Name,Price,PriceChangeRatio,Low,High,Volume,InOutRatioNumber,Capital,ProfitMargin" advise="1">
        <values cols="10">
          <value t="str">
            <val>2442</val>
          </value>
          <value t="str">
            <val>新美齊</val>
          </value>
          <value>
            <val>13.4</val>
          </value>
          <value>
            <val>-1.47</val>
          </value>
          <value>
            <val>13.3</val>
          </value>
          <value>
            <val>13.7</val>
          </value>
          <value>
            <val>161</val>
          </value>
          <value t="str">
            <val>20.15%</val>
          </value>
          <value t="str">
            <val>24.46</val>
          </value>
          <value t="str">
            <val>36.56</val>
          </value>
        </values>
      </ddeItem>
      <ddeItem name="2442.TW-OperatingProfitRatio,NetProfitMargin,TFXRatio,MonthlyNetSalesYoY,ReturnOnAssets,DividendYear,ProfitFourSeason,CashDividendYieldRate,StockNetValue,ExchangeIndustry" advise="1">
        <values cols="10">
          <value t="str">
            <val>23.86</val>
          </value>
          <value t="str">
            <val>31.88</val>
          </value>
          <value t="str">
            <val>2805.13</val>
          </value>
          <value t="str">
            <val>-76.45</val>
          </value>
          <value t="str">
            <val>3.48</val>
          </value>
          <value>
            <val>0.3</val>
          </value>
          <value t="str">
            <val>2.47</val>
          </value>
          <value>
            <val>2.2400000000000002</val>
          </value>
          <value t="str">
            <val>15.53</val>
          </value>
          <value t="str">
            <val>上市電腦及週邊設備</val>
          </value>
        </values>
      </ddeItem>
      <ddeItem name="2442.TW-PreTotalVolume,ChipsField25,ChipsField27,DateofMeetingofShareHolders,CompanyPos,TradingDate" advise="1">
        <values cols="6">
          <value>
            <val>6278</val>
          </value>
          <value t="str">
            <val>2021/11/08</val>
          </value>
          <value t="str">
            <val>2021/11/08</val>
          </value>
          <value t="str">
            <val>2021/08/31</val>
          </value>
          <value t="str">
            <val>轉型從事不動產建設開發</val>
          </value>
          <value t="str">
            <val>2022/01/03</val>
          </value>
        </values>
      </ddeItem>
      <ddeItem name="2483.TW-ID,Name,Price,PriceChangeRatio,Low,High,Volume,InOutRatioNumber,Capital,ProfitMargin" advise="1">
        <values cols="10">
          <value t="str">
            <val>2483</val>
          </value>
          <value t="str">
            <val>百容</val>
          </value>
          <value>
            <val>26.1</val>
          </value>
          <value>
            <val>-2.4300000000000002</val>
          </value>
          <value>
            <val>26</val>
          </value>
          <value>
            <val>26.95</val>
          </value>
          <value>
            <val>60</val>
          </value>
          <value t="str">
            <val>18.64%</val>
          </value>
          <value t="str">
            <val>10.91</val>
          </value>
          <value t="str">
            <val>16.74</val>
          </value>
        </values>
      </ddeItem>
      <ddeItem name="2483.TW-OperatingProfitRatio,NetProfitMargin,TFXRatio,MonthlyNetSalesYoY,ReturnOnAssets,DividendYear,ProfitFourSeason,CashDividendYieldRate,StockNetValue,ExchangeIndustry" advise="1">
        <values cols="10">
          <value t="str">
            <val>-0.50</val>
          </value>
          <value t="str">
            <val>8.93</val>
          </value>
          <value t="str">
            <val>1.82</val>
          </value>
          <value t="str">
            <val>20.19</val>
          </value>
          <value t="str">
            <val>3.62</val>
          </value>
          <value>
            <val>0.7</val>
          </value>
          <value t="str">
            <val>1.16</val>
          </value>
          <value>
            <val>2.68</val>
          </value>
          <value t="str">
            <val>22.69</val>
          </value>
          <value t="str">
            <val>上市電子零組件</val>
          </value>
        </values>
      </ddeItem>
      <ddeItem name="2483.TW-PreTotalVolume,ChipsField25,ChipsField27,DateofMeetingofShareHolders,CompanyPos,TradingDate" advise="1">
        <values cols="6">
          <value>
            <val>3971</val>
          </value>
          <value t="str">
            <val>2021/03/31</val>
          </value>
          <value t="str">
            <val>--</val>
          </value>
          <value t="str">
            <val>2021/07/29</val>
          </value>
          <value t="str">
            <val>台灣程式開關最大供應商</val>
          </value>
          <value t="str">
            <val>2022/01/03</val>
          </value>
        </values>
      </ddeItem>
      <ddeItem name="2485.TW-ID,Name,Price,PriceChangeRatio,Low,High,Volume,InOutRatioNumber,Capital,ProfitMargin" advise="1">
        <values cols="10">
          <value t="str">
            <val>2485</val>
          </value>
          <value t="str">
            <val>兆赫</val>
          </value>
          <value>
            <val>21.45</val>
          </value>
          <value>
            <val>-2.0499999999999998</val>
          </value>
          <value>
            <val>21.35</val>
          </value>
          <value>
            <val>22.1</val>
          </value>
          <value>
            <val>107</val>
          </value>
          <value t="str">
            <val>23.71%</val>
          </value>
          <value t="str">
            <val>31.77</val>
          </value>
          <value t="str">
            <val>1.89</val>
          </value>
        </values>
      </ddeItem>
      <ddeItem name="2485.TW-OperatingProfitRatio,NetProfitMargin,TFXRatio,MonthlyNetSalesYoY,ReturnOnAssets,DividendYear,ProfitFourSeason,CashDividendYieldRate,StockNetValue,ExchangeIndustry" advise="1">
        <values cols="10">
          <value t="str">
            <val>-7.28</val>
          </value>
          <value t="str">
            <val>-5.47</val>
          </value>
          <value t="str">
            <val>-13.38</val>
          </value>
          <value t="str">
            <val>-31.49</val>
          </value>
          <value t="str">
            <val>-2.90</val>
          </value>
          <value>
            <val>0</val>
          </value>
          <value t="str">
            <val>-1.15</val>
          </value>
          <value>
            <val>0</val>
          </value>
          <value t="str">
            <val>19.70</val>
          </value>
          <value t="str">
            <val>上市通信網路</val>
          </value>
        </values>
      </ddeItem>
      <ddeItem name="2485.TW-PreTotalVolume,ChipsField25,ChipsField27,DateofMeetingofShareHolders,CompanyPos,TradingDate" advise="1">
        <values cols="6">
          <value>
            <val>4082</val>
          </value>
          <value t="str">
            <val>--</val>
          </value>
          <value t="str">
            <val>--</val>
          </value>
          <value t="str">
            <val>2021/08/26</val>
          </value>
          <value t="str">
            <val>機上盒、LNB、有線電視傳輸設備製造商</val>
          </value>
          <value t="str">
            <val>2022/01/03</val>
          </value>
        </values>
      </ddeItem>
      <ddeItem name="2489.TW-ID,Name,Price,PriceChangeRatio,Low,High,Volume,InOutRatioNumber,Capital,ProfitMargin" advise="1">
        <values cols="10">
          <value t="str">
            <val>2489</val>
          </value>
          <value t="str">
            <val>瑞軒</val>
          </value>
          <value>
            <val>17.3</val>
          </value>
          <value>
            <val>-1.7</val>
          </value>
          <value>
            <val>17.25</val>
          </value>
          <value>
            <val>17.7</val>
          </value>
          <value>
            <val>107</val>
          </value>
          <value t="str">
            <val>32.32%</val>
          </value>
          <value t="str">
            <val>76.00</val>
          </value>
          <value t="str">
            <val>7.78</val>
          </value>
        </values>
      </ddeItem>
      <ddeItem name="2489.TW-OperatingProfitRatio,NetProfitMargin,TFXRatio,MonthlyNetSalesYoY,ReturnOnAssets,DividendYear,ProfitFourSeason,CashDividendYieldRate,StockNetValue,ExchangeIndustry" advise="1">
        <values cols="10">
          <value t="str">
            <val>-2.72</val>
          </value>
          <value t="str">
            <val>34.83</val>
          </value>
          <value t="str">
            <val>-21.60</val>
          </value>
          <value t="str">
            <val>3.67</val>
          </value>
          <value t="str">
            <val>24.09</val>
          </value>
          <value>
            <val>0.14000000000000001</val>
          </value>
          <value t="str">
            <val>7.43</val>
          </value>
          <value>
            <val>0.81</val>
          </value>
          <value t="str">
            <val>22.66</val>
          </value>
          <value t="str">
            <val>上市光電</val>
          </value>
        </values>
      </ddeItem>
      <ddeItem name="2489.TW-PreTotalVolume,ChipsField25,ChipsField27,DateofMeetingofShareHolders,CompanyPos,TradingDate" advise="1">
        <values cols="6">
          <value>
            <val>1852</val>
          </value>
          <value t="str">
            <val>2021/11/19</val>
          </value>
          <value t="str">
            <val>--</val>
          </value>
          <value t="str">
            <val>2021/07/29</val>
          </value>
          <value t="str">
            <val>以Vizio及JVC雙品牌打入北美液晶電視市場</val>
          </value>
          <value t="str">
            <val>2022/01/03</val>
          </value>
        </values>
      </ddeItem>
      <ddeItem name="2538.TW-ID,Name,Price,PriceChangeRatio,Low,High,Volume,InOutRatioNumber,Capital,ProfitMargin" advise="1">
        <values cols="10">
          <value t="str">
            <val>2538</val>
          </value>
          <value t="str">
            <val>基泰</val>
          </value>
          <value>
            <val>12.25</val>
          </value>
          <value>
            <val>-2.78</val>
          </value>
          <value>
            <val>12</val>
          </value>
          <value>
            <val>12.55</val>
          </value>
          <value>
            <val>163</val>
          </value>
          <value t="str">
            <val>28.10%</val>
          </value>
          <value t="str">
            <val>43.84</val>
          </value>
          <value t="str">
            <val>57.93</val>
          </value>
        </values>
      </ddeItem>
      <ddeItem name="2538.TW-OperatingProfitRatio,NetProfitMargin,TFXRatio,MonthlyNetSalesYoY,ReturnOnAssets,DividendYear,ProfitFourSeason,CashDividendYieldRate,StockNetValue,ExchangeIndustry" advise="1">
        <values cols="10">
          <value t="str">
            <val>-23.03</val>
          </value>
          <value t="str">
            <val>-68.86</val>
          </value>
          <value t="str">
            <val>-0.80</val>
          </value>
          <value t="str">
            <val>63.15</val>
          </value>
          <value t="str">
            <val>-0.25</val>
          </value>
          <value>
            <val>0.5</val>
          </value>
          <value t="str">
            <val>-0.36</val>
          </value>
          <value>
            <val>4.08</val>
          </value>
          <value t="str">
            <val>13.49</val>
          </value>
          <value t="str">
            <val>上市建材營造</val>
          </value>
        </values>
      </ddeItem>
      <ddeItem name="2538.TW-PreTotalVolume,ChipsField25,ChipsField27,DateofMeetingofShareHolders,CompanyPos,TradingDate" advise="1">
        <values cols="6">
          <value>
            <val>1347</val>
          </value>
          <value t="str">
            <val>2021/08/17</val>
          </value>
          <value t="str">
            <val>--</val>
          </value>
          <value t="str">
            <val>2021/07/29</val>
          </value>
          <value t="str">
            <val>推案集中於大台北地區之建商</val>
          </value>
          <value t="str">
            <val>2022/01/03</val>
          </value>
        </values>
      </ddeItem>
      <ddeItem name="2542.TW-ID,Name,Price,PriceChangeRatio,Low,High,Volume,InOutRatioNumber,Capital,ProfitMargin" advise="1">
        <values cols="10">
          <value t="str">
            <val>2542</val>
          </value>
          <value t="str">
            <val>興富發</val>
          </value>
          <value>
            <val>46.25</val>
          </value>
          <value>
            <val>0</val>
          </value>
          <value>
            <val>46</val>
          </value>
          <value>
            <val>46.35</val>
          </value>
          <value>
            <val>510</val>
          </value>
          <value t="str">
            <val>34.47%</val>
          </value>
          <value t="str">
            <val>135.57</val>
          </value>
          <value t="str">
            <val>31.21</val>
          </value>
        </values>
      </ddeItem>
      <ddeItem name="2542.TW-OperatingProfitRatio,NetProfitMargin,TFXRatio,MonthlyNetSalesYoY,ReturnOnAssets,DividendYear,ProfitFourSeason,CashDividendYieldRate,StockNetValue,ExchangeIndustry" advise="1">
        <values cols="10">
          <value t="str">
            <val>23.23</val>
          </value>
          <value t="str">
            <val>23.91</val>
          </value>
          <value t="str">
            <val>11.13</val>
          </value>
          <value t="str">
            <val>66.49</val>
          </value>
          <value t="str">
            <val>4.75</val>
          </value>
          <value>
            <val>2</val>
          </value>
          <value t="str">
            <val>6.08</val>
          </value>
          <value>
            <val>4.32</val>
          </value>
          <value t="str">
            <val>29.17</val>
          </value>
          <value t="str">
            <val>上市建材營造</val>
          </value>
        </values>
      </ddeItem>
      <ddeItem name="2542.TW-PreTotalVolume,ChipsField25,ChipsField27,DateofMeetingofShareHolders,CompanyPos,TradingDate" advise="1">
        <values cols="6">
          <value>
            <val>5630</val>
          </value>
          <value t="str">
            <val>2021/09/24</val>
          </value>
          <value t="str">
            <val>--</val>
          </value>
          <value t="str">
            <val>2021/08/13</val>
          </value>
          <value t="str">
            <val>台灣前十大推案建商</val>
          </value>
          <value t="str">
            <val>2022/01/03</val>
          </value>
        </values>
      </ddeItem>
      <ddeItem name="2607.TW-ID,Name,Price,PriceChangeRatio,Low,High,Volume,InOutRatioNumber,Capital,ProfitMargin" advise="1">
        <values cols="10">
          <value t="str">
            <val>2607</val>
          </value>
          <value t="str">
            <val>榮運</val>
          </value>
          <value>
            <val>28.75</val>
          </value>
          <value>
            <val>-1.88</val>
          </value>
          <value>
            <val>28.65</val>
          </value>
          <value>
            <val>29.45</val>
          </value>
          <value>
            <val>164</val>
          </value>
          <value t="str">
            <val>32.44%</val>
          </value>
          <value t="str">
            <val>106.71</val>
          </value>
          <value t="str">
            <val>12.74</val>
          </value>
        </values>
      </ddeItem>
      <ddeItem name="2607.TW-OperatingProfitRatio,NetProfitMargin,TFXRatio,MonthlyNetSalesYoY,ReturnOnAssets,DividendYear,ProfitFourSeason,CashDividendYieldRate,StockNetValue,ExchangeIndustry" advise="1">
        <values cols="10">
          <value t="str">
            <val>9.56</val>
          </value>
          <value t="str">
            <val>13.73</val>
          </value>
          <value t="str">
            <val>-6.86</val>
          </value>
          <value t="str">
            <val>83.36</val>
          </value>
          <value t="str">
            <val>2.04</val>
          </value>
          <value>
            <val>0.3</val>
          </value>
          <value t="str">
            <val>0.79</val>
          </value>
          <value>
            <val>1.04</val>
          </value>
          <value t="str">
            <val>24.72</val>
          </value>
          <value t="str">
            <val>上市航運業</val>
          </value>
        </values>
      </ddeItem>
      <ddeItem name="2607.TW-PreTotalVolume,ChipsField25,ChipsField27,DateofMeetingofShareHolders,CompanyPos,TradingDate" advise="1">
        <values cols="6">
          <value>
            <val>2392</val>
          </value>
          <value t="str">
            <val>2021/08/11</val>
          </value>
          <value t="str">
            <val>--</val>
          </value>
          <value t="str">
            <val>2021/07/20</val>
          </value>
          <value t="str">
            <val>長榮集團旗之內陸貨櫃運輸及倉儲服務業者</val>
          </value>
          <value t="str">
            <val>2022/01/03</val>
          </value>
        </values>
      </ddeItem>
      <ddeItem name="2610.TW-ID,Name,Price,PriceChangeRatio,Low,High,Volume,InOutRatioNumber,Capital,ProfitMargin" advise="1">
        <values cols="10">
          <value t="str">
            <val>2610</val>
          </value>
          <value t="str">
            <val>華航</val>
          </value>
          <value>
            <val>26.3</val>
          </value>
          <value>
            <val>-4.54</val>
          </value>
          <value>
            <val>26.1</val>
          </value>
          <value>
            <val>27.8</val>
          </value>
          <value>
            <val>8089</val>
          </value>
          <value t="str">
            <val>36.93%</val>
          </value>
          <value t="str">
            <val>592.23</val>
          </value>
          <value t="str">
            <val>10.98</val>
          </value>
        </values>
      </ddeItem>
      <ddeItem name="2610.TW-OperatingProfitRatio,NetProfitMargin,TFXRatio,MonthlyNetSalesYoY,ReturnOnAssets,DividendYear,ProfitFourSeason,CashDividendYieldRate,StockNetValue,ExchangeIndustry" advise="1">
        <values cols="10">
          <value t="str">
            <val>5.15</val>
          </value>
          <value t="str">
            <val>1.20</val>
          </value>
          <value t="str">
            <val>2.83</val>
          </value>
          <value t="str">
            <val>52.85</val>
          </value>
          <value t="str">
            <val>0.92</val>
          </value>
          <value>
            <val>0</val>
          </value>
          <value t="str">
            <val>0.68</val>
          </value>
          <value>
            <val>0</val>
          </value>
          <value t="str">
            <val>11.03</val>
          </value>
          <value t="str">
            <val>上市航運業</val>
          </value>
        </values>
      </ddeItem>
      <ddeItem name="2610.TW-PreTotalVolume,ChipsField25,ChipsField27,DateofMeetingofShareHolders,CompanyPos,TradingDate" advise="1">
        <values cols="6">
          <value>
            <val>144940</val>
          </value>
          <value t="str">
            <val>--</val>
          </value>
          <value t="str">
            <val>--</val>
          </value>
          <value t="str">
            <val>2021/08/12</val>
          </value>
          <value t="str">
            <val>台灣最大航空公司</val>
          </value>
          <value t="str">
            <val>2022/01/03</val>
          </value>
        </values>
      </ddeItem>
      <ddeItem name="2618.TW-ID,Name,Price,PriceChangeRatio,Low,High,Volume,InOutRatioNumber,Capital,ProfitMargin" advise="1">
        <values cols="10">
          <value t="str">
            <val>2618</val>
          </value>
          <value t="str">
            <val>長榮航</val>
          </value>
          <value>
            <val>26.85</val>
          </value>
          <value>
            <val>-3.94</val>
          </value>
          <value>
            <val>26.6</val>
          </value>
          <value>
            <val>28.3</val>
          </value>
          <value>
            <val>5245</val>
          </value>
          <value t="str">
            <val>34.53%</val>
          </value>
          <value t="str">
            <val>513.89</val>
          </value>
          <value t="str">
            <val>11.18</val>
          </value>
        </values>
      </ddeItem>
      <ddeItem name="2618.TW-OperatingProfitRatio,NetProfitMargin,TFXRatio,MonthlyNetSalesYoY,ReturnOnAssets,DividendYear,ProfitFourSeason,CashDividendYieldRate,StockNetValue,ExchangeIndustry" advise="1">
        <values cols="10">
          <value t="str">
            <val>1.94</val>
          </value>
          <value t="str">
            <val>-0.84</val>
          </value>
          <value t="str">
            <val>10.63</val>
          </value>
          <value t="str">
            <val>57.10</val>
          </value>
          <value t="str">
            <val>0.56</val>
          </value>
          <value>
            <val>0</val>
          </value>
          <value t="str">
            <val>-0.06</val>
          </value>
          <value>
            <val>0</val>
          </value>
          <value t="str">
            <val>14.67</val>
          </value>
          <value t="str">
            <val>上市航運業</val>
          </value>
        </values>
      </ddeItem>
      <ddeItem name="2618.TW-PreTotalVolume,ChipsField25,ChipsField27,DateofMeetingofShareHolders,CompanyPos,TradingDate" advise="1">
        <values cols="6">
          <value>
            <val>79867</val>
          </value>
          <value t="str">
            <val>--</val>
          </value>
          <value t="str">
            <val>--</val>
          </value>
          <value t="str">
            <val>2021/07/16</val>
          </value>
          <value t="str">
            <val>台灣第2大航空公司</val>
          </value>
          <value t="str">
            <val>2022/01/03</val>
          </value>
        </values>
      </ddeItem>
      <ddeItem name="2633.TW-ID,Name,Price,PriceChangeRatio,Low,High,Volume,InOutRatioNumber,Capital,ProfitMargin" advise="1">
        <values cols="10">
          <value t="str">
            <val>2633</val>
          </value>
          <value t="str">
            <val>台灣高鐵</val>
          </value>
          <value>
            <val>29.4</val>
          </value>
          <value>
            <val>-0.68</val>
          </value>
          <value>
            <val>29.25</val>
          </value>
          <value>
            <val>29.6</val>
          </value>
          <value>
            <val>179</val>
          </value>
          <value t="str">
            <val>34.42%</val>
          </value>
          <value t="str">
            <val>562.83</val>
          </value>
          <value t="str">
            <val>6.59</val>
          </value>
        </values>
      </ddeItem>
      <ddeItem name="2633.TW-OperatingProfitRatio,NetProfitMargin,TFXRatio,MonthlyNetSalesYoY,ReturnOnAssets,DividendYear,ProfitFourSeason,CashDividendYieldRate,StockNetValue,ExchangeIndustry" advise="1">
        <values cols="10">
          <value t="str">
            <val>2.24</val>
          </value>
          <value t="str">
            <val>13.15</val>
          </value>
          <value t="str">
            <val>8.32</val>
          </value>
          <value t="str">
            <val>-16.56</val>
          </value>
          <value t="str">
            <val>1.42</val>
          </value>
          <value>
            <val>1.05</val>
          </value>
          <value t="str">
            <val>0.94</val>
          </value>
          <value>
            <val>3.57</val>
          </value>
          <value t="str">
            <val>11.88</val>
          </value>
          <value t="str">
            <val>上市航運業</val>
          </value>
        </values>
      </ddeItem>
      <ddeItem name="2633.TW-PreTotalVolume,ChipsField25,ChipsField27,DateofMeetingofShareHolders,CompanyPos,TradingDate" advise="1">
        <values cols="6">
          <value>
            <val>2433</val>
          </value>
          <value t="str">
            <val>2021/08/16</val>
          </value>
          <value t="str">
            <val>--</val>
          </value>
          <value t="str">
            <val>2021/08/12</val>
          </value>
          <value t="str">
            <val>台灣高速鐵路運輸服務公司</val>
          </value>
          <value t="str">
            <val>2022/01/03</val>
          </value>
        </values>
      </ddeItem>
      <ddeItem name="2641.TW-ID,Name,Price,PriceChangeRatio,Low,High,Volume,InOutRatioNumber,Capital,ProfitMargin" advise="1">
        <values cols="10">
          <value t="str">
            <val>2641</val>
          </value>
          <value t="str">
            <val>正德</val>
          </value>
          <value>
            <val>26</val>
          </value>
          <value>
            <val>-1.89</val>
          </value>
          <value>
            <val>25.9</val>
          </value>
          <value>
            <val>26.75</val>
          </value>
          <value>
            <val>112</val>
          </value>
          <value t="str">
            <val>21.99%</val>
          </value>
          <value t="str">
            <val>19.01</val>
          </value>
          <value t="str">
            <val>33.19</val>
          </value>
        </values>
      </ddeItem>
      <ddeItem name="2641.TW-OperatingProfitRatio,NetProfitMargin,TFXRatio,MonthlyNetSalesYoY,ReturnOnAssets,DividendYear,ProfitFourSeason,CashDividendYieldRate,StockNetValue,ExchangeIndustry" advise="1">
        <values cols="10">
          <value t="str">
            <val>25.14</val>
          </value>
          <value t="str">
            <val>25.28</val>
          </value>
          <value t="str">
            <val>-4.52</val>
          </value>
          <value t="str">
            <val>114.78</val>
          </value>
          <value t="str">
            <val>4.92</val>
          </value>
          <value>
            <val>0</val>
          </value>
          <value t="str">
            <val>1.50</val>
          </value>
          <value>
            <val>0</val>
          </value>
          <value t="str">
            <val>14.52</val>
          </value>
          <value t="str">
            <val>上櫃航運業</val>
          </value>
        </values>
      </ddeItem>
      <ddeItem name="2641.TW-PreTotalVolume,ChipsField25,ChipsField27,DateofMeetingofShareHolders,CompanyPos,TradingDate" advise="1">
        <values cols="6">
          <value>
            <val>1533</val>
          </value>
          <value t="str">
            <val>--</val>
          </value>
          <value t="str">
            <val>--</val>
          </value>
          <value t="str">
            <val>2021/08/20</val>
          </value>
          <value t="str">
            <val>以亞洲近洋航線為主力之散裝航運業者</val>
          </value>
          <value t="str">
            <val>2022/01/03</val>
          </value>
        </values>
      </ddeItem>
      <ddeItem name="2834.TW-ID,Name,Price,PriceChangeRatio,Low,High,Volume,InOutRatioNumber,Capital,ProfitMargin" advise="1">
        <values cols="10">
          <value t="str">
            <val>2834</val>
          </value>
          <value t="str">
            <val>臺企銀</val>
          </value>
          <value>
            <val>9.8699999999999992</val>
          </value>
          <value>
            <val>-0.3</val>
          </value>
          <value>
            <val>9.85</val>
          </value>
          <value>
            <val>9.9499999999999993</val>
          </value>
          <value>
            <val>690</val>
          </value>
          <value t="str">
            <val>41.98%</val>
          </value>
          <value t="str">
            <val>774.32</val>
          </value>
          <value t="str">
            <val>--</val>
          </value>
        </values>
      </ddeItem>
      <ddeItem name="2834.TW-OperatingProfitRatio,NetProfitMargin,TFXRatio,MonthlyNetSalesYoY,ReturnOnAssets,DividendYear,ProfitFourSeason,CashDividendYieldRate,StockNetValue,ExchangeIndustry" advise="1">
        <values cols="10">
          <value t="str">
            <val>--</val>
          </value>
          <value t="str">
            <val>19.05</val>
          </value>
          <value t="str">
            <val>-2.67</val>
          </value>
          <value t="str">
            <val>1.22</val>
          </value>
          <value t="str">
            <val>0.21</val>
          </value>
          <value>
            <val>0.44</val>
          </value>
          <value t="str">
            <val>0.68</val>
          </value>
          <value>
            <val>4.46</val>
          </value>
          <value t="str">
            <val>13.08</val>
          </value>
          <value t="str">
            <val>上市金融保險</val>
          </value>
        </values>
      </ddeItem>
      <ddeItem name="2834.TW-PreTotalVolume,ChipsField25,ChipsField27,DateofMeetingofShareHolders,CompanyPos,TradingDate" advise="1">
        <values cols="6">
          <value>
            <val>29862</val>
          </value>
          <value t="str">
            <val>2021/09/08</val>
          </value>
          <value t="str">
            <val>2021/09/08</val>
          </value>
          <value t="str">
            <val>2021/07/20</val>
          </value>
          <value t="str">
            <val>台灣六大泛公股銀行之一</val>
          </value>
          <value t="str">
            <val>2022/01/03</val>
          </value>
        </values>
      </ddeItem>
      <ddeItem name="2838.TW-ID,Name,Price,PriceChangeRatio,Low,High,Volume,InOutRatioNumber,Capital,ProfitMargin" advise="1">
        <values cols="10">
          <value t="str">
            <val>2838</val>
          </value>
          <value t="str">
            <val>聯邦銀</val>
          </value>
          <value>
            <val>13.4</val>
          </value>
          <value>
            <val>-1.47</val>
          </value>
          <value>
            <val>13.3</val>
          </value>
          <value>
            <val>13.6</val>
          </value>
          <value>
            <val>38</val>
          </value>
          <value t="str">
            <val>30.20%</val>
          </value>
          <value t="str">
            <val>329.52</val>
          </value>
          <value t="str">
            <val>--</val>
          </value>
        </values>
      </ddeItem>
      <ddeItem name="2838.TW-OperatingProfitRatio,NetProfitMargin,TFXRatio,MonthlyNetSalesYoY,ReturnOnAssets,DividendYear,ProfitFourSeason,CashDividendYieldRate,StockNetValue,ExchangeIndustry" advise="1">
        <values cols="10">
          <value t="str">
            <val>--</val>
          </value>
          <value t="str">
            <val>32.86</val>
          </value>
          <value t="str">
            <val>5.39</val>
          </value>
          <value t="str">
            <val>14.85</val>
          </value>
          <value t="str">
            <val>0.45</val>
          </value>
          <value>
            <val>0.63</val>
          </value>
          <value t="str">
            <val>1.44</val>
          </value>
          <value>
            <val>4.7</val>
          </value>
          <value t="str">
            <val>18.28</val>
          </value>
          <value t="str">
            <val>上市金融保險</val>
          </value>
        </values>
      </ddeItem>
      <ddeItem name="2838.TW-PreTotalVolume,ChipsField25,ChipsField27,DateofMeetingofShareHolders,CompanyPos,TradingDate" advise="1">
        <values cols="6">
          <value>
            <val>1977</val>
          </value>
          <value t="str">
            <val>--</val>
          </value>
          <value t="str">
            <val>2021/09/01</val>
          </value>
          <value t="str">
            <val>2021/07/20</val>
          </value>
          <value t="str">
            <val>三重幫林榮三家族為大股東之民營銀行</val>
          </value>
          <value t="str">
            <val>2022/01/03</val>
          </value>
        </values>
      </ddeItem>
      <ddeItem name="2867.TW-ID,Name,Price,PriceChangeRatio,Low,High,Volume,InOutRatioNumber,Capital,ProfitMargin" advise="1">
        <values cols="10">
          <value t="str">
            <val>2867</val>
          </value>
          <value t="str">
            <val>三商壽</val>
          </value>
          <value>
            <val>9.19</val>
          </value>
          <value>
            <val>-0.54</val>
          </value>
          <value>
            <val>9.16</val>
          </value>
          <value>
            <val>9.25</val>
          </value>
          <value>
            <val>114</val>
          </value>
          <value t="str">
            <val>29.38%</val>
          </value>
          <value t="str">
            <val>266.95</val>
          </value>
          <value t="str">
            <val>2.80</val>
          </value>
        </values>
      </ddeItem>
      <ddeItem name="2867.TW-OperatingProfitRatio,NetProfitMargin,TFXRatio,MonthlyNetSalesYoY,ReturnOnAssets,DividendYear,ProfitFourSeason,CashDividendYieldRate,StockNetValue,ExchangeIndustry" advise="1">
        <values cols="10">
          <value t="str">
            <val>-0.31</val>
          </value>
          <value t="str">
            <val>1.83</val>
          </value>
          <value t="str">
            <val>1.28</val>
          </value>
          <value t="str">
            <val>-37.87</val>
          </value>
          <value t="str">
            <val>0.14</val>
          </value>
          <value>
            <val>0.14000000000000001</val>
          </value>
          <value t="str">
            <val>1.22</val>
          </value>
          <value>
            <val>1.52</val>
          </value>
          <value t="str">
            <val>15.79</val>
          </value>
          <value t="str">
            <val>上市金融保險</val>
          </value>
        </values>
      </ddeItem>
      <ddeItem name="2867.TW-PreTotalVolume,ChipsField25,ChipsField27,DateofMeetingofShareHolders,CompanyPos,TradingDate" advise="1">
        <values cols="6">
          <value>
            <val>2448</val>
          </value>
          <value t="str">
            <val>--</val>
          </value>
          <value t="str">
            <val>2021/10/12</val>
          </value>
          <value t="str">
            <val>2021/08/20</val>
          </value>
          <value t="str">
            <val>台灣排名前七大的壽險公司，隸屬三商集團</val>
          </value>
          <value t="str">
            <val>2022/01/03</val>
          </value>
        </values>
      </ddeItem>
      <ddeItem name="2880.TW-ID,Name,Price,PriceChangeRatio,Low,High,Volume,InOutRatioNumber,Capital,ProfitMargin" advise="1">
        <values cols="10">
          <value t="str">
            <val>2880</val>
          </value>
          <value t="str">
            <val>華南金</val>
          </value>
          <value>
            <val>21.05</val>
          </value>
          <value>
            <val>-0.71</val>
          </value>
          <value>
            <val>21</val>
          </value>
          <value>
            <val>21.3</val>
          </value>
          <value>
            <val>393</val>
          </value>
          <value t="str">
            <val>35.10%</val>
          </value>
          <value t="str">
            <val>1319.41</val>
          </value>
          <value t="str">
            <val>--</val>
          </value>
        </values>
      </ddeItem>
      <ddeItem name="2880.TW-OperatingProfitRatio,NetProfitMargin,TFXRatio,MonthlyNetSalesYoY,ReturnOnAssets,DividendYear,ProfitFourSeason,CashDividendYieldRate,StockNetValue,ExchangeIndustry" advise="1">
        <values cols="10">
          <value t="str">
            <val>--</val>
          </value>
          <value t="str">
            <val>38.95</val>
          </value>
          <value t="str">
            <val>23.15</val>
          </value>
          <value t="str">
            <val>16.99</val>
          </value>
          <value t="str">
            <val>0.44</val>
          </value>
          <value>
            <val>0.53</val>
          </value>
          <value t="str">
            <val>1.38</val>
          </value>
          <value>
            <val>2.52</val>
          </value>
          <value t="str">
            <val>14.99</val>
          </value>
          <value t="str">
            <val>上市金融保險</val>
          </value>
        </values>
      </ddeItem>
      <ddeItem name="2880.TW-PreTotalVolume,ChipsField25,ChipsField27,DateofMeetingofShareHolders,CompanyPos,TradingDate" advise="1">
        <values cols="6">
          <value>
            <val>6479</val>
          </value>
          <value t="str">
            <val>2021/09/16</val>
          </value>
          <value t="str">
            <val>2021/09/16</val>
          </value>
          <value t="str">
            <val>2021/07/20</val>
          </value>
          <value t="str">
            <val>以銀行為主體公營金控公司，為台灣銀行界歷史悠久的三商銀之一</val>
          </value>
          <value t="str">
            <val>2022/01/03</val>
          </value>
        </values>
      </ddeItem>
      <ddeItem name="2881.TW-ID,Name,Price,PriceChangeRatio,Low,High,Volume,InOutRatioNumber,Capital,ProfitMargin" advise="1">
        <values cols="10">
          <value t="str">
            <val>2881</val>
          </value>
          <value t="str">
            <val>富邦金</val>
          </value>
          <value>
            <val>75.3</val>
          </value>
          <value>
            <val>-1.31</val>
          </value>
          <value>
            <val>75</val>
          </value>
          <value>
            <val>76.599999999999994</val>
          </value>
          <value>
            <val>532</val>
          </value>
          <value t="str">
            <val>33.07%</val>
          </value>
          <value t="str">
            <val>1180.50</val>
          </value>
          <value t="str">
            <val>--</val>
          </value>
        </values>
      </ddeItem>
      <ddeItem name="2881.TW-OperatingProfitRatio,NetProfitMargin,TFXRatio,MonthlyNetSalesYoY,ReturnOnAssets,DividendYear,ProfitFourSeason,CashDividendYieldRate,StockNetValue,ExchangeIndustry" advise="1">
        <values cols="10">
          <value t="str">
            <val>--</val>
          </value>
          <value t="str">
            <val>101.85</val>
          </value>
          <value t="str">
            <val>-1.57</val>
          </value>
          <value t="str">
            <val>-6.23</val>
          </value>
          <value t="str">
            <val>1.37</val>
          </value>
          <value>
            <val>4</val>
          </value>
          <value t="str">
            <val>14.53</val>
          </value>
          <value>
            <val>5.31</val>
          </value>
          <value t="str">
            <val>67.30</val>
          </value>
          <value t="str">
            <val>上市金融保險</val>
          </value>
        </values>
      </ddeItem>
      <ddeItem name="2881.TW-PreTotalVolume,ChipsField25,ChipsField27,DateofMeetingofShareHolders,CompanyPos,TradingDate" advise="1">
        <values cols="6">
          <value>
            <val>13553</val>
          </value>
          <value t="str">
            <val>2021/07/26</val>
          </value>
          <value t="str">
            <val>2021/09/06</val>
          </value>
          <value t="str">
            <val>2021/11/05</val>
          </value>
          <value t="str">
            <val>台灣資產規模第二大的金控公司，旗下富邦產險為台灣最大產險公司</val>
          </value>
          <value t="str">
            <val>2022/01/03</val>
          </value>
        </values>
      </ddeItem>
      <ddeItem name="2882.TW-ID,Name,Price,PriceChangeRatio,Low,High,Volume,InOutRatioNumber,Capital,ProfitMargin" advise="1">
        <values cols="10">
          <value t="str">
            <val>2882</val>
          </value>
          <value t="str">
            <val>國泰金</val>
          </value>
          <value>
            <val>61.6</val>
          </value>
          <value>
            <val>-1.44</val>
          </value>
          <value>
            <val>61.6</val>
          </value>
          <value>
            <val>62.9</val>
          </value>
          <value>
            <val>866</val>
          </value>
          <value t="str">
            <val>29.29%</val>
          </value>
          <value t="str">
            <val>1316.92</val>
          </value>
          <value t="str">
            <val>--</val>
          </value>
        </values>
      </ddeItem>
      <ddeItem name="2882.TW-OperatingProfitRatio,NetProfitMargin,TFXRatio,MonthlyNetSalesYoY,ReturnOnAssets,DividendYear,ProfitFourSeason,CashDividendYieldRate,StockNetValue,ExchangeIndustry" advise="1">
        <values cols="10">
          <value t="str">
            <val>--</val>
          </value>
          <value t="str">
            <val>74.50</val>
          </value>
          <value t="str">
            <val>23.04</val>
          </value>
          <value t="str">
            <val>-13.32</val>
          </value>
          <value t="str">
            <val>1.10</val>
          </value>
          <value>
            <val>2.5</val>
          </value>
          <value t="str">
            <val>10.09</val>
          </value>
          <value>
            <val>4.0599999999999996</val>
          </value>
          <value t="str">
            <val>58.41</val>
          </value>
          <value t="str">
            <val>上市金融保險</val>
          </value>
        </values>
      </ddeItem>
      <ddeItem name="2882.TW-PreTotalVolume,ChipsField25,ChipsField27,DateofMeetingofShareHolders,CompanyPos,TradingDate" advise="1">
        <values cols="6">
          <value>
            <val>15904</val>
          </value>
          <value t="str">
            <val>2021/07/26</val>
          </value>
          <value t="str">
            <val>--</val>
          </value>
          <value t="str">
            <val>2021/07/23</val>
          </value>
          <value t="str">
            <val>台灣資產規模最大金控公司，旗下國泰人壽為台灣最大壽險公司</val>
          </value>
          <value t="str">
            <val>2022/01/03</val>
          </value>
        </values>
      </ddeItem>
      <ddeItem name="2883.TW-ID,Name,Price,PriceChangeRatio,Low,High,Volume,InOutRatioNumber,Capital,ProfitMargin" advise="1">
        <values cols="10">
          <value t="str">
            <val>2883</val>
          </value>
          <value t="str">
            <val>開發金</val>
          </value>
          <value>
            <val>17.149999999999999</val>
          </value>
          <value>
            <val>-2</val>
          </value>
          <value>
            <val>17</val>
          </value>
          <value>
            <val>17.5</val>
          </value>
          <value>
            <val>4482</val>
          </value>
          <value t="str">
            <val>28.64%</val>
          </value>
          <value t="str">
            <val>1719.28</val>
          </value>
          <value t="str">
            <val>--</val>
          </value>
        </values>
      </ddeItem>
      <ddeItem name="2883.TW-OperatingProfitRatio,NetProfitMargin,TFXRatio,MonthlyNetSalesYoY,ReturnOnAssets,DividendYear,ProfitFourSeason,CashDividendYieldRate,StockNetValue,ExchangeIndustry" advise="1">
        <values cols="10">
          <value t="str">
            <val>--</val>
          </value>
          <value t="str">
            <val>72.32</val>
          </value>
          <value t="str">
            <val>83.81</val>
          </value>
          <value t="str">
            <val>-26.49</val>
          </value>
          <value t="str">
            <val>1.23</val>
          </value>
          <value>
            <val>0.55000000000000004</val>
          </value>
          <value t="str">
            <val>2.33</val>
          </value>
          <value>
            <val>3.21</val>
          </value>
          <value t="str">
            <val>14.81</val>
          </value>
          <value t="str">
            <val>上市金融保險</val>
          </value>
        </values>
      </ddeItem>
      <ddeItem name="2883.TW-PreTotalVolume,ChipsField25,ChipsField27,DateofMeetingofShareHolders,CompanyPos,TradingDate" advise="1">
        <values cols="6">
          <value>
            <val>116446</val>
          </value>
          <value t="str">
            <val>2021/08/10</val>
          </value>
          <value t="str">
            <val>--</val>
          </value>
          <value t="str">
            <val>2021/10/01</val>
          </value>
          <value t="str">
            <val>以投資銀行業務為主之金控，並藉購併跨入證券與商業銀行領域</val>
          </value>
          <value t="str">
            <val>2022/01/03</val>
          </value>
        </values>
      </ddeItem>
      <ddeItem name="2887.TW-ID,Name,Price,PriceChangeRatio,Low,High,Volume,InOutRatioNumber,Capital,ProfitMargin" advise="1">
        <values cols="10">
          <value t="str">
            <val>2887</val>
          </value>
          <value t="str">
            <val>台新金</val>
          </value>
          <value>
            <val>18.850000000000001</val>
          </value>
          <value>
            <val>-0.53</val>
          </value>
          <value>
            <val>18.8</val>
          </value>
          <value>
            <val>19.05</val>
          </value>
          <value>
            <val>961</val>
          </value>
          <value t="str">
            <val>26.92%</val>
          </value>
          <value t="str">
            <val>1140.94</val>
          </value>
          <value t="str">
            <val>--</val>
          </value>
        </values>
      </ddeItem>
      <ddeItem name="2887.TW-OperatingProfitRatio,NetProfitMargin,TFXRatio,MonthlyNetSalesYoY,ReturnOnAssets,DividendYear,ProfitFourSeason,CashDividendYieldRate,StockNetValue,ExchangeIndustry" advise="1">
        <values cols="10">
          <value t="str">
            <val>--</val>
          </value>
          <value t="str">
            <val>49.20</val>
          </value>
          <value t="str">
            <val>16.10</val>
          </value>
          <value t="str">
            <val>71.75</val>
          </value>
          <value t="str">
            <val>0.76</val>
          </value>
          <value>
            <val>1.01</val>
          </value>
          <value t="str">
            <val>1.86</val>
          </value>
          <value>
            <val>5.36</val>
          </value>
          <value t="str">
            <val>15.96</val>
          </value>
          <value t="str">
            <val>上市金融保險</val>
          </value>
        </values>
      </ddeItem>
      <ddeItem name="2887.TW-PreTotalVolume,ChipsField25,ChipsField27,DateofMeetingofShareHolders,CompanyPos,TradingDate" advise="1">
        <values cols="6">
          <value>
            <val>15009</val>
          </value>
          <value t="str">
            <val>2021/09/07</val>
          </value>
          <value t="str">
            <val>2021/09/07</val>
          </value>
          <value t="str">
            <val>2021/07/23</val>
          </value>
          <value t="str">
            <val>以消費金融業務為主體之台灣金控公司</val>
          </value>
          <value t="str">
            <val>2022/01/03</val>
          </value>
        </values>
      </ddeItem>
      <ddeItem name="2888.TW-ID,Name,Price,PriceChangeRatio,Low,High,Volume,InOutRatioNumber,Capital,ProfitMargin" advise="1">
        <values cols="10">
          <value t="str">
            <val>2888</val>
          </value>
          <value t="str">
            <val>新光金</val>
          </value>
          <value>
            <val>10.8</val>
          </value>
          <value>
            <val>-2.2599999999999998</val>
          </value>
          <value>
            <val>10.75</val>
          </value>
          <value>
            <val>11.05</val>
          </value>
          <value>
            <val>3070</val>
          </value>
          <value t="str">
            <val>29.54%</val>
          </value>
          <value t="str">
            <val>1411.09</val>
          </value>
          <value t="str">
            <val>--</val>
          </value>
        </values>
      </ddeItem>
      <ddeItem name="2888.TW-OperatingProfitRatio,NetProfitMargin,TFXRatio,MonthlyNetSalesYoY,ReturnOnAssets,DividendYear,ProfitFourSeason,CashDividendYieldRate,StockNetValue,ExchangeIndustry" advise="1">
        <values cols="10">
          <value t="str">
            <val>--</val>
          </value>
          <value t="str">
            <val>26.02</val>
          </value>
          <value t="str">
            <val>46.59</val>
          </value>
          <value t="str">
            <val>-28.19</val>
          </value>
          <value t="str">
            <val>0.48</val>
          </value>
          <value>
            <val>0.4</val>
          </value>
          <value t="str">
            <val>1.40</val>
          </value>
          <value>
            <val>3.7</val>
          </value>
          <value t="str">
            <val>17.39</val>
          </value>
          <value t="str">
            <val>上市金融保險</val>
          </value>
        </values>
      </ddeItem>
      <ddeItem name="2888.TW-PreTotalVolume,ChipsField25,ChipsField27,DateofMeetingofShareHolders,CompanyPos,TradingDate" advise="1">
        <values cols="6">
          <value>
            <val>69372</val>
          </value>
          <value t="str">
            <val>2021/07/29</val>
          </value>
          <value t="str">
            <val>--</val>
          </value>
          <value t="str">
            <val>2021/07/02</val>
          </value>
          <value t="str">
            <val>以壽險為主體的金控公司，旗下新光人壽為台灣前五大保險公司</val>
          </value>
          <value t="str">
            <val>2022/01/03</val>
          </value>
        </values>
      </ddeItem>
      <ddeItem name="2889.TW-ID,Name,Price,PriceChangeRatio,Low,High,Volume,InOutRatioNumber,Capital,ProfitMargin" advise="1">
        <values cols="10">
          <value t="str">
            <val>2889</val>
          </value>
          <value t="str">
            <val>國票金</val>
          </value>
          <value>
            <val>15.95</val>
          </value>
          <value>
            <val>-0.62</val>
          </value>
          <value>
            <val>15.95</val>
          </value>
          <value>
            <val>16.05</val>
          </value>
          <value>
            <val>336</val>
          </value>
          <value t="str">
            <val>32.90%</val>
          </value>
          <value t="str">
            <val>299.75</val>
          </value>
          <value t="str">
            <val>--</val>
          </value>
        </values>
      </ddeItem>
      <ddeItem name="2889.TW-OperatingProfitRatio,NetProfitMargin,TFXRatio,MonthlyNetSalesYoY,ReturnOnAssets,DividendYear,ProfitFourSeason,CashDividendYieldRate,StockNetValue,ExchangeIndustry" advise="1">
        <values cols="10">
          <value t="str">
            <val>--</val>
          </value>
          <value t="str">
            <val>58.33</val>
          </value>
          <value t="str">
            <val>38.92</val>
          </value>
          <value t="str">
            <val>22.48</val>
          </value>
          <value t="str">
            <val>1.08</val>
          </value>
          <value>
            <val>1</val>
          </value>
          <value t="str">
            <val>1.32</val>
          </value>
          <value>
            <val>6.27</val>
          </value>
          <value t="str">
            <val>13.33</val>
          </value>
          <value t="str">
            <val>上市金融保險</val>
          </value>
        </values>
      </ddeItem>
      <ddeItem name="2889.TW-PreTotalVolume,ChipsField25,ChipsField27,DateofMeetingofShareHolders,CompanyPos,TradingDate" advise="1">
        <values cols="6">
          <value>
            <val>5845</val>
          </value>
          <value t="str">
            <val>2021/07/27</val>
          </value>
          <value t="str">
            <val>2021/10/06</val>
          </value>
          <value t="str">
            <val>2021/12/02</val>
          </value>
          <value t="str">
            <val>台灣唯一以票券業務為主體之金控公司</val>
          </value>
          <value t="str">
            <val>2022/01/03</val>
          </value>
        </values>
      </ddeItem>
      <ddeItem name="3013.TW-ID,Name,Price,PriceChangeRatio,Low,High,Volume,InOutRatioNumber,Capital,ProfitMargin" advise="1">
        <values cols="10">
          <value t="str">
            <val>3013</val>
          </value>
          <value t="str">
            <val>晟銘電</val>
          </value>
          <value>
            <val>15.85</val>
          </value>
          <value>
            <val>2.59</val>
          </value>
          <value>
            <val>15.2</val>
          </value>
          <value>
            <val>15.85</val>
          </value>
          <value>
            <val>103</val>
          </value>
          <value t="str">
            <val>34.67%</val>
          </value>
          <value t="str">
            <val>15.59</val>
          </value>
          <value t="str">
            <val>4.63</val>
          </value>
        </values>
      </ddeItem>
      <ddeItem name="3013.TW-OperatingProfitRatio,NetProfitMargin,TFXRatio,MonthlyNetSalesYoY,ReturnOnAssets,DividendYear,ProfitFourSeason,CashDividendYieldRate,StockNetValue,ExchangeIndustry" advise="1">
        <values cols="10">
          <value t="str">
            <val>-3.11</val>
          </value>
          <value t="str">
            <val>-2.26</val>
          </value>
          <value t="str">
            <val>32.72</val>
          </value>
          <value t="str">
            <val>11.49</val>
          </value>
          <value t="str">
            <val>-1.36</val>
          </value>
          <value>
            <val>0.3</val>
          </value>
          <value t="str">
            <val>-0.67</val>
          </value>
          <value>
            <val>1.89</val>
          </value>
          <value t="str">
            <val>14.53</val>
          </value>
          <value t="str">
            <val>上市電腦及週邊設備</val>
          </value>
        </values>
      </ddeItem>
      <ddeItem name="3013.TW-PreTotalVolume,ChipsField25,ChipsField27,DateofMeetingofShareHolders,CompanyPos,TradingDate" advise="1">
        <values cols="6">
          <value>
            <val>1121</val>
          </value>
          <value t="str">
            <val>2021/08/16</val>
          </value>
          <value t="str">
            <val>--</val>
          </value>
          <value t="str">
            <val>2021/07/30</val>
          </value>
          <value t="str">
            <val>台灣電腦機殼OEM/ODM製造商</val>
          </value>
          <value t="str">
            <val>2022/01/03</val>
          </value>
        </values>
      </ddeItem>
      <ddeItem name="3031.TW-ID,Name,Price,PriceChangeRatio,Low,High,Volume,InOutRatioNumber,Capital,ProfitMargin" advise="1">
        <values cols="10">
          <value t="str">
            <val>3031</val>
          </value>
          <value t="str">
            <val>佰鴻</val>
          </value>
          <value>
            <val>25.55</val>
          </value>
          <value>
            <val>-1.1599999999999999</val>
          </value>
          <value>
            <val>25.5</val>
          </value>
          <value>
            <val>26.3</val>
          </value>
          <value>
            <val>88</val>
          </value>
          <value t="str">
            <val>30.85%</val>
          </value>
          <value t="str">
            <val>18.17</val>
          </value>
          <value t="str">
            <val>29.76</val>
          </value>
        </values>
      </ddeItem>
      <ddeItem name="3031.TW-OperatingProfitRatio,NetProfitMargin,TFXRatio,MonthlyNetSalesYoY,ReturnOnAssets,DividendYear,ProfitFourSeason,CashDividendYieldRate,StockNetValue,ExchangeIndustry" advise="1">
        <values cols="10">
          <value t="str">
            <val>11.24</val>
          </value>
          <value t="str">
            <val>18.77</val>
          </value>
          <value t="str">
            <val>13.29</val>
          </value>
          <value t="str">
            <val>-4.63</val>
          </value>
          <value t="str">
            <val>6.33</val>
          </value>
          <value>
            <val>0.8</val>
          </value>
          <value t="str">
            <val>1.46</val>
          </value>
          <value>
            <val>3.13</val>
          </value>
          <value t="str">
            <val>15.60</val>
          </value>
          <value t="str">
            <val>上市光電</val>
          </value>
        </values>
      </ddeItem>
      <ddeItem name="3031.TW-PreTotalVolume,ChipsField25,ChipsField27,DateofMeetingofShareHolders,CompanyPos,TradingDate" advise="1">
        <values cols="6">
          <value>
            <val>1797</val>
          </value>
          <value t="str">
            <val>2021/07/02</val>
          </value>
          <value t="str">
            <val>--</val>
          </value>
          <value t="str">
            <val>2021/08/12</val>
          </value>
          <value t="str">
            <val>台灣LED封裝暨紅外線傳輸模組廠商</val>
          </value>
          <value t="str">
            <val>2022/01/03</val>
          </value>
        </values>
      </ddeItem>
      <ddeItem name="3105.TW-ID,Name,Price,PriceChangeRatio,Low,High,Volume,InOutRatioNumber,Capital,ProfitMargin" advise="1">
        <values cols="10">
          <value t="str">
            <val>3105</val>
          </value>
          <value t="str">
            <val>穩懋</val>
          </value>
          <value>
            <val>372</val>
          </value>
          <value>
            <val>-0.67</val>
          </value>
          <value>
            <val>371</val>
          </value>
          <value>
            <val>379</val>
          </value>
          <value>
            <val>164</val>
          </value>
          <value t="str">
            <val>27.67%</val>
          </value>
          <value t="str">
            <val>42.40</val>
          </value>
          <value t="str">
            <val>36.11</val>
          </value>
        </values>
      </ddeItem>
      <ddeItem name="3105.TW-OperatingProfitRatio,NetProfitMargin,TFXRatio,MonthlyNetSalesYoY,ReturnOnAssets,DividendYear,ProfitFourSeason,CashDividendYieldRate,StockNetValue,ExchangeIndustry" advise="1">
        <values cols="10">
          <value t="str">
            <val>23.28</val>
          </value>
          <value t="str">
            <val>18.56</val>
          </value>
          <value t="str">
            <val>0.72</val>
          </value>
          <value t="str">
            <val>4.61</val>
          </value>
          <value t="str">
            <val>5.84</val>
          </value>
          <value>
            <val>10</val>
          </value>
          <value t="str">
            <val>11.78</val>
          </value>
          <value>
            <val>2.69</val>
          </value>
          <value t="str">
            <val>77.34</val>
          </value>
          <value t="str">
            <val>上櫃半導體</val>
          </value>
        </values>
      </ddeItem>
      <ddeItem name="3105.TW-PreTotalVolume,ChipsField25,ChipsField27,DateofMeetingofShareHolders,CompanyPos,TradingDate" advise="1">
        <values cols="6">
          <value>
            <val>2353</val>
          </value>
          <value t="str">
            <val>2021/07/07</val>
          </value>
          <value t="str">
            <val>--</val>
          </value>
          <value t="str">
            <val>2021/07/22</val>
          </value>
          <value t="str">
            <val>全球最大砷化鎵晶圓代工廠</val>
          </value>
          <value t="str">
            <val>2022/01/03</val>
          </value>
        </values>
      </ddeItem>
      <ddeItem name="3169.TW-ID,Name,Price,PriceChangeRatio,Low,High,Volume,InOutRatioNumber,Capital,ProfitMargin" advise="1">
        <values cols="10">
          <value t="str">
            <val>3169</val>
          </value>
          <value t="str">
            <val>亞信</val>
          </value>
          <value>
            <val>269.5</val>
          </value>
          <value>
            <val>-2.71</val>
          </value>
          <value>
            <val>269</val>
          </value>
          <value>
            <val>279.5</val>
          </value>
          <value>
            <val>310</val>
          </value>
          <value t="str">
            <val>30.96%</val>
          </value>
          <value t="str">
            <val>6.22</val>
          </value>
          <value t="str">
            <val>56.50</val>
          </value>
        </values>
      </ddeItem>
      <ddeItem name="3169.TW-OperatingProfitRatio,NetProfitMargin,TFXRatio,MonthlyNetSalesYoY,ReturnOnAssets,DividendYear,ProfitFourSeason,CashDividendYieldRate,StockNetValue,ExchangeIndustry" advise="1">
        <values cols="10">
          <value t="str">
            <val>32.90</val>
          </value>
          <value t="str">
            <val>29.09</val>
          </value>
          <value t="str">
            <val>0.15</val>
          </value>
          <value t="str">
            <val>100.45</val>
          </value>
          <value t="str">
            <val>17.94</val>
          </value>
          <value>
            <val>2.5</val>
          </value>
          <value t="str">
            <val>5.50</val>
          </value>
          <value>
            <val>0.93</val>
          </value>
          <value t="str">
            <val>24.58</val>
          </value>
          <value t="str">
            <val>上櫃半導體</val>
          </value>
        </values>
      </ddeItem>
      <ddeItem name="3169.TW-PreTotalVolume,ChipsField25,ChipsField27,DateofMeetingofShareHolders,CompanyPos,TradingDate" advise="1">
        <values cols="6">
          <value>
            <val>7508</val>
          </value>
          <value t="str">
            <val>2021/08/26</val>
          </value>
          <value t="str">
            <val>--</val>
          </value>
          <value t="str">
            <val>2021/07/22</val>
          </value>
          <value t="str">
            <val>台灣乙太網路控制晶片廠</val>
          </value>
          <value t="str">
            <val>2022/01/03</val>
          </value>
        </values>
      </ddeItem>
      <ddeItem name="3202.TW-ID,Name,Price,PriceChangeRatio,Low,High,Volume,InOutRatioNumber,Capital,ProfitMargin" advise="1">
        <values cols="10">
          <value t="str">
            <val>3202</val>
          </value>
          <value t="str">
            <val>樺晟</val>
          </value>
          <value>
            <val>20</val>
          </value>
          <value>
            <val>-1.96</val>
          </value>
          <value>
            <val>19.899999999999999</val>
          </value>
          <value>
            <val>20.75</val>
          </value>
          <value>
            <val>110</val>
          </value>
          <value t="str">
            <val>31.00%</val>
          </value>
          <value t="str">
            <val>11.72</val>
          </value>
          <value t="str">
            <val>14.89</val>
          </value>
        </values>
      </ddeItem>
      <ddeItem name="3202.TW-OperatingProfitRatio,NetProfitMargin,TFXRatio,MonthlyNetSalesYoY,ReturnOnAssets,DividendYear,ProfitFourSeason,CashDividendYieldRate,StockNetValue,ExchangeIndustry" advise="1">
        <values cols="10">
          <value t="str">
            <val>2.17</val>
          </value>
          <value t="str">
            <val>4.60</val>
          </value>
          <value t="str">
            <val>7.54</val>
          </value>
          <value t="str">
            <val>5.31</val>
          </value>
          <value t="str">
            <val>3.91</val>
          </value>
          <value>
            <val>0</val>
          </value>
          <value t="str">
            <val>-0.73</val>
          </value>
          <value>
            <val>0</val>
          </value>
          <value t="str">
            <val>9.79</val>
          </value>
          <value t="str">
            <val>上櫃電子零組件</val>
          </value>
        </values>
      </ddeItem>
      <ddeItem name="3202.TW-PreTotalVolume,ChipsField25,ChipsField27,DateofMeetingofShareHolders,CompanyPos,TradingDate" advise="1">
        <values cols="6">
          <value>
            <val>7526</val>
          </value>
          <value t="str">
            <val>--</val>
          </value>
          <value t="str">
            <val>--</val>
          </value>
          <value t="str">
            <val>2021/07/05</val>
          </value>
          <value t="str">
            <val>台灣極細同軸線龍頭</val>
          </value>
          <value t="str">
            <val>2022/01/03</val>
          </value>
        </values>
      </ddeItem>
      <ddeItem name="3260.TW-ID,Name,Price,PriceChangeRatio,Low,High,Volume,InOutRatioNumber,Capital,ProfitMargin" advise="1">
        <values cols="10">
          <value t="str">
            <val>3260</val>
          </value>
          <value t="str">
            <val>威剛</val>
          </value>
          <value>
            <val>90.7</val>
          </value>
          <value>
            <val>-1.73</val>
          </value>
          <value>
            <val>90.6</val>
          </value>
          <value>
            <val>92.8</val>
          </value>
          <value>
            <val>316</val>
          </value>
          <value t="str">
            <val>23.53%</val>
          </value>
          <value t="str">
            <val>26.15</val>
          </value>
          <value t="str">
            <val>15.94</val>
          </value>
        </values>
      </ddeItem>
      <ddeItem name="3260.TW-OperatingProfitRatio,NetProfitMargin,TFXRatio,MonthlyNetSalesYoY,ReturnOnAssets,DividendYear,ProfitFourSeason,CashDividendYieldRate,StockNetValue,ExchangeIndustry" advise="1">
        <values cols="10">
          <value t="str">
            <val>7.23</val>
          </value>
          <value t="str">
            <val>7.67</val>
          </value>
          <value t="str">
            <val>7.66</val>
          </value>
          <value t="str">
            <val>14.52</val>
          </value>
          <value t="str">
            <val>7.56</val>
          </value>
          <value>
            <val>3.18</val>
          </value>
          <value t="str">
            <val>10.55</val>
          </value>
          <value>
            <val>3.51</val>
          </value>
          <value t="str">
            <val>45.78</val>
          </value>
          <value t="str">
            <val>上櫃半導體</val>
          </value>
        </values>
      </ddeItem>
      <ddeItem name="3260.TW-PreTotalVolume,ChipsField25,ChipsField27,DateofMeetingofShareHolders,CompanyPos,TradingDate" advise="1">
        <values cols="6">
          <value>
            <val>17246</val>
          </value>
          <value t="str">
            <val>2021/08/09</val>
          </value>
          <value t="str">
            <val>--</val>
          </value>
          <value t="str">
            <val>2021/07/12</val>
          </value>
          <value t="str">
            <val>全球第二大記憶體模組廠</val>
          </value>
          <value t="str">
            <val>2022/01/03</val>
          </value>
        </values>
      </ddeItem>
      <ddeItem name="3276.TW-ID,Name,Price,PriceChangeRatio,Low,High,Volume,InOutRatioNumber,Capital,ProfitMargin" advise="1">
        <values cols="10">
          <value t="str">
            <val>3276</val>
          </value>
          <value t="str">
            <val>宇環</val>
          </value>
          <value>
            <val>19.25</val>
          </value>
          <value>
            <val>-2.2799999999999998</val>
          </value>
          <value>
            <val>19.149999999999999</val>
          </value>
          <value>
            <val>19.899999999999999</val>
          </value>
          <value>
            <val>74</val>
          </value>
          <value t="str">
            <val>28.76%</val>
          </value>
          <value t="str">
            <val>6.97</val>
          </value>
          <value t="str">
            <val>5.09</val>
          </value>
        </values>
      </ddeItem>
      <ddeItem name="3276.TW-OperatingProfitRatio,NetProfitMargin,TFXRatio,MonthlyNetSalesYoY,ReturnOnAssets,DividendYear,ProfitFourSeason,CashDividendYieldRate,StockNetValue,ExchangeIndustry" advise="1">
        <values cols="10">
          <value t="str">
            <val>-0.38</val>
          </value>
          <value t="str">
            <val>4.85</val>
          </value>
          <value t="str">
            <val>17.23</val>
          </value>
          <value t="str">
            <val>30.69</val>
          </value>
          <value t="str">
            <val>3.10</val>
          </value>
          <value>
            <val>0</val>
          </value>
          <value t="str">
            <val>1.22</val>
          </value>
          <value>
            <val>0</val>
          </value>
          <value t="str">
            <val>10.30</val>
          </value>
          <value t="str">
            <val>上櫃電子零組件</val>
          </value>
        </values>
      </ddeItem>
      <ddeItem name="3276.TW-PreTotalVolume,ChipsField25,ChipsField27,DateofMeetingofShareHolders,CompanyPos,TradingDate" advise="1">
        <values cols="6">
          <value>
            <val>1724</val>
          </value>
          <value t="str">
            <val>--</val>
          </value>
          <value t="str">
            <val>--</val>
          </value>
          <value t="str">
            <val>2021/07/01</val>
          </value>
          <value t="str">
            <val>志超轉投資印刷電路板公司</val>
          </value>
          <value t="str">
            <val>2022/01/03</val>
          </value>
        </values>
      </ddeItem>
      <ddeItem name="3481.TW-ID,Name,Price,PriceChangeRatio,Low,High,Volume,InOutRatioNumber,Capital,ProfitMargin" advise="1">
        <values cols="10">
          <value t="str">
            <val>3481</val>
          </value>
          <value t="str">
            <val>群創</val>
          </value>
          <value>
            <val>19.2</val>
          </value>
          <value>
            <val>-2.04</val>
          </value>
          <value>
            <val>19.2</val>
          </value>
          <value>
            <val>19.8</val>
          </value>
          <value>
            <val>7322</val>
          </value>
          <value t="str">
            <val>27.42%</val>
          </value>
          <value t="str">
            <val>1055.96</val>
          </value>
          <value t="str">
            <val>29.37</val>
          </value>
        </values>
      </ddeItem>
      <ddeItem name="3481.TW-OperatingProfitRatio,NetProfitMargin,TFXRatio,MonthlyNetSalesYoY,ReturnOnAssets,DividendYear,ProfitFourSeason,CashDividendYieldRate,StockNetValue,ExchangeIndustry" advise="1">
        <values cols="10">
          <value t="str">
            <val>21.35</val>
          </value>
          <value t="str">
            <val>19.10</val>
          </value>
          <value t="str">
            <val>-0.80</val>
          </value>
          <value t="str">
            <val>1.90</val>
          </value>
          <value t="str">
            <val>12.41</val>
          </value>
          <value>
            <val>0.4</val>
          </value>
          <value t="str">
            <val>6.07</val>
          </value>
          <value>
            <val>2.08</val>
          </value>
          <value t="str">
            <val>28.18</val>
          </value>
          <value t="str">
            <val>上市光電</val>
          </value>
        </values>
      </ddeItem>
      <ddeItem name="3481.TW-PreTotalVolume,ChipsField25,ChipsField27,DateofMeetingofShareHolders,CompanyPos,TradingDate" advise="1">
        <values cols="6">
          <value>
            <val>115212</val>
          </value>
          <value t="str">
            <val>2021/07/27</val>
          </value>
          <value t="str">
            <val>--</val>
          </value>
          <value t="str">
            <val>2021/07/01</val>
          </value>
          <value t="str">
            <val>全球知名面板大廠</val>
          </value>
          <value t="str">
            <val>2022/01/03</val>
          </value>
        </values>
      </ddeItem>
      <ddeItem name="3490.TW-ID,Name,Price,PriceChangeRatio,Low,High,Volume,InOutRatioNumber,Capital,ProfitMargin" advise="1">
        <values cols="10">
          <value t="str">
            <val>3490</val>
          </value>
          <value t="str">
            <val>單井</val>
          </value>
          <value>
            <val>34.200000000000003</val>
          </value>
          <value>
            <val>-4.34</val>
          </value>
          <value>
            <val>34.049999999999997</val>
          </value>
          <value>
            <val>36.200000000000003</val>
          </value>
          <value>
            <val>128</val>
          </value>
          <value t="str">
            <val>27.21%</val>
          </value>
          <value t="str">
            <val>5.70</val>
          </value>
          <value t="str">
            <val>39.64</val>
          </value>
        </values>
      </ddeItem>
      <ddeItem name="3490.TW-OperatingProfitRatio,NetProfitMargin,TFXRatio,MonthlyNetSalesYoY,ReturnOnAssets,DividendYear,ProfitFourSeason,CashDividendYieldRate,StockNetValue,ExchangeIndustry" advise="1">
        <values cols="10">
          <value t="str">
            <val>22.70</val>
          </value>
          <value t="str">
            <val>22.19</val>
          </value>
          <value t="str">
            <val>12.11</val>
          </value>
          <value t="str">
            <val>9.28</val>
          </value>
          <value t="str">
            <val>5.30</val>
          </value>
          <value>
            <val>0.7</val>
          </value>
          <value t="str">
            <val>1.98</val>
          </value>
          <value>
            <val>2.0499999999999998</val>
          </value>
          <value t="str">
            <val>21.85</val>
          </value>
          <value t="str">
            <val>上櫃光電</val>
          </value>
        </values>
      </ddeItem>
      <ddeItem name="3490.TW-PreTotalVolume,ChipsField25,ChipsField27,DateofMeetingofShareHolders,CompanyPos,TradingDate" advise="1">
        <values cols="6">
          <value>
            <val>6712</val>
          </value>
          <value t="str">
            <val>2021/08/04</val>
          </value>
          <value t="str">
            <val>--</val>
          </value>
          <value t="str">
            <val>2021/07/30</val>
          </value>
          <value t="str">
            <val>台灣半導體封裝模具、自動化設備及太陽能系統安裝廠商</val>
          </value>
          <value t="str">
            <val>2022/01/03</val>
          </value>
        </values>
      </ddeItem>
      <ddeItem name="3576.TW-ID,Name,Price,PriceChangeRatio,Low,High,Volume,InOutRatioNumber,Capital,ProfitMargin" advise="1">
        <values cols="10">
          <value t="str">
            <val>3576</val>
          </value>
          <value t="str">
            <val>聯合再生</val>
          </value>
          <value>
            <val>21.7</val>
          </value>
          <value>
            <val>-0.69</val>
          </value>
          <value>
            <val>21.7</val>
          </value>
          <value>
            <val>22.05</val>
          </value>
          <value>
            <val>196</val>
          </value>
          <value t="str">
            <val>23.75%</val>
          </value>
          <value t="str">
            <val>162.79</val>
          </value>
          <value t="str">
            <val>4.30</val>
          </value>
        </values>
      </ddeItem>
      <ddeItem name="3576.TW-OperatingProfitRatio,NetProfitMargin,TFXRatio,MonthlyNetSalesYoY,ReturnOnAssets,DividendYear,ProfitFourSeason,CashDividendYieldRate,StockNetValue,ExchangeIndustry" advise="1">
        <values cols="10">
          <value t="str">
            <val>-6.37</val>
          </value>
          <value t="str">
            <val>-8.67</val>
          </value>
          <value t="str">
            <val>-3.44</val>
          </value>
          <value t="str">
            <val>48.51</val>
          </value>
          <value t="str">
            <val>-1.99</val>
          </value>
          <value>
            <val>0</val>
          </value>
          <value t="str">
            <val>-2.78</val>
          </value>
          <value>
            <val>0</val>
          </value>
          <value t="str">
            <val>8.93</val>
          </value>
          <value t="str">
            <val>上市光電</val>
          </value>
        </values>
      </ddeItem>
      <ddeItem name="3576.TW-PreTotalVolume,ChipsField25,ChipsField27,DateofMeetingofShareHolders,CompanyPos,TradingDate" advise="1">
        <values cols="6">
          <value>
            <val>5430</val>
          </value>
          <value t="str">
            <val>--</val>
          </value>
          <value t="str">
            <val>--</val>
          </value>
          <value t="str">
            <val>2021/05/07</val>
          </value>
          <value t="str">
            <val>台灣太陽能電池模組龍頭</val>
          </value>
          <value t="str">
            <val>2022/01/03</val>
          </value>
        </values>
      </ddeItem>
      <ddeItem name="3710.TW-ID,Name,Price,PriceChangeRatio,Low,High,Volume,InOutRatioNumber,Capital,ProfitMargin" advise="1">
        <values cols="10">
          <value t="str">
            <val>3710</val>
          </value>
          <value t="str">
            <val>連展投控</val>
          </value>
          <value>
            <val>9.6999999999999993</val>
          </value>
          <value>
            <val>-1.52</val>
          </value>
          <value>
            <val>9.68</val>
          </value>
          <value>
            <val>9.98</val>
          </value>
          <value>
            <val>23</val>
          </value>
          <value t="str">
            <val>26.01%</val>
          </value>
          <value t="str">
            <val>21.20</val>
          </value>
          <value t="str">
            <val>14.94</val>
          </value>
        </values>
      </ddeItem>
      <ddeItem name="3710.TW-OperatingProfitRatio,NetProfitMargin,TFXRatio,MonthlyNetSalesYoY,ReturnOnAssets,DividendYear,ProfitFourSeason,CashDividendYieldRate,StockNetValue,ExchangeIndustry" advise="1">
        <values cols="10">
          <value t="str">
            <val>-4.63</val>
          </value>
          <value t="str">
            <val>-4.92</val>
          </value>
          <value t="str">
            <val>9.02</val>
          </value>
          <value t="str">
            <val>-0.18</val>
          </value>
          <value t="str">
            <val>-1.66</val>
          </value>
          <value>
            <val>0</val>
          </value>
          <value t="str">
            <val>-1.56</val>
          </value>
          <value>
            <val>0</val>
          </value>
          <value t="str">
            <val>8.55</val>
          </value>
          <value t="str">
            <val>上櫃電子零組件</val>
          </value>
        </values>
      </ddeItem>
      <ddeItem name="3710.TW-PreTotalVolume,ChipsField25,ChipsField27,DateofMeetingofShareHolders,CompanyPos,TradingDate" advise="1">
        <values cols="6">
          <value>
            <val>1228</val>
          </value>
          <value t="str">
            <val>--</val>
          </value>
          <value t="str">
            <val>--</val>
          </value>
          <value t="str">
            <val>2021/07/20</val>
          </value>
          <value t="str">
            <val>手機隱藏式天線及I/O連接器廠</val>
          </value>
          <value t="str">
            <val>2022/01/03</val>
          </value>
        </values>
      </ddeItem>
      <ddeItem name="4128.TW-ID,Name,Price,PriceChangeRatio,Low,High,Volume,InOutRatioNumber,Capital,ProfitMargin" advise="1">
        <values cols="10">
          <value t="str">
            <val>4128</val>
          </value>
          <value t="str">
            <val>中天</val>
          </value>
          <value>
            <val>66.7</val>
          </value>
          <value>
            <val>-3.75</val>
          </value>
          <value>
            <val>66</val>
          </value>
          <value>
            <val>69</val>
          </value>
          <value>
            <val>136</val>
          </value>
          <value t="str">
            <val>30.66%</val>
          </value>
          <value t="str">
            <val>46.63</val>
          </value>
          <value t="str">
            <val>40.11</val>
          </value>
        </values>
      </ddeItem>
      <ddeItem name="4128.TW-OperatingProfitRatio,NetProfitMargin,TFXRatio,MonthlyNetSalesYoY,ReturnOnAssets,DividendYear,ProfitFourSeason,CashDividendYieldRate,StockNetValue,ExchangeIndustry" advise="1">
        <values cols="10">
          <value t="str">
            <val>-44.61</val>
          </value>
          <value t="str">
            <val>-37.29</val>
          </value>
          <value t="str">
            <val>2.84</val>
          </value>
          <value t="str">
            <val>7.79</val>
          </value>
          <value t="str">
            <val>-3.60</val>
          </value>
          <value>
            <val>0.98</val>
          </value>
          <value t="str">
            <val>-5.09</val>
          </value>
          <value>
            <val>1.47</val>
          </value>
          <value t="str">
            <val>25.18</val>
          </value>
          <value t="str">
            <val>上櫃生技醫療</val>
          </value>
        </values>
      </ddeItem>
      <ddeItem name="4128.TW-PreTotalVolume,ChipsField25,ChipsField27,DateofMeetingofShareHolders,CompanyPos,TradingDate" advise="1">
        <values cols="6">
          <value>
            <val>2114</val>
          </value>
          <value t="str">
            <val>--</val>
          </value>
          <value t="str">
            <val>2021/09/28</val>
          </value>
          <value t="str">
            <val>2021/08/20</val>
          </value>
          <value t="str">
            <val>台灣首家符合GMP之發酵中藥廠，並經營棉花田有機食品通路</val>
          </value>
          <value t="str">
            <val>2022/01/03</val>
          </value>
        </values>
      </ddeItem>
      <ddeItem name="4133.TW-ID,Name,Price,PriceChangeRatio,Low,High,Volume,InOutRatioNumber,Capital,ProfitMargin" advise="1">
        <values cols="10">
          <value t="str">
            <val>4133</val>
          </value>
          <value t="str">
            <val>亞諾法</val>
          </value>
          <value>
            <val>43.3</val>
          </value>
          <value>
            <val>-0.56999999999999995</val>
          </value>
          <value>
            <val>43</val>
          </value>
          <value>
            <val>45.05</val>
          </value>
          <value>
            <val>93</val>
          </value>
          <value t="str">
            <val>33.80%</val>
          </value>
          <value t="str">
            <val>6.06</val>
          </value>
          <value t="str">
            <val>44.80</val>
          </value>
        </values>
      </ddeItem>
      <ddeItem name="4133.TW-OperatingProfitRatio,NetProfitMargin,TFXRatio,MonthlyNetSalesYoY,ReturnOnAssets,DividendYear,ProfitFourSeason,CashDividendYieldRate,StockNetValue,ExchangeIndustry" advise="1">
        <values cols="10">
          <value t="str">
            <val>11.93</val>
          </value>
          <value t="str">
            <val>8.40</val>
          </value>
          <value t="str">
            <val>22.34</val>
          </value>
          <value t="str">
            <val>-2.38</val>
          </value>
          <value t="str">
            <val>2.34</val>
          </value>
          <value>
            <val>0.6</val>
          </value>
          <value t="str">
            <val>0.65</val>
          </value>
          <value>
            <val>1.39</val>
          </value>
          <value t="str">
            <val>19.78</val>
          </value>
          <value t="str">
            <val>上市生技醫療</val>
          </value>
        </values>
      </ddeItem>
      <ddeItem name="4133.TW-PreTotalVolume,ChipsField25,ChipsField27,DateofMeetingofShareHolders,CompanyPos,TradingDate" advise="1">
        <values cols="6">
          <value>
            <val>2342</val>
          </value>
          <value t="str">
            <val>2021/07/22</val>
          </value>
          <value t="str">
            <val>--</val>
          </value>
          <value t="str">
            <val>2021/07/07</val>
          </value>
          <value t="str">
            <val>全球最大的抗體及重組蛋白生產商</val>
          </value>
          <value t="str">
            <val>2022/01/03</val>
          </value>
        </values>
      </ddeItem>
      <ddeItem name="4141.TW-ID,Name,Price,PriceChangeRatio,Low,High,Volume,InOutRatioNumber,Capital,ProfitMargin" advise="1">
        <values cols="10">
          <value t="str">
            <val>4141</val>
          </value>
          <value t="str">
            <val>龍燈-KY</val>
          </value>
          <value>
            <val>25.15</val>
          </value>
          <value>
            <val>0.4</val>
          </value>
          <value>
            <val>25</val>
          </value>
          <value>
            <val>25.25</val>
          </value>
          <value>
            <val>14</val>
          </value>
          <value t="str">
            <val>23.36%</val>
          </value>
          <value t="str">
            <val>19.10</val>
          </value>
          <value t="str">
            <val>35.04</val>
          </value>
        </values>
      </ddeItem>
      <ddeItem name="4141.TW-OperatingProfitRatio,NetProfitMargin,TFXRatio,MonthlyNetSalesYoY,ReturnOnAssets,DividendYear,ProfitFourSeason,CashDividendYieldRate,StockNetValue,ExchangeIndustry" advise="1">
        <values cols="10">
          <value t="str">
            <val>2.20</val>
          </value>
          <value t="str">
            <val>-6.00</val>
          </value>
          <value t="str">
            <val>5.64</val>
          </value>
          <value t="str">
            <val>72.70</val>
          </value>
          <value t="str">
            <val>-1.47</val>
          </value>
          <value>
            <val>0</val>
          </value>
          <value t="str">
            <val>-1.58</val>
          </value>
          <value>
            <val>0</val>
          </value>
          <value t="str">
            <val>26.07</val>
          </value>
          <value t="str">
            <val>上市生技醫療</val>
          </value>
        </values>
      </ddeItem>
      <ddeItem name="4141.TW-PreTotalVolume,ChipsField25,ChipsField27,DateofMeetingofShareHolders,CompanyPos,TradingDate" advise="1">
        <values cols="6">
          <value>
            <val>1617</val>
          </value>
          <value t="str">
            <val>--</val>
          </value>
          <value t="str">
            <val>--</val>
          </value>
          <value t="str">
            <val>2022/02/08</val>
          </value>
          <value t="str">
            <val>全球知名植物保護劑大廠</val>
          </value>
          <value t="str">
            <val>2022/01/03</val>
          </value>
        </values>
      </ddeItem>
      <ddeItem name="4414.TW-ID,Name,Price,PriceChangeRatio,Low,High,Volume,InOutRatioNumber,Capital,ProfitMargin" advise="1">
        <values cols="10">
          <value t="str">
            <val>4414</val>
          </value>
          <value t="str">
            <val>如興</val>
          </value>
          <value>
            <val>7.1</val>
          </value>
          <value>
            <val>-1.39</val>
          </value>
          <value>
            <val>7.07</val>
          </value>
          <value>
            <val>7.26</val>
          </value>
          <value>
            <val>48</val>
          </value>
          <value t="str">
            <val>27.87%</val>
          </value>
          <value t="str">
            <val>81.89</val>
          </value>
          <value t="str">
            <val>15.63</val>
          </value>
        </values>
      </ddeItem>
      <ddeItem name="4414.TW-OperatingProfitRatio,NetProfitMargin,TFXRatio,MonthlyNetSalesYoY,ReturnOnAssets,DividendYear,ProfitFourSeason,CashDividendYieldRate,StockNetValue,ExchangeIndustry" advise="1">
        <values cols="10">
          <value t="str">
            <val>-2.37</val>
          </value>
          <value t="str">
            <val>-4.15</val>
          </value>
          <value t="str">
            <val>5.66</val>
          </value>
          <value t="str">
            <val>-2.32</val>
          </value>
          <value t="str">
            <val>-1.72</val>
          </value>
          <value>
            <val>0</val>
          </value>
          <value t="str">
            <val>-0.38</val>
          </value>
          <value>
            <val>0</val>
          </value>
          <value t="str">
            <val>11.45</val>
          </value>
          <value t="str">
            <val>上市紡織纖維</val>
          </value>
        </values>
      </ddeItem>
      <ddeItem name="4414.TW-PreTotalVolume,ChipsField25,ChipsField27,DateofMeetingofShareHolders,CompanyPos,TradingDate" advise="1">
        <values cols="6">
          <value>
            <val>3744</val>
          </value>
          <value t="str">
            <val>--</val>
          </value>
          <value t="str">
            <val>--</val>
          </value>
          <value t="str">
            <val>2021/07/15</val>
          </value>
          <value t="str">
            <val>年興轉投資之國內知名成衣代工製造商之一</val>
          </value>
          <value t="str">
            <val>2022/01/03</val>
          </value>
        </values>
      </ddeItem>
      <ddeItem name="4744.TW-ID,Name,Price,PriceChangeRatio,Low,High,Volume,InOutRatioNumber,Capital,ProfitMargin" advise="1">
        <values cols="10">
          <value t="str">
            <val>4744</val>
          </value>
          <value t="str">
            <val>皇將</val>
          </value>
          <value>
            <val>36.799999999999997</val>
          </value>
          <value>
            <val>-3.16</val>
          </value>
          <value>
            <val>36.799999999999997</val>
          </value>
          <value>
            <val>38.5</val>
          </value>
          <value>
            <val>56</val>
          </value>
          <value t="str">
            <val>23.76%</val>
          </value>
          <value t="str">
            <val>4.72</val>
          </value>
          <value t="str">
            <val>45.40</val>
          </value>
        </values>
      </ddeItem>
      <ddeItem name="4744.TW-OperatingProfitRatio,NetProfitMargin,TFXRatio,MonthlyNetSalesYoY,ReturnOnAssets,DividendYear,ProfitFourSeason,CashDividendYieldRate,StockNetValue,ExchangeIndustry" advise="1">
        <values cols="10">
          <value t="str">
            <val>7.19</val>
          </value>
          <value t="str">
            <val>6.39</val>
          </value>
          <value t="str">
            <val>99.35</val>
          </value>
          <value t="str">
            <val>106.90</val>
          </value>
          <value t="str">
            <val>2.59</val>
          </value>
          <value>
            <val>1.2</val>
          </value>
          <value t="str">
            <val>1.55</val>
          </value>
          <value>
            <val>3.26</val>
          </value>
          <value t="str">
            <val>19.21</val>
          </value>
          <value t="str">
            <val>上櫃生技醫療</val>
          </value>
        </values>
      </ddeItem>
      <ddeItem name="4744.TW-PreTotalVolume,ChipsField25,ChipsField27,DateofMeetingofShareHolders,CompanyPos,TradingDate" advise="1">
        <values cols="6">
          <value>
            <val>1335</val>
          </value>
          <value t="str">
            <val>2021/08/25</val>
          </value>
          <value t="str">
            <val>--</val>
          </value>
          <value t="str">
            <val>2021/07/29</val>
          </value>
          <value t="str">
            <val>台灣製藥設備廠</val>
          </value>
          <value t="str">
            <val>2022/01/03</val>
          </value>
        </values>
      </ddeItem>
      <ddeItem name="4950.TW-ID,Name,Price,PriceChangeRatio,Low,High,Volume,InOutRatioNumber,Capital,ProfitMargin" advise="1">
        <values cols="10">
          <value t="str">
            <val>4950</val>
          </value>
          <value t="str">
            <val>牧東</val>
          </value>
          <value>
            <val>20</val>
          </value>
          <value>
            <val>-3.61</val>
          </value>
          <value>
            <val>19.5</val>
          </value>
          <value>
            <val>20.75</val>
          </value>
          <value>
            <val>16</val>
          </value>
          <value t="str">
            <val>14.42%</val>
          </value>
          <value t="str">
            <val>4.68</val>
          </value>
          <value t="str">
            <val>19.55</val>
          </value>
        </values>
      </ddeItem>
      <ddeItem name="4950.TW-OperatingProfitRatio,NetProfitMargin,TFXRatio,MonthlyNetSalesYoY,ReturnOnAssets,DividendYear,ProfitFourSeason,CashDividendYieldRate,StockNetValue,ExchangeIndustry" advise="1">
        <values cols="10">
          <value t="str">
            <val>-0.42</val>
          </value>
          <value t="str">
            <val>1.27</val>
          </value>
          <value t="str">
            <val>25.24</val>
          </value>
          <value t="str">
            <val>1763.40</val>
          </value>
          <value t="str">
            <val>0.95</val>
          </value>
          <value>
            <val>0</val>
          </value>
          <value t="str">
            <val>-1.04</val>
          </value>
          <value>
            <val>0</val>
          </value>
          <value t="str">
            <val>7.11</val>
          </value>
          <value t="str">
            <val>上櫃其他</val>
          </value>
        </values>
      </ddeItem>
      <ddeItem name="4950.TW-PreTotalVolume,ChipsField25,ChipsField27,DateofMeetingofShareHolders,CompanyPos,TradingDate" advise="1">
        <values cols="6">
          <value>
            <val>1874</val>
          </value>
          <value t="str">
            <val>--</val>
          </value>
          <value t="str">
            <val>--</val>
          </value>
          <value t="str">
            <val>2021/09/29</val>
          </value>
          <value t="str">
            <val>轉型為廚房用不鏽鋼刀具生產廠商</val>
          </value>
          <value t="str">
            <val>2022/01/03</val>
          </value>
        </values>
      </ddeItem>
      <ddeItem name="4960.TW-ID,Name,Price,PriceChangeRatio,Low,High,Volume,InOutRatioNumber,Capital,ProfitMargin" advise="1">
        <values cols="10">
          <value t="str">
            <val>4960</val>
          </value>
          <value t="str">
            <val>誠美材</val>
          </value>
          <value>
            <val>13.6</val>
          </value>
          <value>
            <val>-2.5099999999999998</val>
          </value>
          <value>
            <val>13.5</val>
          </value>
          <value>
            <val>14.1</val>
          </value>
          <value>
            <val>436</val>
          </value>
          <value t="str">
            <val>26.56%</val>
          </value>
          <value t="str">
            <val>67.55</val>
          </value>
          <value t="str">
            <val>7.72</val>
          </value>
        </values>
      </ddeItem>
      <ddeItem name="4960.TW-OperatingProfitRatio,NetProfitMargin,TFXRatio,MonthlyNetSalesYoY,ReturnOnAssets,DividendYear,ProfitFourSeason,CashDividendYieldRate,StockNetValue,ExchangeIndustry" advise="1">
        <values cols="10">
          <value t="str">
            <val>1.88</val>
          </value>
          <value t="str">
            <val>8.67</val>
          </value>
          <value t="str">
            <val>-4.42</val>
          </value>
          <value t="str">
            <val>1.83</val>
          </value>
          <value t="str">
            <val>5.03</val>
          </value>
          <value>
            <val>0</val>
          </value>
          <value t="str">
            <val>1.27</val>
          </value>
          <value>
            <val>0</val>
          </value>
          <value t="str">
            <val>15.53</val>
          </value>
          <value t="str">
            <val>上市光電</val>
          </value>
        </values>
      </ddeItem>
      <ddeItem name="4960.TW-PreTotalVolume,ChipsField25,ChipsField27,DateofMeetingofShareHolders,CompanyPos,TradingDate" advise="1">
        <values cols="6">
          <value>
            <val>20578</val>
          </value>
          <value t="str">
            <val>--</val>
          </value>
          <value t="str">
            <val>--</val>
          </value>
          <value t="str">
            <val>2021/12/29</val>
          </value>
          <value t="str">
            <val>台灣第二大偏光板供應商</val>
          </value>
          <value t="str">
            <val>2022/01/03</val>
          </value>
        </values>
      </ddeItem>
      <ddeItem name="4961.TW-ID,Name,Price,PriceChangeRatio,Low,High,Volume,InOutRatioNumber,Capital,ProfitMargin" advise="1">
        <values cols="10">
          <value t="str">
            <val>4961</val>
          </value>
          <value t="str">
            <val>天鈺</val>
          </value>
          <value>
            <val>282.5</val>
          </value>
          <value>
            <val>0.18</val>
          </value>
          <value>
            <val>280.5</val>
          </value>
          <value>
            <val>285.5</val>
          </value>
          <value>
            <val>283</val>
          </value>
          <value t="str">
            <val>48.39%</val>
          </value>
          <value t="str">
            <val>18.65</val>
          </value>
          <value t="str">
            <val>46.25</val>
          </value>
        </values>
      </ddeItem>
      <ddeItem name="4961.TW-OperatingProfitRatio,NetProfitMargin,TFXRatio,MonthlyNetSalesYoY,ReturnOnAssets,DividendYear,ProfitFourSeason,CashDividendYieldRate,StockNetValue,ExchangeIndustry" advise="1">
        <values cols="10">
          <value t="str">
            <val>34.61</val>
          </value>
          <value t="str">
            <val>29.51</val>
          </value>
          <value t="str">
            <val>-6.41</val>
          </value>
          <value t="str">
            <val>68.79</val>
          </value>
          <value t="str">
            <val>29.80</val>
          </value>
          <value>
            <val>2.5</val>
          </value>
          <value t="str">
            <val>29.22</val>
          </value>
          <value>
            <val>0.88</val>
          </value>
          <value t="str">
            <val>77.62</val>
          </value>
          <value t="str">
            <val>上市半導體</val>
          </value>
        </values>
      </ddeItem>
      <ddeItem name="4961.TW-PreTotalVolume,ChipsField25,ChipsField27,DateofMeetingofShareHolders,CompanyPos,TradingDate" advise="1">
        <values cols="6">
          <value>
            <val>2432</val>
          </value>
          <value t="str">
            <val>2021/06/17</val>
          </value>
          <value t="str">
            <val>--</val>
          </value>
          <value t="str">
            <val>2021/05/18</val>
          </value>
          <value t="str">
            <val>鴻海旗下顯示器驅動IC設計廠</val>
          </value>
          <value t="str">
            <val>2022/01/03</val>
          </value>
        </values>
      </ddeItem>
      <ddeItem name="4979.TW-ID,Name,Price,PriceChangeRatio,Low,High,Volume,InOutRatioNumber,Capital,ProfitMargin" advise="1">
        <values cols="10">
          <value t="str">
            <val>4979</val>
          </value>
          <value t="str">
            <val>華星光</val>
          </value>
          <value>
            <val>19.850000000000001</val>
          </value>
          <value>
            <val>-1.24</val>
          </value>
          <value>
            <val>19.75</val>
          </value>
          <value>
            <val>20.3</val>
          </value>
          <value>
            <val>39</val>
          </value>
          <value t="str">
            <val>26.49%</val>
          </value>
          <value t="str">
            <val>13.25</val>
          </value>
          <value t="str">
            <val>-4.10</val>
          </value>
        </values>
      </ddeItem>
      <ddeItem name="4979.TW-OperatingProfitRatio,NetProfitMargin,TFXRatio,MonthlyNetSalesYoY,ReturnOnAssets,DividendYear,ProfitFourSeason,CashDividendYieldRate,StockNetValue,ExchangeIndustry" advise="1">
        <values cols="10">
          <value t="str">
            <val>-27.52</val>
          </value>
          <value t="str">
            <val>-28.61</val>
          </value>
          <value t="str">
            <val>28.22</val>
          </value>
          <value t="str">
            <val>-0.86</val>
          </value>
          <value t="str">
            <val>-8.46</val>
          </value>
          <value>
            <val>0</val>
          </value>
          <value t="str">
            <val>-2.10</val>
          </value>
          <value>
            <val>0</val>
          </value>
          <value t="str">
            <val>10.83</val>
          </value>
          <value t="str">
            <val>上櫃通信網路</val>
          </value>
        </values>
      </ddeItem>
      <ddeItem name="4979.TW-PreTotalVolume,ChipsField25,ChipsField27,DateofMeetingofShareHolders,CompanyPos,TradingDate" advise="1">
        <values cols="6">
          <value>
            <val>1344</val>
          </value>
          <value t="str">
            <val>--</val>
          </value>
          <value t="str">
            <val>--</val>
          </value>
          <value t="str">
            <val>2021/07/07</val>
          </value>
          <value t="str">
            <val>台灣光收發模組一貫廠</val>
          </value>
          <value t="str">
            <val>2022/01/03</val>
          </value>
        </values>
      </ddeItem>
      <ddeItem name="5309.TW-ID,Name,Price,PriceChangeRatio,Low,High,Volume,InOutRatioNumber,Capital,ProfitMargin" advise="1">
        <values cols="10">
          <value t="str">
            <val>5309</val>
          </value>
          <value t="str">
            <val>系統電</val>
          </value>
          <value>
            <val>39.700000000000003</val>
          </value>
          <value>
            <val>-0.63</val>
          </value>
          <value>
            <val>39.5</val>
          </value>
          <value>
            <val>40.35</val>
          </value>
          <value>
            <val>124</val>
          </value>
          <value t="str">
            <val>28.59%</val>
          </value>
          <value t="str">
            <val>15.53</val>
          </value>
          <value t="str">
            <val>18.11</val>
          </value>
        </values>
      </ddeItem>
      <ddeItem name="5309.TW-OperatingProfitRatio,NetProfitMargin,TFXRatio,MonthlyNetSalesYoY,ReturnOnAssets,DividendYear,ProfitFourSeason,CashDividendYieldRate,StockNetValue,ExchangeIndustry" advise="1">
        <values cols="10">
          <value t="str">
            <val>2.36</val>
          </value>
          <value t="str">
            <val>2.86</val>
          </value>
          <value t="str">
            <val>12.73</val>
          </value>
          <value t="str">
            <val>59.40</val>
          </value>
          <value t="str">
            <val>2.24</val>
          </value>
          <value>
            <val>0</val>
          </value>
          <value t="str">
            <val>0.23</val>
          </value>
          <value>
            <val>0</val>
          </value>
          <value t="str">
            <val>7.35</val>
          </value>
          <value t="str">
            <val>上櫃電子零組件</val>
          </value>
        </values>
      </ddeItem>
      <ddeItem name="5309.TW-PreTotalVolume,ChipsField25,ChipsField27,DateofMeetingofShareHolders,CompanyPos,TradingDate" advise="1">
        <values cols="6">
          <value>
            <val>1844</val>
          </value>
          <value t="str">
            <val>--</val>
          </value>
          <value t="str">
            <val>--</val>
          </value>
          <value t="str">
            <val>2021/07/30</val>
          </value>
          <value t="str">
            <val>電腦週邊及車用電子廠</val>
          </value>
          <value t="str">
            <val>2022/01/03</val>
          </value>
        </values>
      </ddeItem>
      <ddeItem name="5347.TW-ID,Name,Price,PriceChangeRatio,Low,High,Volume,InOutRatioNumber,Capital,ProfitMargin" advise="1">
        <values cols="10">
          <value t="str">
            <val>5347</val>
          </value>
          <value t="str">
            <val>世界</val>
          </value>
          <value>
            <val>151.5</val>
          </value>
          <value>
            <val>-4.1100000000000003</val>
          </value>
          <value>
            <val>150.5</val>
          </value>
          <value>
            <val>156.5</val>
          </value>
          <value>
            <val>355</val>
          </value>
          <value t="str">
            <val>34.56%</val>
          </value>
          <value t="str">
            <val>163.90</val>
          </value>
          <value t="str">
            <val>41.93</val>
          </value>
        </values>
      </ddeItem>
      <ddeItem name="5347.TW-OperatingProfitRatio,NetProfitMargin,TFXRatio,MonthlyNetSalesYoY,ReturnOnAssets,DividendYear,ProfitFourSeason,CashDividendYieldRate,StockNetValue,ExchangeIndustry" advise="1">
        <values cols="10">
          <value t="str">
            <val>30.44</val>
          </value>
          <value t="str">
            <val>25.96</val>
          </value>
          <value t="str">
            <val>15.96</val>
          </value>
          <value t="str">
            <val>52.17</val>
          </value>
          <value t="str">
            <val>16.69</val>
          </value>
          <value>
            <val>3.5</val>
          </value>
          <value t="str">
            <val>6.06</val>
          </value>
          <value>
            <val>2.31</val>
          </value>
          <value t="str">
            <val>19.32</val>
          </value>
          <value t="str">
            <val>上櫃半導體</val>
          </value>
        </values>
      </ddeItem>
      <ddeItem name="5347.TW-PreTotalVolume,ChipsField25,ChipsField27,DateofMeetingofShareHolders,CompanyPos,TradingDate" advise="1">
        <values cols="6">
          <value>
            <val>2393</val>
          </value>
          <value t="str">
            <val>2021/08/20</val>
          </value>
          <value t="str">
            <val>--</val>
          </value>
          <value t="str">
            <val>2021/08/13</val>
          </value>
          <value t="str">
            <val>台積電轉投資之晶圓代工廠</val>
          </value>
          <value t="str">
            <val>2022/01/03</val>
          </value>
        </values>
      </ddeItem>
      <ddeItem name="5443.TW-ID,Name,Price,PriceChangeRatio,Low,High,Volume,InOutRatioNumber,Capital,ProfitMargin" advise="1">
        <values cols="10">
          <value t="str">
            <val>5443</val>
          </value>
          <value t="str">
            <val>均豪</val>
          </value>
          <value>
            <val>34.35</val>
          </value>
          <value>
            <val>-0.28999999999999998</val>
          </value>
          <value>
            <val>34.25</val>
          </value>
          <value>
            <val>35</val>
          </value>
          <value>
            <val>17</val>
          </value>
          <value t="str">
            <val>28.75%</val>
          </value>
          <value t="str">
            <val>16.51</val>
          </value>
          <value t="str">
            <val>24.35</val>
          </value>
        </values>
      </ddeItem>
      <ddeItem name="5443.TW-OperatingProfitRatio,NetProfitMargin,TFXRatio,MonthlyNetSalesYoY,ReturnOnAssets,DividendYear,ProfitFourSeason,CashDividendYieldRate,StockNetValue,ExchangeIndustry" advise="1">
        <values cols="10">
          <value t="str">
            <val>8.28</val>
          </value>
          <value t="str">
            <val>8.22</val>
          </value>
          <value t="str">
            <val>-26.13</val>
          </value>
          <value t="str">
            <val>-37.53</val>
          </value>
          <value t="str">
            <val>5.03</val>
          </value>
          <value>
            <val>1</val>
          </value>
          <value t="str">
            <val>2.06</val>
          </value>
          <value>
            <val>2.91</val>
          </value>
          <value t="str">
            <val>14.42</val>
          </value>
          <value t="str">
            <val>上櫃光電</val>
          </value>
        </values>
      </ddeItem>
      <ddeItem name="5443.TW-PreTotalVolume,ChipsField25,ChipsField27,DateofMeetingofShareHolders,CompanyPos,TradingDate" advise="1">
        <values cols="6">
          <value>
            <val>1224</val>
          </value>
          <value t="str">
            <val>2021/07/27</val>
          </value>
          <value t="str">
            <val>--</val>
          </value>
          <value t="str">
            <val>2021/07/05</val>
          </value>
          <value t="str">
            <val>台灣TFT製程及封裝設備供應商</val>
          </value>
          <value t="str">
            <val>2022/01/03</val>
          </value>
        </values>
      </ddeItem>
      <ddeItem name="5452.TW-ID,Name,Price,PriceChangeRatio,Low,High,Volume,InOutRatioNumber,Capital,ProfitMargin" advise="1">
        <values cols="10">
          <value t="str">
            <val>5452</val>
          </value>
          <value t="str">
            <val>佶優</val>
          </value>
          <value>
            <val>22.85</val>
          </value>
          <value>
            <val>-2.77</val>
          </value>
          <value>
            <val>22.8</val>
          </value>
          <value>
            <val>23.65</val>
          </value>
          <value>
            <val>73</val>
          </value>
          <value t="str">
            <val>21.13%</val>
          </value>
          <value t="str">
            <val>14.88</val>
          </value>
          <value t="str">
            <val>13.40</val>
          </value>
        </values>
      </ddeItem>
      <ddeItem name="5452.TW-OperatingProfitRatio,NetProfitMargin,TFXRatio,MonthlyNetSalesYoY,ReturnOnAssets,DividendYear,ProfitFourSeason,CashDividendYieldRate,StockNetValue,ExchangeIndustry" advise="1">
        <values cols="10">
          <value t="str">
            <val>7.41</val>
          </value>
          <value t="str">
            <val>4.34</val>
          </value>
          <value t="str">
            <val>16.58</val>
          </value>
          <value t="str">
            <val>39.33</val>
          </value>
          <value t="str">
            <val>5.98</val>
          </value>
          <value>
            <val>0.6</val>
          </value>
          <value t="str">
            <val>1.63</val>
          </value>
          <value>
            <val>2.63</val>
          </value>
          <value t="str">
            <val>13.43</val>
          </value>
          <value t="str">
            <val>上櫃其他電子</val>
          </value>
        </values>
      </ddeItem>
      <ddeItem name="5452.TW-PreTotalVolume,ChipsField25,ChipsField27,DateofMeetingofShareHolders,CompanyPos,TradingDate" advise="1">
        <values cols="6">
          <value>
            <val>1607</val>
          </value>
          <value t="str">
            <val>2021/08/25</val>
          </value>
          <value t="str">
            <val>--</val>
          </value>
          <value t="str">
            <val>2021/07/22</val>
          </value>
          <value t="str">
            <val>台灣塑化及電子材料通路商</val>
          </value>
          <value t="str">
            <val>2022/01/03</val>
          </value>
        </values>
      </ddeItem>
      <ddeItem name="5512.TW-ID,Name,Price,PriceChangeRatio,Low,High,Volume,InOutRatioNumber,Capital,ProfitMargin" advise="1">
        <values cols="10">
          <value t="str">
            <val>5512</val>
          </value>
          <value t="str">
            <val>力麒</val>
          </value>
          <value>
            <val>9.43</val>
          </value>
          <value>
            <val>-0.74</val>
          </value>
          <value>
            <val>9.4</val>
          </value>
          <value>
            <val>9.5</val>
          </value>
          <value>
            <val>12</val>
          </value>
          <value t="str">
            <val>11.15%</val>
          </value>
          <value t="str">
            <val>74.40</val>
          </value>
          <value t="str">
            <val>17.17</val>
          </value>
        </values>
      </ddeItem>
      <ddeItem name="5512.TW-OperatingProfitRatio,NetProfitMargin,TFXRatio,MonthlyNetSalesYoY,ReturnOnAssets,DividendYear,ProfitFourSeason,CashDividendYieldRate,StockNetValue,ExchangeIndustry" advise="1">
        <values cols="10">
          <value t="str">
            <val>8.24</val>
          </value>
          <value t="str">
            <val>1.34</val>
          </value>
          <value t="str">
            <val>-31.25</val>
          </value>
          <value t="str">
            <val>-0.27</val>
          </value>
          <value t="str">
            <val>0.50</val>
          </value>
          <value>
            <val>0.33</val>
          </value>
          <value t="str">
            <val>0.09</val>
          </value>
          <value>
            <val>3.5</val>
          </value>
          <value t="str">
            <val>17.92</val>
          </value>
          <value t="str">
            <val>上櫃建材營造</val>
          </value>
        </values>
      </ddeItem>
      <ddeItem name="5512.TW-PreTotalVolume,ChipsField25,ChipsField27,DateofMeetingofShareHolders,CompanyPos,TradingDate" advise="1">
        <values cols="6">
          <value>
            <val>1367</val>
          </value>
          <value t="str">
            <val>2021/09/13</val>
          </value>
          <value t="str">
            <val>--</val>
          </value>
          <value t="str">
            <val>2021/07/14</val>
          </value>
          <value t="str">
            <val>推案集中於台北市精華地段之建商</val>
          </value>
          <value t="str">
            <val>2022/01/03</val>
          </value>
        </values>
      </ddeItem>
      <ddeItem name="5876.TW-ID,Name,Price,PriceChangeRatio,Low,High,Volume,InOutRatioNumber,Capital,ProfitMargin" advise="1">
        <values cols="10">
          <value t="str">
            <val>5876</val>
          </value>
          <value t="str">
            <val>上海商銀</val>
          </value>
          <value>
            <val>47.15</val>
          </value>
          <value>
            <val>-0.21</val>
          </value>
          <value>
            <val>47.05</val>
          </value>
          <value>
            <val>47.7</val>
          </value>
          <value>
            <val>106</val>
          </value>
          <value t="str">
            <val>39.64%</val>
          </value>
          <value t="str">
            <val>448.16</val>
          </value>
          <value t="str">
            <val>--</val>
          </value>
        </values>
      </ddeItem>
      <ddeItem name="5876.TW-OperatingProfitRatio,NetProfitMargin,TFXRatio,MonthlyNetSalesYoY,ReturnOnAssets,DividendYear,ProfitFourSeason,CashDividendYieldRate,StockNetValue,ExchangeIndustry" advise="1">
        <values cols="10">
          <value t="str">
            <val>--</val>
          </value>
          <value t="str">
            <val>45.27</val>
          </value>
          <value t="str">
            <val>-2.84</val>
          </value>
          <value t="str">
            <val>-1.47</val>
          </value>
          <value t="str">
            <val>0.67</val>
          </value>
          <value>
            <val>1.7</val>
          </value>
          <value t="str">
            <val>3.14</val>
          </value>
          <value>
            <val>3.61</val>
          </value>
          <value t="str">
            <val>34.85</val>
          </value>
          <value t="str">
            <val>上市金融保險</val>
          </value>
        </values>
      </ddeItem>
      <ddeItem name="5876.TW-PreTotalVolume,ChipsField25,ChipsField27,DateofMeetingofShareHolders,CompanyPos,TradingDate" advise="1">
        <values cols="6">
          <value>
            <val>2356</val>
          </value>
          <value t="str">
            <val>2021/07/28</val>
          </value>
          <value t="str">
            <val>--</val>
          </value>
          <value t="str">
            <val>2021/07/05</val>
          </value>
          <value t="str">
            <val>唯一自大陸遷台復業的民營銀行</val>
          </value>
          <value t="str">
            <val>2022/01/03</val>
          </value>
        </values>
      </ddeItem>
      <ddeItem name="5905.TW-ID,Name,Price,PriceChangeRatio,Low,High,Volume,InOutRatioNumber,Capital,ProfitMargin" advise="1">
        <values cols="10">
          <value t="str">
            <val>5905</val>
          </value>
          <value t="str">
            <val>南仁湖</val>
          </value>
          <value>
            <val>14.4</val>
          </value>
          <value>
            <val>-1.71</val>
          </value>
          <value>
            <val>14.35</val>
          </value>
          <value>
            <val>14.8</val>
          </value>
          <value>
            <val>44</val>
          </value>
          <value t="str">
            <val>25.81%</val>
          </value>
          <value t="str">
            <val>18.98</val>
          </value>
          <value t="str">
            <val>63.44</val>
          </value>
        </values>
      </ddeItem>
      <ddeItem name="5905.TW-OperatingProfitRatio,NetProfitMargin,TFXRatio,MonthlyNetSalesYoY,ReturnOnAssets,DividendYear,ProfitFourSeason,CashDividendYieldRate,StockNetValue,ExchangeIndustry" advise="1">
        <values cols="10">
          <value t="str">
            <val>-41.14</val>
          </value>
          <value t="str">
            <val>-25.66</val>
          </value>
          <value t="str">
            <val>-4.27</val>
          </value>
          <value t="str">
            <val>3.38</val>
          </value>
          <value t="str">
            <val>-2.84</val>
          </value>
          <value>
            <val>0.2</val>
          </value>
          <value t="str">
            <val>-0.60</val>
          </value>
          <value>
            <val>1.39</val>
          </value>
          <value t="str">
            <val>11.79</val>
          </value>
          <value t="str">
            <val>上櫃貿易百貨</val>
          </value>
        </values>
      </ddeItem>
      <ddeItem name="5905.TW-PreTotalVolume,ChipsField25,ChipsField27,DateofMeetingofShareHolders,CompanyPos,TradingDate" advise="1">
        <values cols="6">
          <value>
            <val>1502</val>
          </value>
          <value t="str">
            <val>2021/09/10</val>
          </value>
          <value t="str">
            <val>--</val>
          </value>
          <value t="str">
            <val>2021/08/27</val>
          </value>
          <value t="str">
            <val>高速公路休息站及海生館、小墾丁渡假村之經營業者</val>
          </value>
          <value t="str">
            <val>2022/01/03</val>
          </value>
        </values>
      </ddeItem>
      <ddeItem name="6116.TW-ID,Name,Price,PriceChangeRatio,Low,High,Volume,InOutRatioNumber,Capital,ProfitMargin" advise="1">
        <values cols="10">
          <value t="str">
            <val>6116</val>
          </value>
          <value t="str">
            <val>彩晶</val>
          </value>
          <value>
            <val>17.75</val>
          </value>
          <value>
            <val>-1.93</val>
          </value>
          <value>
            <val>17.7</val>
          </value>
          <value>
            <val>18.2</val>
          </value>
          <value>
            <val>1815</val>
          </value>
          <value t="str">
            <val>32.51%</val>
          </value>
          <value t="str">
            <val>317.72</val>
          </value>
          <value t="str">
            <val>41.52</val>
          </value>
        </values>
      </ddeItem>
      <ddeItem name="6116.TW-OperatingProfitRatio,NetProfitMargin,TFXRatio,MonthlyNetSalesYoY,ReturnOnAssets,DividendYear,ProfitFourSeason,CashDividendYieldRate,StockNetValue,ExchangeIndustry" advise="1">
        <values cols="10">
          <value t="str">
            <val>33.81</val>
          </value>
          <value t="str">
            <val>32.36</val>
          </value>
          <value t="str">
            <val>30.69</val>
          </value>
          <value t="str">
            <val>-20.12</val>
          </value>
          <value t="str">
            <val>12.57</val>
          </value>
          <value>
            <val>0.5</val>
          </value>
          <value t="str">
            <val>3.26</val>
          </value>
          <value>
            <val>2.82</val>
          </value>
          <value t="str">
            <val>16.72</val>
          </value>
          <value t="str">
            <val>上市光電</val>
          </value>
        </values>
      </ddeItem>
      <ddeItem name="6116.TW-PreTotalVolume,ChipsField25,ChipsField27,DateofMeetingofShareHolders,CompanyPos,TradingDate" advise="1">
        <values cols="6">
          <value>
            <val>48992</val>
          </value>
          <value t="str">
            <val>2021/08/23</val>
          </value>
          <value t="str">
            <val>--</val>
          </value>
          <value t="str">
            <val>2021/07/29</val>
          </value>
          <value t="str">
            <val>台灣中小尺寸面板供應商，及觸控面板廠商</val>
          </value>
          <value t="str">
            <val>2022/01/03</val>
          </value>
        </values>
      </ddeItem>
      <ddeItem name="6158.TW-ID,Name,Price,PriceChangeRatio,Low,High,Volume,InOutRatioNumber,Capital,ProfitMargin" advise="1">
        <values cols="10">
          <value t="str">
            <val>6158</val>
          </value>
          <value t="str">
            <val>禾昌</val>
          </value>
          <value>
            <val>54.4</val>
          </value>
          <value>
            <val>0.93</val>
          </value>
          <value>
            <val>52</val>
          </value>
          <value>
            <val>55</val>
          </value>
          <value>
            <val>115</val>
          </value>
          <value t="str">
            <val>51.03%</val>
          </value>
          <value t="str">
            <val>5.50</val>
          </value>
          <value t="str">
            <val>30.03</val>
          </value>
        </values>
      </ddeItem>
      <ddeItem name="6158.TW-OperatingProfitRatio,NetProfitMargin,TFXRatio,MonthlyNetSalesYoY,ReturnOnAssets,DividendYear,ProfitFourSeason,CashDividendYieldRate,StockNetValue,ExchangeIndustry" advise="1">
        <values cols="10">
          <value t="str">
            <val>9.03</val>
          </value>
          <value t="str">
            <val>8.99</val>
          </value>
          <value t="str">
            <val>12.86</val>
          </value>
          <value t="str">
            <val>-5.47</val>
          </value>
          <value t="str">
            <val>6.69</val>
          </value>
          <value>
            <val>0.5</val>
          </value>
          <value t="str">
            <val>3.43</val>
          </value>
          <value>
            <val>0.92</val>
          </value>
          <value t="str">
            <val>18.48</val>
          </value>
          <value t="str">
            <val>上櫃電子零組件</val>
          </value>
        </values>
      </ddeItem>
      <ddeItem name="6158.TW-PreTotalVolume,ChipsField25,ChipsField27,DateofMeetingofShareHolders,CompanyPos,TradingDate" advise="1">
        <values cols="6">
          <value>
            <val>2940</val>
          </value>
          <value t="str">
            <val>2021/09/09</val>
          </value>
          <value t="str">
            <val>--</val>
          </value>
          <value t="str">
            <val>2021/08/20</val>
          </value>
          <value t="str">
            <val>3C、PC、NB用連接器、連接線材生產廠</val>
          </value>
          <value t="str">
            <val>2022/01/03</val>
          </value>
        </values>
      </ddeItem>
      <ddeItem name="6167.TW-ID,Name,Price,PriceChangeRatio,Low,High,Volume,InOutRatioNumber,Capital,ProfitMargin" advise="1">
        <values cols="10">
          <value t="str">
            <val>6167</val>
          </value>
          <value t="str">
            <val>久正</val>
          </value>
          <value>
            <val>15.95</val>
          </value>
          <value>
            <val>-3.33</val>
          </value>
          <value>
            <val>15.9</val>
          </value>
          <value>
            <val>16.8</val>
          </value>
          <value>
            <val>134</val>
          </value>
          <value t="str">
            <val>20.90%</val>
          </value>
          <value t="str">
            <val>16.22</val>
          </value>
          <value t="str">
            <val>12.42</val>
          </value>
        </values>
      </ddeItem>
      <ddeItem name="6167.TW-OperatingProfitRatio,NetProfitMargin,TFXRatio,MonthlyNetSalesYoY,ReturnOnAssets,DividendYear,ProfitFourSeason,CashDividendYieldRate,StockNetValue,ExchangeIndustry" advise="1">
        <values cols="10">
          <value t="str">
            <val>1.59</val>
          </value>
          <value t="str">
            <val>4.84</val>
          </value>
          <value t="str">
            <val>5.34</val>
          </value>
          <value t="str">
            <val>62.34</val>
          </value>
          <value t="str">
            <val>3.22</val>
          </value>
          <value>
            <val>0</val>
          </value>
          <value t="str">
            <val>0.31</val>
          </value>
          <value>
            <val>0</val>
          </value>
          <value t="str">
            <val>9.44</val>
          </value>
          <value t="str">
            <val>上櫃光電</val>
          </value>
        </values>
      </ddeItem>
      <ddeItem name="6167.TW-PreTotalVolume,ChipsField25,ChipsField27,DateofMeetingofShareHolders,CompanyPos,TradingDate" advise="1">
        <values cols="6">
          <value>
            <val>2543</val>
          </value>
          <value t="str">
            <val>--</val>
          </value>
          <value t="str">
            <val>--</val>
          </value>
          <value t="str">
            <val>2021/07/15</val>
          </value>
          <value t="str">
            <val>中小尺寸TN/STN面板模組廠</val>
          </value>
          <value t="str">
            <val>2022/01/03</val>
          </value>
        </values>
      </ddeItem>
      <ddeItem name="6226.TW-ID,Name,Price,PriceChangeRatio,Low,High,Volume,InOutRatioNumber,Capital,ProfitMargin" advise="1">
        <values cols="10">
          <value t="str">
            <val>6226</val>
          </value>
          <value t="str">
            <val>光鼎</val>
          </value>
          <value>
            <val>16.2</val>
          </value>
          <value>
            <val>-1.82</val>
          </value>
          <value>
            <val>16.2</val>
          </value>
          <value>
            <val>16.7</val>
          </value>
          <value>
            <val>203</val>
          </value>
          <value t="str">
            <val>23.31%</val>
          </value>
          <value t="str">
            <val>11.61</val>
          </value>
          <value t="str">
            <val>32.81</val>
          </value>
        </values>
      </ddeItem>
      <ddeItem name="6226.TW-OperatingProfitRatio,NetProfitMargin,TFXRatio,MonthlyNetSalesYoY,ReturnOnAssets,DividendYear,ProfitFourSeason,CashDividendYieldRate,StockNetValue,ExchangeIndustry" advise="1">
        <values cols="10">
          <value t="str">
            <val>3.15</val>
          </value>
          <value t="str">
            <val>2.83</val>
          </value>
          <value t="str">
            <val>7.55</val>
          </value>
          <value t="str">
            <val>9.01</val>
          </value>
          <value t="str">
            <val>1.09</val>
          </value>
          <value>
            <val>0</val>
          </value>
          <value t="str">
            <val>0.12</val>
          </value>
          <value>
            <val>0</val>
          </value>
          <value t="str">
            <val>10.38</val>
          </value>
          <value t="str">
            <val>上市光電</val>
          </value>
        </values>
      </ddeItem>
      <ddeItem name="6226.TW-PreTotalVolume,ChipsField25,ChipsField27,DateofMeetingofShareHolders,CompanyPos,TradingDate" advise="1">
        <values cols="6">
          <value>
            <val>5882</val>
          </value>
          <value t="str">
            <val>--</val>
          </value>
          <value t="str">
            <val>--</val>
          </value>
          <value t="str">
            <val>2021/07/16</val>
          </value>
          <value t="str">
            <val>專注於LED照明市場之封裝業者</val>
          </value>
          <value t="str">
            <val>2022/01/03</val>
          </value>
        </values>
      </ddeItem>
      <ddeItem name="6270.TW-ID,Name,Price,PriceChangeRatio,Low,High,Volume,InOutRatioNumber,Capital,ProfitMargin" advise="1">
        <values cols="10">
          <value t="str">
            <val>6270</val>
          </value>
          <value t="str">
            <val>倍微</val>
          </value>
          <value>
            <val>24.95</val>
          </value>
          <value>
            <val>-1.19</val>
          </value>
          <value>
            <val>24.5</val>
          </value>
          <value>
            <val>25.3</val>
          </value>
          <value>
            <val>30</val>
          </value>
          <value t="str">
            <val>15.46%</val>
          </value>
          <value t="str">
            <val>7.21</val>
          </value>
          <value t="str">
            <val>9.62</val>
          </value>
        </values>
      </ddeItem>
      <ddeItem name="6270.TW-OperatingProfitRatio,NetProfitMargin,TFXRatio,MonthlyNetSalesYoY,ReturnOnAssets,DividendYear,ProfitFourSeason,CashDividendYieldRate,StockNetValue,ExchangeIndustry" advise="1">
        <values cols="10">
          <value t="str">
            <val>4.20</val>
          </value>
          <value t="str">
            <val>4.52</val>
          </value>
          <value t="str">
            <val>-7.54</val>
          </value>
          <value t="str">
            <val>-0.65</val>
          </value>
          <value t="str">
            <val>6.66</val>
          </value>
          <value>
            <val>1.2</val>
          </value>
          <value t="str">
            <val>2.16</val>
          </value>
          <value>
            <val>4.8099999999999996</val>
          </value>
          <value t="str">
            <val>19.18</val>
          </value>
          <value t="str">
            <val>上櫃電子通路</val>
          </value>
        </values>
      </ddeItem>
      <ddeItem name="6270.TW-PreTotalVolume,ChipsField25,ChipsField27,DateofMeetingofShareHolders,CompanyPos,TradingDate" advise="1">
        <values cols="6">
          <value>
            <val>2731</val>
          </value>
          <value t="str">
            <val>2021/08/12</val>
          </value>
          <value t="str">
            <val>--</val>
          </value>
          <value t="str">
            <val>2021/07/23</val>
          </value>
          <value t="str">
            <val>台灣最大編碼型快閃記憶體(Nor Flash)通路商</val>
          </value>
          <value t="str">
            <val>2022/01/03</val>
          </value>
        </values>
      </ddeItem>
      <ddeItem name="6443.TW-ID,Name,Price,PriceChangeRatio,Low,High,Volume,InOutRatioNumber,Capital,ProfitMargin" advise="1">
        <values cols="10">
          <value t="str">
            <val>6443</val>
          </value>
          <value t="str">
            <val>元晶</val>
          </value>
          <value>
            <val>42.05</val>
          </value>
          <value>
            <val>-1.06</val>
          </value>
          <value>
            <val>41.9</val>
          </value>
          <value>
            <val>43.25</val>
          </value>
          <value>
            <val>1116</val>
          </value>
          <value t="str">
            <val>34.43%</val>
          </value>
          <value t="str">
            <val>44.58</val>
          </value>
          <value t="str">
            <val>2.16</val>
          </value>
        </values>
      </ddeItem>
      <ddeItem name="6443.TW-OperatingProfitRatio,NetProfitMargin,TFXRatio,MonthlyNetSalesYoY,ReturnOnAssets,DividendYear,ProfitFourSeason,CashDividendYieldRate,StockNetValue,ExchangeIndustry" advise="1">
        <values cols="10">
          <value t="str">
            <val>-5.34</val>
          </value>
          <value t="str">
            <val>-5.05</val>
          </value>
          <value t="str">
            <val>51.46</val>
          </value>
          <value t="str">
            <val>131.75</val>
          </value>
          <value t="str">
            <val>-1.60</val>
          </value>
          <value>
            <val>0</val>
          </value>
          <value t="str">
            <val>-0.49</val>
          </value>
          <value>
            <val>0</val>
          </value>
          <value t="str">
            <val>10.22</val>
          </value>
          <value t="str">
            <val>上市光電</val>
          </value>
        </values>
      </ddeItem>
      <ddeItem name="6443.TW-PreTotalVolume,ChipsField25,ChipsField27,DateofMeetingofShareHolders,CompanyPos,TradingDate" advise="1">
        <values cols="6">
          <value>
            <val>25832</val>
          </value>
          <value t="str">
            <val>--</val>
          </value>
          <value t="str">
            <val>--</val>
          </value>
          <value t="str">
            <val>2021/04/07</val>
          </value>
          <value t="str">
            <val>遠雄轉投資太陽能電池廠商</val>
          </value>
          <value t="str">
            <val>2022/01/03</val>
          </value>
        </values>
      </ddeItem>
      <ddeItem name="6446.TW-ID,Name,Price,PriceChangeRatio,Low,High,Volume,InOutRatioNumber,Capital,ProfitMargin" advise="1">
        <values cols="10">
          <value t="str">
            <val>6446</val>
          </value>
          <value t="str">
            <val>藥華藥</val>
          </value>
          <value>
            <val>264</val>
          </value>
          <value>
            <val>-9.9</val>
          </value>
          <value>
            <val>264</val>
          </value>
          <value>
            <val>288</val>
          </value>
          <value>
            <val>13</val>
          </value>
          <value t="str">
            <val>11.95%</val>
          </value>
          <value t="str">
            <val>27.71</val>
          </value>
          <value t="str">
            <val>22.76</val>
          </value>
        </values>
      </ddeItem>
      <ddeItem name="6446.TW-OperatingProfitRatio,NetProfitMargin,TFXRatio,MonthlyNetSalesYoY,ReturnOnAssets,DividendYear,ProfitFourSeason,CashDividendYieldRate,StockNetValue,ExchangeIndustry" advise="1">
        <values cols="10">
          <value t="str">
            <val>-676.48</val>
          </value>
          <value t="str">
            <val>-695.90</val>
          </value>
          <value t="str">
            <val>431.51</val>
          </value>
          <value t="str">
            <val>3.02</val>
          </value>
          <value t="str">
            <val>-42.58</val>
          </value>
          <value>
            <val>0</val>
          </value>
          <value t="str">
            <val>-10.79</val>
          </value>
          <value>
            <val>0</val>
          </value>
          <value t="str">
            <val>7.43</val>
          </value>
          <value t="str">
            <val>上櫃生技醫療</val>
          </value>
        </values>
      </ddeItem>
      <ddeItem name="6446.TW-PreTotalVolume,ChipsField25,ChipsField27,DateofMeetingofShareHolders,CompanyPos,TradingDate" advise="1">
        <values cols="6">
          <value>
            <val>1571</val>
          </value>
          <value t="str">
            <val>--</val>
          </value>
          <value t="str">
            <val>--</val>
          </value>
          <value t="str">
            <val>2021/08/05</val>
          </value>
          <value t="str">
            <val>罕見真性紅血球增生症藥物研發廠商</val>
          </value>
          <value t="str">
            <val>2022/01/03</val>
          </value>
        </values>
      </ddeItem>
      <ddeItem name="6523.TW-ID,Name,Price,PriceChangeRatio,Low,High,Volume,InOutRatioNumber,Capital,ProfitMargin" advise="1">
        <values cols="10">
          <value t="str">
            <val>6523</val>
          </value>
          <value t="str">
            <val>達爾膚</val>
          </value>
          <value>
            <val>100.5</val>
          </value>
          <value>
            <val>0</val>
          </value>
          <value>
            <val>99.5</val>
          </value>
          <value>
            <val>101.5</val>
          </value>
          <value>
            <val>37</val>
          </value>
          <value t="str">
            <val>37.17%</val>
          </value>
          <value t="str">
            <val>4.50</val>
          </value>
          <value t="str">
            <val>62.56</val>
          </value>
        </values>
      </ddeItem>
      <ddeItem name="6523.TW-OperatingProfitRatio,NetProfitMargin,TFXRatio,MonthlyNetSalesYoY,ReturnOnAssets,DividendYear,ProfitFourSeason,CashDividendYieldRate,StockNetValue,ExchangeIndustry" advise="1">
        <values cols="10">
          <value t="str">
            <val>35.53</val>
          </value>
          <value t="str">
            <val>26.52</val>
          </value>
          <value t="str">
            <val>-4.13</val>
          </value>
          <value t="str">
            <val>36.43</val>
          </value>
          <value t="str">
            <val>9.74</val>
          </value>
          <value>
            <val>4</val>
          </value>
          <value t="str">
            <val>16.46</val>
          </value>
          <value>
            <val>3.98</val>
          </value>
          <value t="str">
            <val>37.30</val>
          </value>
          <value t="str">
            <val>上櫃生技醫療</val>
          </value>
        </values>
      </ddeItem>
      <ddeItem name="6523.TW-PreTotalVolume,ChipsField25,ChipsField27,DateofMeetingofShareHolders,CompanyPos,TradingDate" advise="1">
        <values cols="6">
          <value>
            <val>1564</val>
          </value>
          <value t="str">
            <val>2021/12/02</val>
          </value>
          <value t="str">
            <val>--</val>
          </value>
          <value t="str">
            <val>2021/07/07</val>
          </value>
          <value t="str">
            <val>台灣第一大醫美品牌DR.WU</val>
          </value>
          <value t="str">
            <val>2022/01/03</val>
          </value>
        </values>
      </ddeItem>
      <ddeItem name="6547.TW-ID,Name,Price,PriceChangeRatio,Low,High,Volume,InOutRatioNumber,Capital,ProfitMargin" advise="1">
        <values cols="10">
          <value t="str">
            <val>6547</val>
          </value>
          <value t="str">
            <val>高端疫苗</val>
          </value>
          <value>
            <val>279.5</val>
          </value>
          <value>
            <val>-6.52</val>
          </value>
          <value>
            <val>269.5</val>
          </value>
          <value>
            <val>288</val>
          </value>
          <value>
            <val>144</val>
          </value>
          <value t="str">
            <val>24.16%</val>
          </value>
          <value t="str">
            <val>21.30</val>
          </value>
          <value t="str">
            <val>69.93</val>
          </value>
        </values>
      </ddeItem>
      <ddeItem name="6547.TW-OperatingProfitRatio,NetProfitMargin,TFXRatio,MonthlyNetSalesYoY,ReturnOnAssets,DividendYear,ProfitFourSeason,CashDividendYieldRate,StockNetValue,ExchangeIndustry" advise="1">
        <values cols="10">
          <value t="str">
            <val>-6.79</val>
          </value>
          <value t="str">
            <val>27.54</val>
          </value>
          <value t="str">
            <val>97.28</val>
          </value>
          <value t="str">
            <val>51652.50</val>
          </value>
          <value t="str">
            <val>8.76</val>
          </value>
          <value>
            <val>0</val>
          </value>
          <value t="str">
            <val>0.77</val>
          </value>
          <value>
            <val>0</val>
          </value>
          <value t="str">
            <val>16.83</val>
          </value>
          <value t="str">
            <val>上櫃生技醫療</val>
          </value>
        </values>
      </ddeItem>
      <ddeItem name="6547.TW-PreTotalVolume,ChipsField25,ChipsField27,DateofMeetingofShareHolders,CompanyPos,TradingDate" advise="1">
        <values cols="6">
          <value>
            <val>3616</val>
          </value>
          <value t="str">
            <val>--</val>
          </value>
          <value t="str">
            <val>--</val>
          </value>
          <value t="str">
            <val>2021/08/17</val>
          </value>
          <value t="str">
            <val>基亞旗下腸病毒及流感疫苗研發廠</val>
          </value>
          <value t="str">
            <val>2022/01/03</val>
          </value>
        </values>
      </ddeItem>
      <ddeItem name="6589.TW-ID,Name,Price,PriceChangeRatio,Low,High,Volume,InOutRatioNumber,Capital,ProfitMargin" advise="1">
        <values cols="10">
          <value t="str">
            <val>6589</val>
          </value>
          <value t="str">
            <val>台康生技</val>
          </value>
          <value>
            <val>107.5</val>
          </value>
          <value>
            <val>-3.59</val>
          </value>
          <value>
            <val>107</val>
          </value>
          <value>
            <val>112</val>
          </value>
          <value>
            <val>77</val>
          </value>
          <value t="str">
            <val>24.28%</val>
          </value>
          <value t="str">
            <val>30.12</val>
          </value>
          <value t="str">
            <val>68.47</val>
          </value>
        </values>
      </ddeItem>
      <ddeItem name="6589.TW-OperatingProfitRatio,NetProfitMargin,TFXRatio,MonthlyNetSalesYoY,ReturnOnAssets,DividendYear,ProfitFourSeason,CashDividendYieldRate,StockNetValue,ExchangeIndustry" advise="1">
        <values cols="10">
          <value t="str">
            <val>-5.35</val>
          </value>
          <value t="str">
            <val>-3.59</val>
          </value>
          <value t="str">
            <val>16.44</val>
          </value>
          <value t="str">
            <val>59.25</val>
          </value>
          <value t="str">
            <val>-0.60</val>
          </value>
          <value>
            <val>0</val>
          </value>
          <value t="str">
            <val>-1.57</val>
          </value>
          <value>
            <val>0</val>
          </value>
          <value t="str">
            <val>21.86</val>
          </value>
          <value t="str">
            <val>上櫃生技醫療</val>
          </value>
        </values>
      </ddeItem>
      <ddeItem name="6589.TW-PreTotalVolume,ChipsField25,ChipsField27,DateofMeetingofShareHolders,CompanyPos,TradingDate" advise="1">
        <values cols="6">
          <value>
            <val>1159</val>
          </value>
          <value t="str">
            <val>--</val>
          </value>
          <value t="str">
            <val>--</val>
          </value>
          <value t="str">
            <val>2021/08/03</val>
          </value>
          <value t="str">
            <val>台灣生技藥品委託開發生產服務廠商</val>
          </value>
          <value t="str">
            <val>2022/01/03</val>
          </value>
        </values>
      </ddeItem>
      <ddeItem name="6770.TW-ID,Name,Price,PriceChangeRatio,Low,High,Volume,InOutRatioNumber,Capital,ProfitMargin" advise="1">
        <values cols="10">
          <value t="str">
            <val>6770</val>
          </value>
          <value t="str">
            <val>力積電</val>
          </value>
          <value>
            <val>70</val>
          </value>
          <value>
            <val>-1.69</val>
          </value>
          <value>
            <val>69.8</val>
          </value>
          <value>
            <val>71.2</val>
          </value>
          <value>
            <val>935</val>
          </value>
          <value t="str">
            <val>45.10%</val>
          </value>
          <value t="str">
            <val>353.52</val>
          </value>
          <value t="str">
            <val>39.27</val>
          </value>
        </values>
      </ddeItem>
      <ddeItem name="6770.TW-OperatingProfitRatio,NetProfitMargin,TFXRatio,MonthlyNetSalesYoY,ReturnOnAssets,DividendYear,ProfitFourSeason,CashDividendYieldRate,StockNetValue,ExchangeIndustry" advise="1">
        <values cols="10">
          <value t="str">
            <val>27.37</val>
          </value>
          <value t="str">
            <val>21.57</val>
          </value>
          <value t="str">
            <val>9.01</val>
          </value>
          <value t="str">
            <val>70.45</val>
          </value>
          <value t="str">
            <val>11.13</val>
          </value>
          <value>
            <val>0.49</val>
          </value>
          <value t="str">
            <val>3.44</val>
          </value>
          <value>
            <val>0.7</val>
          </value>
          <value t="str">
            <val>15.32</val>
          </value>
          <value t="str">
            <val>上市半導體</val>
          </value>
        </values>
      </ddeItem>
      <ddeItem name="6770.TW-PreTotalVolume,ChipsField25,ChipsField27,DateofMeetingofShareHolders,CompanyPos,TradingDate" advise="1">
        <values cols="6">
          <value>
            <val>12217</val>
          </value>
          <value t="str">
            <val>2021/08/25</val>
          </value>
          <value t="str">
            <val>--</val>
          </value>
          <value t="str">
            <val>2021/07/02</val>
          </value>
          <value t="str">
            <val>全球前十大晶圓代工廠之一</val>
          </value>
          <value t="str">
            <val>2022/01/03</val>
          </value>
        </values>
      </ddeItem>
      <ddeItem name="8027.TW-ID,Name,Price,PriceChangeRatio,Low,High,Volume,InOutRatioNumber,Capital,ProfitMargin" advise="1">
        <values cols="10">
          <value t="str">
            <val>8027</val>
          </value>
          <value t="str">
            <val>鈦昇</val>
          </value>
          <value>
            <val>82.3</val>
          </value>
          <value>
            <val>-3.18</val>
          </value>
          <value>
            <val>81.900000000000006</val>
          </value>
          <value>
            <val>85.9</val>
          </value>
          <value>
            <val>119</val>
          </value>
          <value t="str">
            <val>24.40%</val>
          </value>
          <value t="str">
            <val>10.01</val>
          </value>
          <value t="str">
            <val>33.95</val>
          </value>
        </values>
      </ddeItem>
      <ddeItem name="8027.TW-OperatingProfitRatio,NetProfitMargin,TFXRatio,MonthlyNetSalesYoY,ReturnOnAssets,DividendYear,ProfitFourSeason,CashDividendYieldRate,StockNetValue,ExchangeIndustry" advise="1">
        <values cols="10">
          <value t="str">
            <val>13.42</val>
          </value>
          <value t="str">
            <val>10.61</val>
          </value>
          <value t="str">
            <val>-23.93</val>
          </value>
          <value t="str">
            <val>-18.34</val>
          </value>
          <value t="str">
            <val>6.98</val>
          </value>
          <value>
            <val>1.19</val>
          </value>
          <value t="str">
            <val>3.04</val>
          </value>
          <value>
            <val>1.45</val>
          </value>
          <value t="str">
            <val>23.47</val>
          </value>
          <value t="str">
            <val>上櫃電機機械</val>
          </value>
        </values>
      </ddeItem>
      <ddeItem name="8027.TW-PreTotalVolume,ChipsField25,ChipsField27,DateofMeetingofShareHolders,CompanyPos,TradingDate" advise="1">
        <values cols="6">
          <value>
            <val>5850</val>
          </value>
          <value t="str">
            <val>2021/04/08</val>
          </value>
          <value t="str">
            <val>--</val>
          </value>
          <value t="str">
            <val>2021/08/04</val>
          </value>
          <value t="str">
            <val>專業於半導體、主機板、高階基板材料等設備廠商</val>
          </value>
          <value t="str">
            <val>2022/01/03</val>
          </value>
        </values>
      </ddeItem>
      <ddeItem name="8034.TW-ID,Name,Price,PriceChangeRatio,Low,High,Volume,InOutRatioNumber,Capital,ProfitMargin" advise="1">
        <values cols="10">
          <value t="str">
            <val>8034</val>
          </value>
          <value t="str">
            <val>榮群</val>
          </value>
          <value>
            <val>20.8</val>
          </value>
          <value>
            <val>-1.89</val>
          </value>
          <value>
            <val>20.5</val>
          </value>
          <value>
            <val>21.8</val>
          </value>
          <value>
            <val>168</val>
          </value>
          <value t="str">
            <val>31.50%</val>
          </value>
          <value t="str">
            <val>6.29</val>
          </value>
          <value t="str">
            <val>25.27</val>
          </value>
        </values>
      </ddeItem>
      <ddeItem name="8034.TW-OperatingProfitRatio,NetProfitMargin,TFXRatio,MonthlyNetSalesYoY,ReturnOnAssets,DividendYear,ProfitFourSeason,CashDividendYieldRate,StockNetValue,ExchangeIndustry" advise="1">
        <values cols="10">
          <value t="str">
            <val>-3.32</val>
          </value>
          <value t="str">
            <val>0.67</val>
          </value>
          <value t="str">
            <val>1087.88</val>
          </value>
          <value t="str">
            <val>229.71</val>
          </value>
          <value t="str">
            <val>0.27</val>
          </value>
          <value>
            <val>0</val>
          </value>
          <value t="str">
            <val>0.16</val>
          </value>
          <value>
            <val>0</val>
          </value>
          <value t="str">
            <val>10.23</val>
          </value>
          <value t="str">
            <val>上櫃通信網路</val>
          </value>
        </values>
      </ddeItem>
      <ddeItem name="8034.TW-PreTotalVolume,ChipsField25,ChipsField27,DateofMeetingofShareHolders,CompanyPos,TradingDate" advise="1">
        <values cols="6">
          <value>
            <val>1203</val>
          </value>
          <value t="str">
            <val>--</val>
          </value>
          <value t="str">
            <val>--</val>
          </value>
          <value t="str">
            <val>2021/08/24</val>
          </value>
          <value t="str">
            <val>台灣網路接取設備製造商</val>
          </value>
          <value t="str">
            <val>2022/01/03</val>
          </value>
        </values>
      </ddeItem>
      <ddeItem name="8163.TW-ID,Name,Price,PriceChangeRatio,Low,High,Volume,InOutRatioNumber,Capital,ProfitMargin" advise="1">
        <values cols="10">
          <value t="str">
            <val>8163</val>
          </value>
          <value t="str">
            <val>達方</val>
          </value>
          <value>
            <val>49.5</val>
          </value>
          <value>
            <val>-2.37</val>
          </value>
          <value>
            <val>49.4</val>
          </value>
          <value>
            <val>51</val>
          </value>
          <value>
            <val>179</val>
          </value>
          <value t="str">
            <val>25.19%</val>
          </value>
          <value t="str">
            <val>28.00</val>
          </value>
          <value t="str">
            <val>16.71</val>
          </value>
        </values>
      </ddeItem>
      <ddeItem name="8163.TW-OperatingProfitRatio,NetProfitMargin,TFXRatio,MonthlyNetSalesYoY,ReturnOnAssets,DividendYear,ProfitFourSeason,CashDividendYieldRate,StockNetValue,ExchangeIndustry" advise="1">
        <values cols="10">
          <value t="str">
            <val>5.20</val>
          </value>
          <value t="str">
            <val>4.61</val>
          </value>
          <value t="str">
            <val>16.07</val>
          </value>
          <value t="str">
            <val>26.67</val>
          </value>
          <value t="str">
            <val>3.60</val>
          </value>
          <value>
            <val>2.5</val>
          </value>
          <value t="str">
            <val>3.89</val>
          </value>
          <value>
            <val>5.05</val>
          </value>
          <value t="str">
            <val>32.87</val>
          </value>
          <value t="str">
            <val>上市電腦及週邊設備</val>
          </value>
        </values>
      </ddeItem>
      <ddeItem name="8163.TW-PreTotalVolume,ChipsField25,ChipsField27,DateofMeetingofShareHolders,CompanyPos,TradingDate" advise="1">
        <values cols="6">
          <value>
            <val>3894</val>
          </value>
          <value t="str">
            <val>2021/08/23</val>
          </value>
          <value t="str">
            <val>--</val>
          </value>
          <value t="str">
            <val>2021/08/24</val>
          </value>
          <value t="str">
            <val>屬明基友達集團，為全球前兩大LCD TV換流器與NB鍵盤廠</val>
          </value>
          <value t="str">
            <val>2022/01/03</val>
          </value>
        </values>
      </ddeItem>
      <ddeItem name="8213.TW-ID,Name,Price,PriceChangeRatio,Low,High,Volume,InOutRatioNumber,Capital,ProfitMargin" advise="1">
        <values cols="10">
          <value t="str">
            <val>8213</val>
          </value>
          <value t="str">
            <val>志超</val>
          </value>
          <value>
            <val>48.3</val>
          </value>
          <value>
            <val>-0.51</val>
          </value>
          <value>
            <val>48.3</val>
          </value>
          <value>
            <val>49.3</val>
          </value>
          <value>
            <val>82</val>
          </value>
          <value t="str">
            <val>28.03%</val>
          </value>
          <value t="str">
            <val>27.12</val>
          </value>
          <value t="str">
            <val>15.64</val>
          </value>
        </values>
      </ddeItem>
      <ddeItem name="8213.TW-OperatingProfitRatio,NetProfitMargin,TFXRatio,MonthlyNetSalesYoY,ReturnOnAssets,DividendYear,ProfitFourSeason,CashDividendYieldRate,StockNetValue,ExchangeIndustry" advise="1">
        <values cols="10">
          <value t="str">
            <val>8.60</val>
          </value>
          <value t="str">
            <val>6.58</val>
          </value>
          <value t="str">
            <val>1.07</val>
          </value>
          <value t="str">
            <val>17.35</val>
          </value>
          <value t="str">
            <val>4.43</val>
          </value>
          <value>
            <val>3.5</val>
          </value>
          <value t="str">
            <val>6.09</val>
          </value>
          <value>
            <val>7.25</val>
          </value>
          <value t="str">
            <val>48.41</val>
          </value>
          <value t="str">
            <val>上市電子零組件</val>
          </value>
        </values>
      </ddeItem>
      <ddeItem name="8213.TW-PreTotalVolume,ChipsField25,ChipsField27,DateofMeetingofShareHolders,CompanyPos,TradingDate" advise="1">
        <values cols="6">
          <value>
            <val>1436</val>
          </value>
          <value t="str">
            <val>2021/06/29</val>
          </value>
          <value t="str">
            <val>--</val>
          </value>
          <value t="str">
            <val>2021/07/01</val>
          </value>
          <value t="str">
            <val>全球最大光電板廠商</val>
          </value>
          <value t="str">
            <val>2022/01/03</val>
          </value>
        </values>
      </ddeItem>
      <ddeItem name="8271.TW-ID,Name,Price,PriceChangeRatio,Low,High,Volume,InOutRatioNumber,Capital,ProfitMargin" advise="1">
        <values cols="10">
          <value t="str">
            <val>8271</val>
          </value>
          <value t="str">
            <val>宇瞻</val>
          </value>
          <value>
            <val>47.55</val>
          </value>
          <value>
            <val>-2.2599999999999998</val>
          </value>
          <value>
            <val>47.4</val>
          </value>
          <value>
            <val>48.6</val>
          </value>
          <value>
            <val>18</val>
          </value>
          <value t="str">
            <val>20.81%</val>
          </value>
          <value t="str">
            <val>10.18</val>
          </value>
          <value t="str">
            <val>17.76</val>
          </value>
        </values>
      </ddeItem>
      <ddeItem name="8271.TW-OperatingProfitRatio,NetProfitMargin,TFXRatio,MonthlyNetSalesYoY,ReturnOnAssets,DividendYear,ProfitFourSeason,CashDividendYieldRate,StockNetValue,ExchangeIndustry" advise="1">
        <values cols="10">
          <value t="str">
            <val>7.61</val>
          </value>
          <value t="str">
            <val>6.23</val>
          </value>
          <value t="str">
            <val>21.62</val>
          </value>
          <value t="str">
            <val>25.87</val>
          </value>
          <value t="str">
            <val>9.43</val>
          </value>
          <value>
            <val>2.02</val>
          </value>
          <value t="str">
            <val>4.56</val>
          </value>
          <value>
            <val>4.25</val>
          </value>
          <value t="str">
            <val>29.62</val>
          </value>
          <value t="str">
            <val>上市半導體</val>
          </value>
        </values>
      </ddeItem>
      <ddeItem name="8271.TW-PreTotalVolume,ChipsField25,ChipsField27,DateofMeetingofShareHolders,CompanyPos,TradingDate" advise="1">
        <values cols="6">
          <value>
            <val>2654</val>
          </value>
          <value t="str">
            <val>2021/07/30</val>
          </value>
          <value t="str">
            <val>--</val>
          </value>
          <value t="str">
            <val>2021/07/14</val>
          </value>
          <value t="str">
            <val>全球前十大DRAM模組廠</val>
          </value>
          <value t="str">
            <val>2022/01/03</val>
          </value>
        </values>
      </ddeItem>
      <ddeItem name="9904.TW-ID,Name,Price,PriceChangeRatio,Low,High,Volume,InOutRatioNumber,Capital,ProfitMargin" advise="1">
        <values cols="10">
          <value t="str">
            <val>9904</val>
          </value>
          <value t="str">
            <val>寶成</val>
          </value>
          <value>
            <val>32.799999999999997</val>
          </value>
          <value>
            <val>-1.06</val>
          </value>
          <value>
            <val>32.799999999999997</val>
          </value>
          <value>
            <val>33.450000000000003</val>
          </value>
          <value>
            <val>526</val>
          </value>
          <value t="str">
            <val>29.91%</val>
          </value>
          <value t="str">
            <val>294.68</val>
          </value>
          <value t="str">
            <val>24.47</val>
          </value>
        </values>
      </ddeItem>
      <ddeItem name="9904.TW-OperatingProfitRatio,NetProfitMargin,TFXRatio,MonthlyNetSalesYoY,ReturnOnAssets,DividendYear,ProfitFourSeason,CashDividendYieldRate,StockNetValue,ExchangeIndustry" advise="1">
        <values cols="10">
          <value t="str">
            <val>1.67</val>
          </value>
          <value t="str">
            <val>8.28</val>
          </value>
          <value t="str">
            <val>9.71</val>
          </value>
          <value t="str">
            <val>-11.79</val>
          </value>
          <value t="str">
            <val>4.44</val>
          </value>
          <value>
            <val>0.5</val>
          </value>
          <value t="str">
            <val>4.54</val>
          </value>
          <value>
            <val>1.52</val>
          </value>
          <value t="str">
            <val>43.96</val>
          </value>
          <value t="str">
            <val>上市其他</val>
          </value>
        </values>
      </ddeItem>
      <ddeItem name="9904.TW-PreTotalVolume,ChipsField25,ChipsField27,DateofMeetingofShareHolders,CompanyPos,TradingDate" advise="1">
        <values cols="6">
          <value>
            <val>3100</val>
          </value>
          <value t="str">
            <val>2021/07/14</val>
          </value>
          <value t="str">
            <val>--</val>
          </value>
          <value t="str">
            <val>2021/07/26</val>
          </value>
          <value t="str">
            <val>全球運動鞋及休閒鞋代工龍頭</val>
          </value>
          <value t="str">
            <val>2022/01/03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E942-E585-4291-B1CF-99923CFAB9FA}">
  <dimension ref="A1:Z101"/>
  <sheetViews>
    <sheetView tabSelected="1" topLeftCell="N91" workbookViewId="0">
      <selection activeCell="U101" sqref="U101:Z101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tr">
        <f t="array" ref="A2:J2">[1]!'2101.TW-ID,Name,Price,PriceChangeRatio,Low,High,Volume,InOutRatioNumber,Capital,ProfitMargin'</f>
        <v>2101</v>
      </c>
      <c r="B2" t="str">
        <v>南港</v>
      </c>
      <c r="C2">
        <v>40.200000000000003</v>
      </c>
      <c r="D2">
        <v>0.25</v>
      </c>
      <c r="E2">
        <v>39.700000000000003</v>
      </c>
      <c r="F2">
        <v>40.299999999999997</v>
      </c>
      <c r="G2">
        <v>196</v>
      </c>
      <c r="H2" t="str">
        <v>39.34%</v>
      </c>
      <c r="I2" t="str">
        <v>83.39</v>
      </c>
      <c r="J2" t="str">
        <v>17.52</v>
      </c>
      <c r="K2" t="str">
        <f t="array" ref="K2:T2">[1]!'2101.TW-OperatingProfitRatio,NetProfitMargin,TFXRatio,MonthlyNetSalesYoY,ReturnOnAssets,DividendYear,ProfitFourSeason,CashDividendYieldRate,StockNetValue,ExchangeIndustry'</f>
        <v>-9.90</v>
      </c>
      <c r="L2" t="str">
        <v>4.68</v>
      </c>
      <c r="M2" t="str">
        <v>2.47</v>
      </c>
      <c r="N2" t="str">
        <v>-32.02</v>
      </c>
      <c r="O2" t="str">
        <v>1.02</v>
      </c>
      <c r="P2">
        <v>0.95</v>
      </c>
      <c r="Q2" t="str">
        <v>0.57</v>
      </c>
      <c r="R2">
        <v>2.36</v>
      </c>
      <c r="S2" t="str">
        <v>14.04</v>
      </c>
      <c r="T2" t="str">
        <v>上市橡膠</v>
      </c>
      <c r="U2">
        <f t="array" ref="U2:Z2">[1]!'2101.TW-PreTotalVolume,ChipsField25,ChipsField27,DateofMeetingofShareHolders,CompanyPos,TradingDate'</f>
        <v>24948</v>
      </c>
      <c r="V2" t="str">
        <v>2021/05/12</v>
      </c>
      <c r="W2" t="str">
        <v>--</v>
      </c>
      <c r="X2" t="str">
        <v>2021/05/12</v>
      </c>
      <c r="Y2" t="str">
        <v>台灣擁有土地資產的老牌輪胎廠</v>
      </c>
      <c r="Z2" t="str">
        <v>2022/01/03</v>
      </c>
    </row>
    <row r="3" spans="1:26" x14ac:dyDescent="0.3">
      <c r="A3" t="str">
        <f t="array" ref="A3:J3">[1]!'2867.TW-ID,Name,Price,PriceChangeRatio,Low,High,Volume,InOutRatioNumber,Capital,ProfitMargin'</f>
        <v>2867</v>
      </c>
      <c r="B3" t="str">
        <v>三商壽</v>
      </c>
      <c r="C3">
        <v>9.19</v>
      </c>
      <c r="D3">
        <v>-0.54</v>
      </c>
      <c r="E3">
        <v>9.16</v>
      </c>
      <c r="F3">
        <v>9.25</v>
      </c>
      <c r="G3">
        <v>114</v>
      </c>
      <c r="H3" t="str">
        <v>29.38%</v>
      </c>
      <c r="I3" t="str">
        <v>266.95</v>
      </c>
      <c r="J3" t="str">
        <v>2.80</v>
      </c>
      <c r="K3" t="str">
        <f t="array" ref="K3:T3">[1]!'2867.TW-OperatingProfitRatio,NetProfitMargin,TFXRatio,MonthlyNetSalesYoY,ReturnOnAssets,DividendYear,ProfitFourSeason,CashDividendYieldRate,StockNetValue,ExchangeIndustry'</f>
        <v>-0.31</v>
      </c>
      <c r="L3" t="str">
        <v>1.83</v>
      </c>
      <c r="M3" t="str">
        <v>1.28</v>
      </c>
      <c r="N3" t="str">
        <v>-37.87</v>
      </c>
      <c r="O3" t="str">
        <v>0.14</v>
      </c>
      <c r="P3">
        <v>0.14000000000000001</v>
      </c>
      <c r="Q3" t="str">
        <v>1.22</v>
      </c>
      <c r="R3">
        <v>1.52</v>
      </c>
      <c r="S3" t="str">
        <v>15.79</v>
      </c>
      <c r="T3" t="str">
        <v>上市金融保險</v>
      </c>
      <c r="U3">
        <f t="array" ref="U3:Z3">[1]!'2867.TW-PreTotalVolume,ChipsField25,ChipsField27,DateofMeetingofShareHolders,CompanyPos,TradingDate'</f>
        <v>2448</v>
      </c>
      <c r="V3" t="str">
        <v>--</v>
      </c>
      <c r="W3" t="str">
        <v>2021/10/12</v>
      </c>
      <c r="X3" t="str">
        <v>2021/08/20</v>
      </c>
      <c r="Y3" t="str">
        <v>台灣排名前七大的壽險公司，隸屬三商集團</v>
      </c>
      <c r="Z3" t="str">
        <v>2022/01/03</v>
      </c>
    </row>
    <row r="4" spans="1:26" x14ac:dyDescent="0.3">
      <c r="A4" t="str">
        <f t="array" ref="A4:J4">[1]!'1102.TW-ID,Name,Price,PriceChangeRatio,Low,High,Volume,InOutRatioNumber,Capital,ProfitMargin'</f>
        <v>1102</v>
      </c>
      <c r="B4" t="str">
        <v>亞泥</v>
      </c>
      <c r="C4">
        <v>44</v>
      </c>
      <c r="D4">
        <v>-0.68</v>
      </c>
      <c r="E4">
        <v>43.85</v>
      </c>
      <c r="F4">
        <v>44.45</v>
      </c>
      <c r="G4">
        <v>324</v>
      </c>
      <c r="H4" t="str">
        <v>29.88%</v>
      </c>
      <c r="I4" t="str">
        <v>359.94</v>
      </c>
      <c r="J4" t="str">
        <v>22.95</v>
      </c>
      <c r="K4" t="str">
        <f t="array" ref="K4:T4">[1]!'1102.TW-OperatingProfitRatio,NetProfitMargin,TFXRatio,MonthlyNetSalesYoY,ReturnOnAssets,DividendYear,ProfitFourSeason,CashDividendYieldRate,StockNetValue,ExchangeIndustry'</f>
        <v>19.13</v>
      </c>
      <c r="L4" t="str">
        <v>19.84</v>
      </c>
      <c r="M4" t="str">
        <v>-4.96</v>
      </c>
      <c r="N4" t="str">
        <v>13.40</v>
      </c>
      <c r="O4" t="str">
        <v>4.48</v>
      </c>
      <c r="P4">
        <v>3.46</v>
      </c>
      <c r="Q4" t="str">
        <v>4.89</v>
      </c>
      <c r="R4">
        <v>7.86</v>
      </c>
      <c r="S4" t="str">
        <v>42.80</v>
      </c>
      <c r="T4" t="str">
        <v>上市水泥</v>
      </c>
      <c r="U4">
        <f t="array" ref="U4:Z4">[1]!'1102.TW-PreTotalVolume,ChipsField25,ChipsField27,DateofMeetingofShareHolders,CompanyPos,TradingDate'</f>
        <v>2657</v>
      </c>
      <c r="V4" t="str">
        <v>2021/08/05</v>
      </c>
      <c r="W4" t="str">
        <v>--</v>
      </c>
      <c r="X4" t="str">
        <v>2021/07/23</v>
      </c>
      <c r="Y4" t="str">
        <v>台灣第二大水泥廠</v>
      </c>
      <c r="Z4" t="str">
        <v>2022/01/03</v>
      </c>
    </row>
    <row r="5" spans="1:26" x14ac:dyDescent="0.3">
      <c r="A5" t="str">
        <f t="array" ref="A5:J5">[1]!'2610.TW-ID,Name,Price,PriceChangeRatio,Low,High,Volume,InOutRatioNumber,Capital,ProfitMargin'</f>
        <v>2610</v>
      </c>
      <c r="B5" t="str">
        <v>華航</v>
      </c>
      <c r="C5">
        <v>26.3</v>
      </c>
      <c r="D5">
        <v>-4.54</v>
      </c>
      <c r="E5">
        <v>26.1</v>
      </c>
      <c r="F5">
        <v>27.8</v>
      </c>
      <c r="G5">
        <v>8089</v>
      </c>
      <c r="H5" t="str">
        <v>36.93%</v>
      </c>
      <c r="I5" t="str">
        <v>592.23</v>
      </c>
      <c r="J5" t="str">
        <v>10.98</v>
      </c>
      <c r="K5" t="str">
        <f t="array" ref="K5:T5">[1]!'2610.TW-OperatingProfitRatio,NetProfitMargin,TFXRatio,MonthlyNetSalesYoY,ReturnOnAssets,DividendYear,ProfitFourSeason,CashDividendYieldRate,StockNetValue,ExchangeIndustry'</f>
        <v>5.15</v>
      </c>
      <c r="L5" t="str">
        <v>1.20</v>
      </c>
      <c r="M5" t="str">
        <v>2.83</v>
      </c>
      <c r="N5" t="str">
        <v>52.85</v>
      </c>
      <c r="O5" t="str">
        <v>0.92</v>
      </c>
      <c r="P5">
        <v>0</v>
      </c>
      <c r="Q5" t="str">
        <v>0.68</v>
      </c>
      <c r="R5">
        <v>0</v>
      </c>
      <c r="S5" t="str">
        <v>11.03</v>
      </c>
      <c r="T5" t="str">
        <v>上市航運業</v>
      </c>
      <c r="U5">
        <f t="array" ref="U5:Z5">[1]!'2610.TW-PreTotalVolume,ChipsField25,ChipsField27,DateofMeetingofShareHolders,CompanyPos,TradingDate'</f>
        <v>144940</v>
      </c>
      <c r="V5" t="str">
        <v>--</v>
      </c>
      <c r="W5" t="str">
        <v>--</v>
      </c>
      <c r="X5" t="str">
        <v>2021/08/12</v>
      </c>
      <c r="Y5" t="str">
        <v>台灣最大航空公司</v>
      </c>
      <c r="Z5" t="str">
        <v>2022/01/03</v>
      </c>
    </row>
    <row r="6" spans="1:26" x14ac:dyDescent="0.3">
      <c r="A6" t="str">
        <f t="array" ref="A6:J6">[1]!'3481.TW-ID,Name,Price,PriceChangeRatio,Low,High,Volume,InOutRatioNumber,Capital,ProfitMargin'</f>
        <v>3481</v>
      </c>
      <c r="B6" t="str">
        <v>群創</v>
      </c>
      <c r="C6">
        <v>19.2</v>
      </c>
      <c r="D6">
        <v>-2.04</v>
      </c>
      <c r="E6">
        <v>19.2</v>
      </c>
      <c r="F6">
        <v>19.8</v>
      </c>
      <c r="G6">
        <v>7322</v>
      </c>
      <c r="H6" t="str">
        <v>27.42%</v>
      </c>
      <c r="I6" t="str">
        <v>1055.96</v>
      </c>
      <c r="J6" t="str">
        <v>29.37</v>
      </c>
      <c r="K6" t="str">
        <f t="array" ref="K6:T6">[1]!'3481.TW-OperatingProfitRatio,NetProfitMargin,TFXRatio,MonthlyNetSalesYoY,ReturnOnAssets,DividendYear,ProfitFourSeason,CashDividendYieldRate,StockNetValue,ExchangeIndustry'</f>
        <v>21.35</v>
      </c>
      <c r="L6" t="str">
        <v>19.10</v>
      </c>
      <c r="M6" t="str">
        <v>-0.80</v>
      </c>
      <c r="N6" t="str">
        <v>1.90</v>
      </c>
      <c r="O6" t="str">
        <v>12.41</v>
      </c>
      <c r="P6">
        <v>0.4</v>
      </c>
      <c r="Q6" t="str">
        <v>6.07</v>
      </c>
      <c r="R6">
        <v>2.08</v>
      </c>
      <c r="S6" t="str">
        <v>28.18</v>
      </c>
      <c r="T6" t="str">
        <v>上市光電</v>
      </c>
      <c r="U6">
        <f t="array" ref="U6:Z6">[1]!'3481.TW-PreTotalVolume,ChipsField25,ChipsField27,DateofMeetingofShareHolders,CompanyPos,TradingDate'</f>
        <v>115212</v>
      </c>
      <c r="V6" t="str">
        <v>2021/07/27</v>
      </c>
      <c r="W6" t="str">
        <v>--</v>
      </c>
      <c r="X6" t="str">
        <v>2021/07/01</v>
      </c>
      <c r="Y6" t="str">
        <v>全球知名面板大廠</v>
      </c>
      <c r="Z6" t="str">
        <v>2022/01/03</v>
      </c>
    </row>
    <row r="7" spans="1:26" x14ac:dyDescent="0.3">
      <c r="A7" t="str">
        <f t="array" ref="A7:J7">[1]!'2887.TW-ID,Name,Price,PriceChangeRatio,Low,High,Volume,InOutRatioNumber,Capital,ProfitMargin'</f>
        <v>2887</v>
      </c>
      <c r="B7" t="str">
        <v>台新金</v>
      </c>
      <c r="C7">
        <v>18.850000000000001</v>
      </c>
      <c r="D7">
        <v>-0.53</v>
      </c>
      <c r="E7">
        <v>18.8</v>
      </c>
      <c r="F7">
        <v>19.05</v>
      </c>
      <c r="G7">
        <v>961</v>
      </c>
      <c r="H7" t="str">
        <v>26.92%</v>
      </c>
      <c r="I7" t="str">
        <v>1140.94</v>
      </c>
      <c r="J7" t="str">
        <v>--</v>
      </c>
      <c r="K7" t="str">
        <f t="array" ref="K7:T7">[1]!'2887.TW-OperatingProfitRatio,NetProfitMargin,TFXRatio,MonthlyNetSalesYoY,ReturnOnAssets,DividendYear,ProfitFourSeason,CashDividendYieldRate,StockNetValue,ExchangeIndustry'</f>
        <v>--</v>
      </c>
      <c r="L7" t="str">
        <v>49.20</v>
      </c>
      <c r="M7" t="str">
        <v>16.10</v>
      </c>
      <c r="N7" t="str">
        <v>71.75</v>
      </c>
      <c r="O7" t="str">
        <v>0.76</v>
      </c>
      <c r="P7">
        <v>1.01</v>
      </c>
      <c r="Q7" t="str">
        <v>1.86</v>
      </c>
      <c r="R7">
        <v>5.36</v>
      </c>
      <c r="S7" t="str">
        <v>15.96</v>
      </c>
      <c r="T7" t="str">
        <v>上市金融保險</v>
      </c>
      <c r="U7">
        <f t="array" ref="U7:Z7">[1]!'2887.TW-PreTotalVolume,ChipsField25,ChipsField27,DateofMeetingofShareHolders,CompanyPos,TradingDate'</f>
        <v>15009</v>
      </c>
      <c r="V7" t="str">
        <v>2021/09/07</v>
      </c>
      <c r="W7" t="str">
        <v>2021/09/07</v>
      </c>
      <c r="X7" t="str">
        <v>2021/07/23</v>
      </c>
      <c r="Y7" t="str">
        <v>以消費金融業務為主體之台灣金控公司</v>
      </c>
      <c r="Z7" t="str">
        <v>2022/01/03</v>
      </c>
    </row>
    <row r="8" spans="1:26" x14ac:dyDescent="0.3">
      <c r="A8" t="str">
        <f t="array" ref="A8:J8">[1]!'2883.TW-ID,Name,Price,PriceChangeRatio,Low,High,Volume,InOutRatioNumber,Capital,ProfitMargin'</f>
        <v>2883</v>
      </c>
      <c r="B8" t="str">
        <v>開發金</v>
      </c>
      <c r="C8">
        <v>17.149999999999999</v>
      </c>
      <c r="D8">
        <v>-2</v>
      </c>
      <c r="E8">
        <v>17</v>
      </c>
      <c r="F8">
        <v>17.5</v>
      </c>
      <c r="G8">
        <v>4482</v>
      </c>
      <c r="H8" t="str">
        <v>28.64%</v>
      </c>
      <c r="I8" t="str">
        <v>1719.28</v>
      </c>
      <c r="J8" t="str">
        <v>--</v>
      </c>
      <c r="K8" t="str">
        <f t="array" ref="K8:T8">[1]!'2883.TW-OperatingProfitRatio,NetProfitMargin,TFXRatio,MonthlyNetSalesYoY,ReturnOnAssets,DividendYear,ProfitFourSeason,CashDividendYieldRate,StockNetValue,ExchangeIndustry'</f>
        <v>--</v>
      </c>
      <c r="L8" t="str">
        <v>72.32</v>
      </c>
      <c r="M8" t="str">
        <v>83.81</v>
      </c>
      <c r="N8" t="str">
        <v>-26.49</v>
      </c>
      <c r="O8" t="str">
        <v>1.23</v>
      </c>
      <c r="P8">
        <v>0.55000000000000004</v>
      </c>
      <c r="Q8" t="str">
        <v>2.33</v>
      </c>
      <c r="R8">
        <v>3.21</v>
      </c>
      <c r="S8" t="str">
        <v>14.81</v>
      </c>
      <c r="T8" t="str">
        <v>上市金融保險</v>
      </c>
      <c r="U8">
        <f t="array" ref="U8:Z8">[1]!'2883.TW-PreTotalVolume,ChipsField25,ChipsField27,DateofMeetingofShareHolders,CompanyPos,TradingDate'</f>
        <v>116446</v>
      </c>
      <c r="V8" t="str">
        <v>2021/08/10</v>
      </c>
      <c r="W8" t="str">
        <v>--</v>
      </c>
      <c r="X8" t="str">
        <v>2021/10/01</v>
      </c>
      <c r="Y8" t="str">
        <v>以投資銀行業務為主之金控，並藉購併跨入證券與商業銀行領域</v>
      </c>
      <c r="Z8" t="str">
        <v>2022/01/03</v>
      </c>
    </row>
    <row r="9" spans="1:26" x14ac:dyDescent="0.3">
      <c r="A9" t="str">
        <f t="array" ref="A9:J9">[1]!'2838.TW-ID,Name,Price,PriceChangeRatio,Low,High,Volume,InOutRatioNumber,Capital,ProfitMargin'</f>
        <v>2838</v>
      </c>
      <c r="B9" t="str">
        <v>聯邦銀</v>
      </c>
      <c r="C9">
        <v>13.4</v>
      </c>
      <c r="D9">
        <v>-1.47</v>
      </c>
      <c r="E9">
        <v>13.3</v>
      </c>
      <c r="F9">
        <v>13.6</v>
      </c>
      <c r="G9">
        <v>38</v>
      </c>
      <c r="H9" t="str">
        <v>30.20%</v>
      </c>
      <c r="I9" t="str">
        <v>329.52</v>
      </c>
      <c r="J9" t="str">
        <v>--</v>
      </c>
      <c r="K9" t="str">
        <f t="array" ref="K9:T9">[1]!'2838.TW-OperatingProfitRatio,NetProfitMargin,TFXRatio,MonthlyNetSalesYoY,ReturnOnAssets,DividendYear,ProfitFourSeason,CashDividendYieldRate,StockNetValue,ExchangeIndustry'</f>
        <v>--</v>
      </c>
      <c r="L9" t="str">
        <v>32.86</v>
      </c>
      <c r="M9" t="str">
        <v>5.39</v>
      </c>
      <c r="N9" t="str">
        <v>14.85</v>
      </c>
      <c r="O9" t="str">
        <v>0.45</v>
      </c>
      <c r="P9">
        <v>0.63</v>
      </c>
      <c r="Q9" t="str">
        <v>1.44</v>
      </c>
      <c r="R9">
        <v>4.7</v>
      </c>
      <c r="S9" t="str">
        <v>18.28</v>
      </c>
      <c r="T9" t="str">
        <v>上市金融保險</v>
      </c>
      <c r="U9">
        <f t="array" ref="U9:Z9">[1]!'2838.TW-PreTotalVolume,ChipsField25,ChipsField27,DateofMeetingofShareHolders,CompanyPos,TradingDate'</f>
        <v>1977</v>
      </c>
      <c r="V9" t="str">
        <v>--</v>
      </c>
      <c r="W9" t="str">
        <v>2021/09/01</v>
      </c>
      <c r="X9" t="str">
        <v>2021/07/20</v>
      </c>
      <c r="Y9" t="str">
        <v>三重幫林榮三家族為大股東之民營銀行</v>
      </c>
      <c r="Z9" t="str">
        <v>2022/01/03</v>
      </c>
    </row>
    <row r="10" spans="1:26" x14ac:dyDescent="0.3">
      <c r="A10" t="str">
        <f t="array" ref="A10:J10">[1]!'2618.TW-ID,Name,Price,PriceChangeRatio,Low,High,Volume,InOutRatioNumber,Capital,ProfitMargin'</f>
        <v>2618</v>
      </c>
      <c r="B10" t="str">
        <v>長榮航</v>
      </c>
      <c r="C10">
        <v>26.85</v>
      </c>
      <c r="D10">
        <v>-3.94</v>
      </c>
      <c r="E10">
        <v>26.6</v>
      </c>
      <c r="F10">
        <v>28.3</v>
      </c>
      <c r="G10">
        <v>5245</v>
      </c>
      <c r="H10" t="str">
        <v>34.53%</v>
      </c>
      <c r="I10" t="str">
        <v>513.89</v>
      </c>
      <c r="J10" t="str">
        <v>11.18</v>
      </c>
      <c r="K10" t="str">
        <f t="array" ref="K10:T10">[1]!'2618.TW-OperatingProfitRatio,NetProfitMargin,TFXRatio,MonthlyNetSalesYoY,ReturnOnAssets,DividendYear,ProfitFourSeason,CashDividendYieldRate,StockNetValue,ExchangeIndustry'</f>
        <v>1.94</v>
      </c>
      <c r="L10" t="str">
        <v>-0.84</v>
      </c>
      <c r="M10" t="str">
        <v>10.63</v>
      </c>
      <c r="N10" t="str">
        <v>57.10</v>
      </c>
      <c r="O10" t="str">
        <v>0.56</v>
      </c>
      <c r="P10">
        <v>0</v>
      </c>
      <c r="Q10" t="str">
        <v>-0.06</v>
      </c>
      <c r="R10">
        <v>0</v>
      </c>
      <c r="S10" t="str">
        <v>14.67</v>
      </c>
      <c r="T10" t="str">
        <v>上市航運業</v>
      </c>
      <c r="U10">
        <f t="array" ref="U10:Z10">[1]!'2618.TW-PreTotalVolume,ChipsField25,ChipsField27,DateofMeetingofShareHolders,CompanyPos,TradingDate'</f>
        <v>79867</v>
      </c>
      <c r="V10" t="str">
        <v>--</v>
      </c>
      <c r="W10" t="str">
        <v>--</v>
      </c>
      <c r="X10" t="str">
        <v>2021/07/16</v>
      </c>
      <c r="Y10" t="str">
        <v>台灣第2大航空公司</v>
      </c>
      <c r="Z10" t="str">
        <v>2022/01/03</v>
      </c>
    </row>
    <row r="11" spans="1:26" x14ac:dyDescent="0.3">
      <c r="A11" t="str">
        <f t="array" ref="A11:J11">[1]!'1313.TW-ID,Name,Price,PriceChangeRatio,Low,High,Volume,InOutRatioNumber,Capital,ProfitMargin'</f>
        <v>1313</v>
      </c>
      <c r="B11" t="str">
        <v>聯成</v>
      </c>
      <c r="C11">
        <v>21.3</v>
      </c>
      <c r="D11">
        <v>-1.39</v>
      </c>
      <c r="E11">
        <v>21.2</v>
      </c>
      <c r="F11">
        <v>21.7</v>
      </c>
      <c r="G11">
        <v>103</v>
      </c>
      <c r="H11" t="str">
        <v>20.01%</v>
      </c>
      <c r="I11" t="str">
        <v>134.76</v>
      </c>
      <c r="J11" t="str">
        <v>9.20</v>
      </c>
      <c r="K11" t="str">
        <f t="array" ref="K11:T11">[1]!'1313.TW-OperatingProfitRatio,NetProfitMargin,TFXRatio,MonthlyNetSalesYoY,ReturnOnAssets,DividendYear,ProfitFourSeason,CashDividendYieldRate,StockNetValue,ExchangeIndustry'</f>
        <v>5.84</v>
      </c>
      <c r="L11" t="str">
        <v>5.03</v>
      </c>
      <c r="M11" t="str">
        <v>7.10</v>
      </c>
      <c r="N11" t="str">
        <v>28.99</v>
      </c>
      <c r="O11" t="str">
        <v>6.44</v>
      </c>
      <c r="P11">
        <v>1</v>
      </c>
      <c r="Q11" t="str">
        <v>3.31</v>
      </c>
      <c r="R11">
        <v>4.6900000000000004</v>
      </c>
      <c r="S11" t="str">
        <v>22.32</v>
      </c>
      <c r="T11" t="str">
        <v>上市塑膠</v>
      </c>
      <c r="U11">
        <f t="array" ref="U11:Z11">[1]!'1313.TW-PreTotalVolume,ChipsField25,ChipsField27,DateofMeetingofShareHolders,CompanyPos,TradingDate'</f>
        <v>3467</v>
      </c>
      <c r="V11" t="str">
        <v>2021/04/08</v>
      </c>
      <c r="W11" t="str">
        <v>--</v>
      </c>
      <c r="X11" t="str">
        <v>2021/07/21</v>
      </c>
      <c r="Y11" t="str">
        <v>兩岸最大的可塑劑及苯酐製造商</v>
      </c>
      <c r="Z11" t="str">
        <v>2022/01/03</v>
      </c>
    </row>
    <row r="12" spans="1:26" x14ac:dyDescent="0.3">
      <c r="A12" t="str">
        <f t="array" ref="A12:J12">[1]!'2108.TW-ID,Name,Price,PriceChangeRatio,Low,High,Volume,InOutRatioNumber,Capital,ProfitMargin'</f>
        <v>2108</v>
      </c>
      <c r="B12" t="str">
        <v>南帝</v>
      </c>
      <c r="C12">
        <v>85</v>
      </c>
      <c r="D12">
        <v>-0.23</v>
      </c>
      <c r="E12">
        <v>83.8</v>
      </c>
      <c r="F12">
        <v>85.6</v>
      </c>
      <c r="G12">
        <v>193</v>
      </c>
      <c r="H12" t="str">
        <v>21.39%</v>
      </c>
      <c r="I12" t="str">
        <v>49.24</v>
      </c>
      <c r="J12" t="str">
        <v>54.83</v>
      </c>
      <c r="K12" t="str">
        <f t="array" ref="K12:T12">[1]!'2108.TW-OperatingProfitRatio,NetProfitMargin,TFXRatio,MonthlyNetSalesYoY,ReturnOnAssets,DividendYear,ProfitFourSeason,CashDividendYieldRate,StockNetValue,ExchangeIndustry'</f>
        <v>45.03</v>
      </c>
      <c r="L12" t="str">
        <v>34.68</v>
      </c>
      <c r="M12" t="str">
        <v>-13.26</v>
      </c>
      <c r="N12" t="str">
        <v>-34.72</v>
      </c>
      <c r="O12" t="str">
        <v>39.64</v>
      </c>
      <c r="P12">
        <v>4</v>
      </c>
      <c r="Q12" t="str">
        <v>17.56</v>
      </c>
      <c r="R12">
        <v>4.71</v>
      </c>
      <c r="S12" t="str">
        <v>31.54</v>
      </c>
      <c r="T12" t="str">
        <v>上市橡膠</v>
      </c>
      <c r="U12">
        <f t="array" ref="U12:Z12">[1]!'2108.TW-PreTotalVolume,ChipsField25,ChipsField27,DateofMeetingofShareHolders,CompanyPos,TradingDate'</f>
        <v>2462</v>
      </c>
      <c r="V12" t="str">
        <v>2021/04/07</v>
      </c>
      <c r="W12" t="str">
        <v>--</v>
      </c>
      <c r="X12" t="str">
        <v>2021/07/26</v>
      </c>
      <c r="Y12" t="str">
        <v>全球前五大NBR乳膠廠</v>
      </c>
      <c r="Z12" t="str">
        <v>2022/01/03</v>
      </c>
    </row>
    <row r="13" spans="1:26" x14ac:dyDescent="0.3">
      <c r="A13" t="str">
        <f t="array" ref="A13:J13">[1]!'2607.TW-ID,Name,Price,PriceChangeRatio,Low,High,Volume,InOutRatioNumber,Capital,ProfitMargin'</f>
        <v>2607</v>
      </c>
      <c r="B13" t="str">
        <v>榮運</v>
      </c>
      <c r="C13">
        <v>28.75</v>
      </c>
      <c r="D13">
        <v>-1.88</v>
      </c>
      <c r="E13">
        <v>28.65</v>
      </c>
      <c r="F13">
        <v>29.45</v>
      </c>
      <c r="G13">
        <v>164</v>
      </c>
      <c r="H13" t="str">
        <v>32.44%</v>
      </c>
      <c r="I13" t="str">
        <v>106.71</v>
      </c>
      <c r="J13" t="str">
        <v>12.74</v>
      </c>
      <c r="K13" t="str">
        <f t="array" ref="K13:T13">[1]!'2607.TW-OperatingProfitRatio,NetProfitMargin,TFXRatio,MonthlyNetSalesYoY,ReturnOnAssets,DividendYear,ProfitFourSeason,CashDividendYieldRate,StockNetValue,ExchangeIndustry'</f>
        <v>9.56</v>
      </c>
      <c r="L13" t="str">
        <v>13.73</v>
      </c>
      <c r="M13" t="str">
        <v>-6.86</v>
      </c>
      <c r="N13" t="str">
        <v>83.36</v>
      </c>
      <c r="O13" t="str">
        <v>2.04</v>
      </c>
      <c r="P13">
        <v>0.3</v>
      </c>
      <c r="Q13" t="str">
        <v>0.79</v>
      </c>
      <c r="R13">
        <v>1.04</v>
      </c>
      <c r="S13" t="str">
        <v>24.72</v>
      </c>
      <c r="T13" t="str">
        <v>上市航運業</v>
      </c>
      <c r="U13">
        <f t="array" ref="U13:Z13">[1]!'2607.TW-PreTotalVolume,ChipsField25,ChipsField27,DateofMeetingofShareHolders,CompanyPos,TradingDate'</f>
        <v>2392</v>
      </c>
      <c r="V13" t="str">
        <v>2021/08/11</v>
      </c>
      <c r="W13" t="str">
        <v>--</v>
      </c>
      <c r="X13" t="str">
        <v>2021/07/20</v>
      </c>
      <c r="Y13" t="str">
        <v>長榮集團旗之內陸貨櫃運輸及倉儲服務業者</v>
      </c>
      <c r="Z13" t="str">
        <v>2022/01/03</v>
      </c>
    </row>
    <row r="14" spans="1:26" x14ac:dyDescent="0.3">
      <c r="A14" t="str">
        <f t="array" ref="A14:J14">[1]!'6547.TW-ID,Name,Price,PriceChangeRatio,Low,High,Volume,InOutRatioNumber,Capital,ProfitMargin'</f>
        <v>6547</v>
      </c>
      <c r="B14" t="str">
        <v>高端疫苗</v>
      </c>
      <c r="C14">
        <v>279.5</v>
      </c>
      <c r="D14">
        <v>-6.52</v>
      </c>
      <c r="E14">
        <v>269.5</v>
      </c>
      <c r="F14">
        <v>288</v>
      </c>
      <c r="G14">
        <v>144</v>
      </c>
      <c r="H14" t="str">
        <v>24.16%</v>
      </c>
      <c r="I14" t="str">
        <v>21.30</v>
      </c>
      <c r="J14" t="str">
        <v>69.93</v>
      </c>
      <c r="K14" t="str">
        <f t="array" ref="K14:T14">[1]!'6547.TW-OperatingProfitRatio,NetProfitMargin,TFXRatio,MonthlyNetSalesYoY,ReturnOnAssets,DividendYear,ProfitFourSeason,CashDividendYieldRate,StockNetValue,ExchangeIndustry'</f>
        <v>-6.79</v>
      </c>
      <c r="L14" t="str">
        <v>27.54</v>
      </c>
      <c r="M14" t="str">
        <v>97.28</v>
      </c>
      <c r="N14" t="str">
        <v>51652.50</v>
      </c>
      <c r="O14" t="str">
        <v>8.76</v>
      </c>
      <c r="P14">
        <v>0</v>
      </c>
      <c r="Q14" t="str">
        <v>0.77</v>
      </c>
      <c r="R14">
        <v>0</v>
      </c>
      <c r="S14" t="str">
        <v>16.83</v>
      </c>
      <c r="T14" t="str">
        <v>上櫃生技醫療</v>
      </c>
      <c r="U14">
        <f t="array" ref="U14:Z14">[1]!'6547.TW-PreTotalVolume,ChipsField25,ChipsField27,DateofMeetingofShareHolders,CompanyPos,TradingDate'</f>
        <v>3616</v>
      </c>
      <c r="V14" t="str">
        <v>--</v>
      </c>
      <c r="W14" t="str">
        <v>--</v>
      </c>
      <c r="X14" t="str">
        <v>2021/08/17</v>
      </c>
      <c r="Y14" t="str">
        <v>基亞旗下腸病毒及流感疫苗研發廠</v>
      </c>
      <c r="Z14" t="str">
        <v>2022/01/03</v>
      </c>
    </row>
    <row r="15" spans="1:26" x14ac:dyDescent="0.3">
      <c r="A15" t="str">
        <f t="array" ref="A15:J15">[1]!'2834.TW-ID,Name,Price,PriceChangeRatio,Low,High,Volume,InOutRatioNumber,Capital,ProfitMargin'</f>
        <v>2834</v>
      </c>
      <c r="B15" t="str">
        <v>臺企銀</v>
      </c>
      <c r="C15">
        <v>9.8699999999999992</v>
      </c>
      <c r="D15">
        <v>-0.3</v>
      </c>
      <c r="E15">
        <v>9.85</v>
      </c>
      <c r="F15">
        <v>9.9499999999999993</v>
      </c>
      <c r="G15">
        <v>690</v>
      </c>
      <c r="H15" t="str">
        <v>41.98%</v>
      </c>
      <c r="I15" t="str">
        <v>774.32</v>
      </c>
      <c r="J15" t="str">
        <v>--</v>
      </c>
      <c r="K15" t="str">
        <f t="array" ref="K15:T15">[1]!'2834.TW-OperatingProfitRatio,NetProfitMargin,TFXRatio,MonthlyNetSalesYoY,ReturnOnAssets,DividendYear,ProfitFourSeason,CashDividendYieldRate,StockNetValue,ExchangeIndustry'</f>
        <v>--</v>
      </c>
      <c r="L15" t="str">
        <v>19.05</v>
      </c>
      <c r="M15" t="str">
        <v>-2.67</v>
      </c>
      <c r="N15" t="str">
        <v>1.22</v>
      </c>
      <c r="O15" t="str">
        <v>0.21</v>
      </c>
      <c r="P15">
        <v>0.44</v>
      </c>
      <c r="Q15" t="str">
        <v>0.68</v>
      </c>
      <c r="R15">
        <v>4.46</v>
      </c>
      <c r="S15" t="str">
        <v>13.08</v>
      </c>
      <c r="T15" t="str">
        <v>上市金融保險</v>
      </c>
      <c r="U15">
        <f t="array" ref="U15:Z15">[1]!'2834.TW-PreTotalVolume,ChipsField25,ChipsField27,DateofMeetingofShareHolders,CompanyPos,TradingDate'</f>
        <v>29862</v>
      </c>
      <c r="V15" t="str">
        <v>2021/09/08</v>
      </c>
      <c r="W15" t="str">
        <v>2021/09/08</v>
      </c>
      <c r="X15" t="str">
        <v>2021/07/20</v>
      </c>
      <c r="Y15" t="str">
        <v>台灣六大泛公股銀行之一</v>
      </c>
      <c r="Z15" t="str">
        <v>2022/01/03</v>
      </c>
    </row>
    <row r="16" spans="1:26" x14ac:dyDescent="0.3">
      <c r="A16" t="str">
        <f t="array" ref="A16:J16">[1]!'4950.TW-ID,Name,Price,PriceChangeRatio,Low,High,Volume,InOutRatioNumber,Capital,ProfitMargin'</f>
        <v>4950</v>
      </c>
      <c r="B16" t="str">
        <v>牧東</v>
      </c>
      <c r="C16">
        <v>20</v>
      </c>
      <c r="D16">
        <v>-3.61</v>
      </c>
      <c r="E16">
        <v>19.5</v>
      </c>
      <c r="F16">
        <v>20.75</v>
      </c>
      <c r="G16">
        <v>16</v>
      </c>
      <c r="H16" t="str">
        <v>14.42%</v>
      </c>
      <c r="I16" t="str">
        <v>4.68</v>
      </c>
      <c r="J16" t="str">
        <v>19.55</v>
      </c>
      <c r="K16" t="str">
        <f t="array" ref="K16:T16">[1]!'4950.TW-OperatingProfitRatio,NetProfitMargin,TFXRatio,MonthlyNetSalesYoY,ReturnOnAssets,DividendYear,ProfitFourSeason,CashDividendYieldRate,StockNetValue,ExchangeIndustry'</f>
        <v>-0.42</v>
      </c>
      <c r="L16" t="str">
        <v>1.27</v>
      </c>
      <c r="M16" t="str">
        <v>25.24</v>
      </c>
      <c r="N16" t="str">
        <v>1763.40</v>
      </c>
      <c r="O16" t="str">
        <v>0.95</v>
      </c>
      <c r="P16">
        <v>0</v>
      </c>
      <c r="Q16" t="str">
        <v>-1.04</v>
      </c>
      <c r="R16">
        <v>0</v>
      </c>
      <c r="S16" t="str">
        <v>7.11</v>
      </c>
      <c r="T16" t="str">
        <v>上櫃其他</v>
      </c>
      <c r="U16">
        <f t="array" ref="U16:Z16">[1]!'4950.TW-PreTotalVolume,ChipsField25,ChipsField27,DateofMeetingofShareHolders,CompanyPos,TradingDate'</f>
        <v>1874</v>
      </c>
      <c r="V16" t="str">
        <v>--</v>
      </c>
      <c r="W16" t="str">
        <v>--</v>
      </c>
      <c r="X16" t="str">
        <v>2021/09/29</v>
      </c>
      <c r="Y16" t="str">
        <v>轉型為廚房用不鏽鋼刀具生產廠商</v>
      </c>
      <c r="Z16" t="str">
        <v>2022/01/03</v>
      </c>
    </row>
    <row r="17" spans="1:26" x14ac:dyDescent="0.3">
      <c r="A17" t="str">
        <f t="array" ref="A17:J17">[1]!'2888.TW-ID,Name,Price,PriceChangeRatio,Low,High,Volume,InOutRatioNumber,Capital,ProfitMargin'</f>
        <v>2888</v>
      </c>
      <c r="B17" t="str">
        <v>新光金</v>
      </c>
      <c r="C17">
        <v>10.8</v>
      </c>
      <c r="D17">
        <v>-2.2599999999999998</v>
      </c>
      <c r="E17">
        <v>10.75</v>
      </c>
      <c r="F17">
        <v>11.05</v>
      </c>
      <c r="G17">
        <v>3070</v>
      </c>
      <c r="H17" t="str">
        <v>29.54%</v>
      </c>
      <c r="I17" t="str">
        <v>1411.09</v>
      </c>
      <c r="J17" t="str">
        <v>--</v>
      </c>
      <c r="K17" t="str">
        <f t="array" ref="K17:T17">[1]!'2888.TW-OperatingProfitRatio,NetProfitMargin,TFXRatio,MonthlyNetSalesYoY,ReturnOnAssets,DividendYear,ProfitFourSeason,CashDividendYieldRate,StockNetValue,ExchangeIndustry'</f>
        <v>--</v>
      </c>
      <c r="L17" t="str">
        <v>26.02</v>
      </c>
      <c r="M17" t="str">
        <v>46.59</v>
      </c>
      <c r="N17" t="str">
        <v>-28.19</v>
      </c>
      <c r="O17" t="str">
        <v>0.48</v>
      </c>
      <c r="P17">
        <v>0.4</v>
      </c>
      <c r="Q17" t="str">
        <v>1.40</v>
      </c>
      <c r="R17">
        <v>3.7</v>
      </c>
      <c r="S17" t="str">
        <v>17.39</v>
      </c>
      <c r="T17" t="str">
        <v>上市金融保險</v>
      </c>
      <c r="U17">
        <f t="array" ref="U17:Z17">[1]!'2888.TW-PreTotalVolume,ChipsField25,ChipsField27,DateofMeetingofShareHolders,CompanyPos,TradingDate'</f>
        <v>69372</v>
      </c>
      <c r="V17" t="str">
        <v>2021/07/29</v>
      </c>
      <c r="W17" t="str">
        <v>--</v>
      </c>
      <c r="X17" t="str">
        <v>2021/07/02</v>
      </c>
      <c r="Y17" t="str">
        <v>以壽險為主體的金控公司，旗下新光人壽為台灣前五大保險公司</v>
      </c>
      <c r="Z17" t="str">
        <v>2022/01/03</v>
      </c>
    </row>
    <row r="18" spans="1:26" x14ac:dyDescent="0.3">
      <c r="A18" t="str">
        <f t="array" ref="A18:J18">[1]!'2344.TW-ID,Name,Price,PriceChangeRatio,Low,High,Volume,InOutRatioNumber,Capital,ProfitMargin'</f>
        <v>2344</v>
      </c>
      <c r="B18" t="str">
        <v>華邦電</v>
      </c>
      <c r="C18">
        <v>32.1</v>
      </c>
      <c r="D18">
        <v>-5.59</v>
      </c>
      <c r="E18">
        <v>31.9</v>
      </c>
      <c r="F18">
        <v>33.700000000000003</v>
      </c>
      <c r="G18">
        <v>5927</v>
      </c>
      <c r="H18" t="str">
        <v>33.99%</v>
      </c>
      <c r="I18" t="str">
        <v>398.00</v>
      </c>
      <c r="J18" t="str">
        <v>41.81</v>
      </c>
      <c r="K18" t="str">
        <f t="array" ref="K18:T18">[1]!'2344.TW-OperatingProfitRatio,NetProfitMargin,TFXRatio,MonthlyNetSalesYoY,ReturnOnAssets,DividendYear,ProfitFourSeason,CashDividendYieldRate,StockNetValue,ExchangeIndustry'</f>
        <v>17.49</v>
      </c>
      <c r="L18" t="str">
        <v>13.97</v>
      </c>
      <c r="M18" t="str">
        <v>-3.06</v>
      </c>
      <c r="N18" t="str">
        <v>28.23</v>
      </c>
      <c r="O18" t="str">
        <v>7.82</v>
      </c>
      <c r="P18">
        <v>0.2</v>
      </c>
      <c r="Q18" t="str">
        <v>2.45</v>
      </c>
      <c r="R18">
        <v>0.62</v>
      </c>
      <c r="S18" t="str">
        <v>19.12</v>
      </c>
      <c r="T18" t="str">
        <v>上市半導體</v>
      </c>
      <c r="U18">
        <f t="array" ref="U18:Z18">[1]!'2344.TW-PreTotalVolume,ChipsField25,ChipsField27,DateofMeetingofShareHolders,CompanyPos,TradingDate'</f>
        <v>229670</v>
      </c>
      <c r="V18" t="str">
        <v>2021/07/13</v>
      </c>
      <c r="W18" t="str">
        <v>--</v>
      </c>
      <c r="X18" t="str">
        <v>2021/08/12</v>
      </c>
      <c r="Y18" t="str">
        <v>台灣利基型DRAM廠</v>
      </c>
      <c r="Z18" t="str">
        <v>2022/01/03</v>
      </c>
    </row>
    <row r="19" spans="1:26" x14ac:dyDescent="0.3">
      <c r="A19" t="str">
        <f t="array" ref="A19:J19">[1]!'3013.TW-ID,Name,Price,PriceChangeRatio,Low,High,Volume,InOutRatioNumber,Capital,ProfitMargin'</f>
        <v>3013</v>
      </c>
      <c r="B19" t="str">
        <v>晟銘電</v>
      </c>
      <c r="C19">
        <v>15.85</v>
      </c>
      <c r="D19">
        <v>2.59</v>
      </c>
      <c r="E19">
        <v>15.2</v>
      </c>
      <c r="F19">
        <v>15.85</v>
      </c>
      <c r="G19">
        <v>103</v>
      </c>
      <c r="H19" t="str">
        <v>34.67%</v>
      </c>
      <c r="I19" t="str">
        <v>15.59</v>
      </c>
      <c r="J19" t="str">
        <v>4.63</v>
      </c>
      <c r="K19" t="str">
        <f t="array" ref="K19:T19">[1]!'3013.TW-OperatingProfitRatio,NetProfitMargin,TFXRatio,MonthlyNetSalesYoY,ReturnOnAssets,DividendYear,ProfitFourSeason,CashDividendYieldRate,StockNetValue,ExchangeIndustry'</f>
        <v>-3.11</v>
      </c>
      <c r="L19" t="str">
        <v>-2.26</v>
      </c>
      <c r="M19" t="str">
        <v>32.72</v>
      </c>
      <c r="N19" t="str">
        <v>11.49</v>
      </c>
      <c r="O19" t="str">
        <v>-1.36</v>
      </c>
      <c r="P19">
        <v>0.3</v>
      </c>
      <c r="Q19" t="str">
        <v>-0.67</v>
      </c>
      <c r="R19">
        <v>1.89</v>
      </c>
      <c r="S19" t="str">
        <v>14.53</v>
      </c>
      <c r="T19" t="str">
        <v>上市電腦及週邊設備</v>
      </c>
      <c r="U19">
        <f t="array" ref="U19:Z19">[1]!'3013.TW-PreTotalVolume,ChipsField25,ChipsField27,DateofMeetingofShareHolders,CompanyPos,TradingDate'</f>
        <v>1121</v>
      </c>
      <c r="V19" t="str">
        <v>2021/08/16</v>
      </c>
      <c r="W19" t="str">
        <v>--</v>
      </c>
      <c r="X19" t="str">
        <v>2021/07/30</v>
      </c>
      <c r="Y19" t="str">
        <v>台灣電腦機殼OEM/ODM製造商</v>
      </c>
      <c r="Z19" t="str">
        <v>2022/01/03</v>
      </c>
    </row>
    <row r="20" spans="1:26" x14ac:dyDescent="0.3">
      <c r="A20" t="str">
        <f t="array" ref="A20:J20">[1]!'2442.TW-ID,Name,Price,PriceChangeRatio,Low,High,Volume,InOutRatioNumber,Capital,ProfitMargin'</f>
        <v>2442</v>
      </c>
      <c r="B20" t="str">
        <v>新美齊</v>
      </c>
      <c r="C20">
        <v>13.4</v>
      </c>
      <c r="D20">
        <v>-1.47</v>
      </c>
      <c r="E20">
        <v>13.3</v>
      </c>
      <c r="F20">
        <v>13.7</v>
      </c>
      <c r="G20">
        <v>161</v>
      </c>
      <c r="H20" t="str">
        <v>20.15%</v>
      </c>
      <c r="I20" t="str">
        <v>24.46</v>
      </c>
      <c r="J20" t="str">
        <v>36.56</v>
      </c>
      <c r="K20" t="str">
        <f t="array" ref="K20:T20">[1]!'2442.TW-OperatingProfitRatio,NetProfitMargin,TFXRatio,MonthlyNetSalesYoY,ReturnOnAssets,DividendYear,ProfitFourSeason,CashDividendYieldRate,StockNetValue,ExchangeIndustry'</f>
        <v>23.86</v>
      </c>
      <c r="L20" t="str">
        <v>31.88</v>
      </c>
      <c r="M20" t="str">
        <v>2805.13</v>
      </c>
      <c r="N20" t="str">
        <v>-76.45</v>
      </c>
      <c r="O20" t="str">
        <v>3.48</v>
      </c>
      <c r="P20">
        <v>0.3</v>
      </c>
      <c r="Q20" t="str">
        <v>2.47</v>
      </c>
      <c r="R20">
        <v>2.2400000000000002</v>
      </c>
      <c r="S20" t="str">
        <v>15.53</v>
      </c>
      <c r="T20" t="str">
        <v>上市電腦及週邊設備</v>
      </c>
      <c r="U20">
        <f t="array" ref="U20:Z20">[1]!'2442.TW-PreTotalVolume,ChipsField25,ChipsField27,DateofMeetingofShareHolders,CompanyPos,TradingDate'</f>
        <v>6278</v>
      </c>
      <c r="V20" t="str">
        <v>2021/11/08</v>
      </c>
      <c r="W20" t="str">
        <v>2021/11/08</v>
      </c>
      <c r="X20" t="str">
        <v>2021/08/31</v>
      </c>
      <c r="Y20" t="str">
        <v>轉型從事不動產建設開發</v>
      </c>
      <c r="Z20" t="str">
        <v>2022/01/03</v>
      </c>
    </row>
    <row r="21" spans="1:26" x14ac:dyDescent="0.3">
      <c r="A21" t="str">
        <f t="array" ref="A21:J21">[1]!'2102.TW-ID,Name,Price,PriceChangeRatio,Low,High,Volume,InOutRatioNumber,Capital,ProfitMargin'</f>
        <v>2102</v>
      </c>
      <c r="B21" t="str">
        <v>泰豐</v>
      </c>
      <c r="C21">
        <v>28.1</v>
      </c>
      <c r="D21">
        <v>-2.6</v>
      </c>
      <c r="E21">
        <v>28</v>
      </c>
      <c r="F21">
        <v>29</v>
      </c>
      <c r="G21">
        <v>47</v>
      </c>
      <c r="H21" t="str">
        <v>22.06%</v>
      </c>
      <c r="I21" t="str">
        <v>47.33</v>
      </c>
      <c r="J21" t="str">
        <v>-46.29</v>
      </c>
      <c r="K21" t="str">
        <f t="array" ref="K21:T21">[1]!'2102.TW-OperatingProfitRatio,NetProfitMargin,TFXRatio,MonthlyNetSalesYoY,ReturnOnAssets,DividendYear,ProfitFourSeason,CashDividendYieldRate,StockNetValue,ExchangeIndustry'</f>
        <v>-122.05</v>
      </c>
      <c r="L21" t="str">
        <v>-151.97</v>
      </c>
      <c r="M21" t="str">
        <v>32.27</v>
      </c>
      <c r="N21" t="str">
        <v>-75.90</v>
      </c>
      <c r="O21" t="str">
        <v>-13.68</v>
      </c>
      <c r="P21">
        <v>0.02</v>
      </c>
      <c r="Q21" t="str">
        <v>-4.05</v>
      </c>
      <c r="R21">
        <v>7.0000000000000007E-2</v>
      </c>
      <c r="S21" t="str">
        <v>12.50</v>
      </c>
      <c r="T21" t="str">
        <v>上市橡膠</v>
      </c>
      <c r="U21">
        <f t="array" ref="U21:Z21">[1]!'2102.TW-PreTotalVolume,ChipsField25,ChipsField27,DateofMeetingofShareHolders,CompanyPos,TradingDate'</f>
        <v>2267</v>
      </c>
      <c r="V21" t="str">
        <v>2021/11/09</v>
      </c>
      <c r="W21" t="str">
        <v>--</v>
      </c>
      <c r="X21" t="str">
        <v>2021/08/31</v>
      </c>
      <c r="Y21" t="str">
        <v>台灣輪胎製造商</v>
      </c>
      <c r="Z21" t="str">
        <v>2022/01/03</v>
      </c>
    </row>
    <row r="22" spans="1:26" x14ac:dyDescent="0.3">
      <c r="A22" t="str">
        <f t="array" ref="A22:J22">[1]!'1809.TW-ID,Name,Price,PriceChangeRatio,Low,High,Volume,InOutRatioNumber,Capital,ProfitMargin'</f>
        <v>1809</v>
      </c>
      <c r="B22" t="str">
        <v>中釉</v>
      </c>
      <c r="C22">
        <v>15.55</v>
      </c>
      <c r="D22">
        <v>-5.18</v>
      </c>
      <c r="E22">
        <v>15.55</v>
      </c>
      <c r="F22">
        <v>16.55</v>
      </c>
      <c r="G22">
        <v>209</v>
      </c>
      <c r="H22" t="str">
        <v>28.07%</v>
      </c>
      <c r="I22" t="str">
        <v>16.70</v>
      </c>
      <c r="J22" t="str">
        <v>21.25</v>
      </c>
      <c r="K22" t="str">
        <f t="array" ref="K22:T22">[1]!'1809.TW-OperatingProfitRatio,NetProfitMargin,TFXRatio,MonthlyNetSalesYoY,ReturnOnAssets,DividendYear,ProfitFourSeason,CashDividendYieldRate,StockNetValue,ExchangeIndustry'</f>
        <v>0.91</v>
      </c>
      <c r="L22" t="str">
        <v>1.03</v>
      </c>
      <c r="M22" t="str">
        <v>24.67</v>
      </c>
      <c r="N22" t="str">
        <v>51.77</v>
      </c>
      <c r="O22" t="str">
        <v>0.51</v>
      </c>
      <c r="P22">
        <v>0.2</v>
      </c>
      <c r="Q22" t="str">
        <v>0.03</v>
      </c>
      <c r="R22">
        <v>1.29</v>
      </c>
      <c r="S22" t="str">
        <v>17.19</v>
      </c>
      <c r="T22" t="str">
        <v>上市玻璃陶瓷</v>
      </c>
      <c r="U22">
        <f t="array" ref="U22:Z22">[1]!'1809.TW-PreTotalVolume,ChipsField25,ChipsField27,DateofMeetingofShareHolders,CompanyPos,TradingDate'</f>
        <v>3359</v>
      </c>
      <c r="V22" t="str">
        <v>2021/08/12</v>
      </c>
      <c r="W22" t="str">
        <v>--</v>
      </c>
      <c r="X22" t="str">
        <v>2021/07/22</v>
      </c>
      <c r="Y22" t="str">
        <v>亞洲最大釉料廠</v>
      </c>
      <c r="Z22" t="str">
        <v>2022/01/03</v>
      </c>
    </row>
    <row r="23" spans="1:26" x14ac:dyDescent="0.3">
      <c r="A23" t="str">
        <f t="array" ref="A23:J23">[1]!'6770.TW-ID,Name,Price,PriceChangeRatio,Low,High,Volume,InOutRatioNumber,Capital,ProfitMargin'</f>
        <v>6770</v>
      </c>
      <c r="B23" t="str">
        <v>力積電</v>
      </c>
      <c r="C23">
        <v>70</v>
      </c>
      <c r="D23">
        <v>-1.69</v>
      </c>
      <c r="E23">
        <v>69.8</v>
      </c>
      <c r="F23">
        <v>71.2</v>
      </c>
      <c r="G23">
        <v>935</v>
      </c>
      <c r="H23" t="str">
        <v>45.10%</v>
      </c>
      <c r="I23" t="str">
        <v>353.52</v>
      </c>
      <c r="J23" t="str">
        <v>39.27</v>
      </c>
      <c r="K23" t="str">
        <f t="array" ref="K23:T23">[1]!'6770.TW-OperatingProfitRatio,NetProfitMargin,TFXRatio,MonthlyNetSalesYoY,ReturnOnAssets,DividendYear,ProfitFourSeason,CashDividendYieldRate,StockNetValue,ExchangeIndustry'</f>
        <v>27.37</v>
      </c>
      <c r="L23" t="str">
        <v>21.57</v>
      </c>
      <c r="M23" t="str">
        <v>9.01</v>
      </c>
      <c r="N23" t="str">
        <v>70.45</v>
      </c>
      <c r="O23" t="str">
        <v>11.13</v>
      </c>
      <c r="P23">
        <v>0.49</v>
      </c>
      <c r="Q23" t="str">
        <v>3.44</v>
      </c>
      <c r="R23">
        <v>0.7</v>
      </c>
      <c r="S23" t="str">
        <v>15.32</v>
      </c>
      <c r="T23" t="str">
        <v>上市半導體</v>
      </c>
      <c r="U23">
        <f t="array" ref="U23:Z23">[1]!'6770.TW-PreTotalVolume,ChipsField25,ChipsField27,DateofMeetingofShareHolders,CompanyPos,TradingDate'</f>
        <v>12217</v>
      </c>
      <c r="V23" t="str">
        <v>2021/08/25</v>
      </c>
      <c r="W23" t="str">
        <v>--</v>
      </c>
      <c r="X23" t="str">
        <v>2021/07/02</v>
      </c>
      <c r="Y23" t="str">
        <v>全球前十大晶圓代工廠之一</v>
      </c>
      <c r="Z23" t="str">
        <v>2022/01/03</v>
      </c>
    </row>
    <row r="24" spans="1:26" x14ac:dyDescent="0.3">
      <c r="A24" t="str">
        <f t="array" ref="A24:J24">[1]!'2408.TW-ID,Name,Price,PriceChangeRatio,Low,High,Volume,InOutRatioNumber,Capital,ProfitMargin'</f>
        <v>2408</v>
      </c>
      <c r="B24" t="str">
        <v>南亞科</v>
      </c>
      <c r="C24">
        <v>76.2</v>
      </c>
      <c r="D24">
        <v>-2.4300000000000002</v>
      </c>
      <c r="E24">
        <v>76</v>
      </c>
      <c r="F24">
        <v>78</v>
      </c>
      <c r="G24">
        <v>433</v>
      </c>
      <c r="H24" t="str">
        <v>28.24%</v>
      </c>
      <c r="I24" t="str">
        <v>309.70</v>
      </c>
      <c r="J24" t="str">
        <v>41.24</v>
      </c>
      <c r="K24" t="str">
        <f t="array" ref="K24:T24">[1]!'2408.TW-OperatingProfitRatio,NetProfitMargin,TFXRatio,MonthlyNetSalesYoY,ReturnOnAssets,DividendYear,ProfitFourSeason,CashDividendYieldRate,StockNetValue,ExchangeIndustry'</f>
        <v>29.85</v>
      </c>
      <c r="L24" t="str">
        <v>25.54</v>
      </c>
      <c r="M24" t="str">
        <v>0.71</v>
      </c>
      <c r="N24" t="str">
        <v>48.15</v>
      </c>
      <c r="O24" t="str">
        <v>9.33</v>
      </c>
      <c r="P24">
        <v>1.3</v>
      </c>
      <c r="Q24" t="str">
        <v>5.62</v>
      </c>
      <c r="R24">
        <v>1.71</v>
      </c>
      <c r="S24" t="str">
        <v>53.87</v>
      </c>
      <c r="T24" t="str">
        <v>上市半導體</v>
      </c>
      <c r="U24">
        <f t="array" ref="U24:Z24">[1]!'2408.TW-PreTotalVolume,ChipsField25,ChipsField27,DateofMeetingofShareHolders,CompanyPos,TradingDate'</f>
        <v>15683</v>
      </c>
      <c r="V24" t="str">
        <v>2021/08/05</v>
      </c>
      <c r="W24" t="str">
        <v>--</v>
      </c>
      <c r="X24" t="str">
        <v>2021/08/04</v>
      </c>
      <c r="Y24" t="str">
        <v>轉型利基型及消費型DRAM廠</v>
      </c>
      <c r="Z24" t="str">
        <v>2022/01/03</v>
      </c>
    </row>
    <row r="25" spans="1:26" x14ac:dyDescent="0.3">
      <c r="A25" t="str">
        <f t="array" ref="A25:J25">[1]!'5876.TW-ID,Name,Price,PriceChangeRatio,Low,High,Volume,InOutRatioNumber,Capital,ProfitMargin'</f>
        <v>5876</v>
      </c>
      <c r="B25" t="str">
        <v>上海商銀</v>
      </c>
      <c r="C25">
        <v>47.15</v>
      </c>
      <c r="D25">
        <v>-0.21</v>
      </c>
      <c r="E25">
        <v>47.05</v>
      </c>
      <c r="F25">
        <v>47.7</v>
      </c>
      <c r="G25">
        <v>106</v>
      </c>
      <c r="H25" t="str">
        <v>39.64%</v>
      </c>
      <c r="I25" t="str">
        <v>448.16</v>
      </c>
      <c r="J25" t="str">
        <v>--</v>
      </c>
      <c r="K25" t="str">
        <f t="array" ref="K25:T25">[1]!'5876.TW-OperatingProfitRatio,NetProfitMargin,TFXRatio,MonthlyNetSalesYoY,ReturnOnAssets,DividendYear,ProfitFourSeason,CashDividendYieldRate,StockNetValue,ExchangeIndustry'</f>
        <v>--</v>
      </c>
      <c r="L25" t="str">
        <v>45.27</v>
      </c>
      <c r="M25" t="str">
        <v>-2.84</v>
      </c>
      <c r="N25" t="str">
        <v>-1.47</v>
      </c>
      <c r="O25" t="str">
        <v>0.67</v>
      </c>
      <c r="P25">
        <v>1.7</v>
      </c>
      <c r="Q25" t="str">
        <v>3.14</v>
      </c>
      <c r="R25">
        <v>3.61</v>
      </c>
      <c r="S25" t="str">
        <v>34.85</v>
      </c>
      <c r="T25" t="str">
        <v>上市金融保險</v>
      </c>
      <c r="U25">
        <f t="array" ref="U25:Z25">[1]!'5876.TW-PreTotalVolume,ChipsField25,ChipsField27,DateofMeetingofShareHolders,CompanyPos,TradingDate'</f>
        <v>2356</v>
      </c>
      <c r="V25" t="str">
        <v>2021/07/28</v>
      </c>
      <c r="W25" t="str">
        <v>--</v>
      </c>
      <c r="X25" t="str">
        <v>2021/07/05</v>
      </c>
      <c r="Y25" t="str">
        <v>唯一自大陸遷台復業的民營銀行</v>
      </c>
      <c r="Z25" t="str">
        <v>2022/01/03</v>
      </c>
    </row>
    <row r="26" spans="1:26" x14ac:dyDescent="0.3">
      <c r="A26" t="str">
        <f t="array" ref="A26:J26">[1]!'2337.TW-ID,Name,Price,PriceChangeRatio,Low,High,Volume,InOutRatioNumber,Capital,ProfitMargin'</f>
        <v>2337</v>
      </c>
      <c r="B26" t="str">
        <v>旺宏</v>
      </c>
      <c r="C26">
        <v>41.1</v>
      </c>
      <c r="D26">
        <v>-2.61</v>
      </c>
      <c r="E26">
        <v>41.1</v>
      </c>
      <c r="F26">
        <v>42.4</v>
      </c>
      <c r="G26">
        <v>1197</v>
      </c>
      <c r="H26" t="str">
        <v>25.02%</v>
      </c>
      <c r="I26" t="str">
        <v>185.60</v>
      </c>
      <c r="J26" t="str">
        <v>39.38</v>
      </c>
      <c r="K26" t="str">
        <f t="array" ref="K26:T26">[1]!'2337.TW-OperatingProfitRatio,NetProfitMargin,TFXRatio,MonthlyNetSalesYoY,ReturnOnAssets,DividendYear,ProfitFourSeason,CashDividendYieldRate,StockNetValue,ExchangeIndustry'</f>
        <v>19.35</v>
      </c>
      <c r="L26" t="str">
        <v>22.96</v>
      </c>
      <c r="M26" t="str">
        <v>-17.10</v>
      </c>
      <c r="N26" t="str">
        <v>57.42</v>
      </c>
      <c r="O26" t="str">
        <v>12.06</v>
      </c>
      <c r="P26">
        <v>1.2</v>
      </c>
      <c r="Q26" t="str">
        <v>5.12</v>
      </c>
      <c r="R26">
        <v>2.92</v>
      </c>
      <c r="S26" t="str">
        <v>23.21</v>
      </c>
      <c r="T26" t="str">
        <v>上市半導體</v>
      </c>
      <c r="U26">
        <f t="array" ref="U26:Z26">[1]!'2337.TW-PreTotalVolume,ChipsField25,ChipsField27,DateofMeetingofShareHolders,CompanyPos,TradingDate'</f>
        <v>22619</v>
      </c>
      <c r="V26" t="str">
        <v>2021/09/08</v>
      </c>
      <c r="W26" t="str">
        <v>--</v>
      </c>
      <c r="X26" t="str">
        <v>2021/08/17</v>
      </c>
      <c r="Y26" t="str">
        <v>全球非揮發性記憶體整合元件領導廠</v>
      </c>
      <c r="Z26" t="str">
        <v>2022/01/03</v>
      </c>
    </row>
    <row r="27" spans="1:26" x14ac:dyDescent="0.3">
      <c r="A27" t="str">
        <f t="array" ref="A27:J27">[1]!'2483.TW-ID,Name,Price,PriceChangeRatio,Low,High,Volume,InOutRatioNumber,Capital,ProfitMargin'</f>
        <v>2483</v>
      </c>
      <c r="B27" t="str">
        <v>百容</v>
      </c>
      <c r="C27">
        <v>26.1</v>
      </c>
      <c r="D27">
        <v>-2.4300000000000002</v>
      </c>
      <c r="E27">
        <v>26</v>
      </c>
      <c r="F27">
        <v>26.95</v>
      </c>
      <c r="G27">
        <v>60</v>
      </c>
      <c r="H27" t="str">
        <v>18.64%</v>
      </c>
      <c r="I27" t="str">
        <v>10.91</v>
      </c>
      <c r="J27" t="str">
        <v>16.74</v>
      </c>
      <c r="K27" t="str">
        <f t="array" ref="K27:T27">[1]!'2483.TW-OperatingProfitRatio,NetProfitMargin,TFXRatio,MonthlyNetSalesYoY,ReturnOnAssets,DividendYear,ProfitFourSeason,CashDividendYieldRate,StockNetValue,ExchangeIndustry'</f>
        <v>-0.50</v>
      </c>
      <c r="L27" t="str">
        <v>8.93</v>
      </c>
      <c r="M27" t="str">
        <v>1.82</v>
      </c>
      <c r="N27" t="str">
        <v>20.19</v>
      </c>
      <c r="O27" t="str">
        <v>3.62</v>
      </c>
      <c r="P27">
        <v>0.7</v>
      </c>
      <c r="Q27" t="str">
        <v>1.16</v>
      </c>
      <c r="R27">
        <v>2.68</v>
      </c>
      <c r="S27" t="str">
        <v>22.69</v>
      </c>
      <c r="T27" t="str">
        <v>上市電子零組件</v>
      </c>
      <c r="U27">
        <f t="array" ref="U27:Z27">[1]!'2483.TW-PreTotalVolume,ChipsField25,ChipsField27,DateofMeetingofShareHolders,CompanyPos,TradingDate'</f>
        <v>3971</v>
      </c>
      <c r="V27" t="str">
        <v>2021/03/31</v>
      </c>
      <c r="W27" t="str">
        <v>--</v>
      </c>
      <c r="X27" t="str">
        <v>2021/07/29</v>
      </c>
      <c r="Y27" t="str">
        <v>台灣程式開關最大供應商</v>
      </c>
      <c r="Z27" t="str">
        <v>2022/01/03</v>
      </c>
    </row>
    <row r="28" spans="1:26" x14ac:dyDescent="0.3">
      <c r="A28" t="str">
        <f t="array" ref="A28:J28">[1]!'2538.TW-ID,Name,Price,PriceChangeRatio,Low,High,Volume,InOutRatioNumber,Capital,ProfitMargin'</f>
        <v>2538</v>
      </c>
      <c r="B28" t="str">
        <v>基泰</v>
      </c>
      <c r="C28">
        <v>12.25</v>
      </c>
      <c r="D28">
        <v>-2.78</v>
      </c>
      <c r="E28">
        <v>12</v>
      </c>
      <c r="F28">
        <v>12.55</v>
      </c>
      <c r="G28">
        <v>163</v>
      </c>
      <c r="H28" t="str">
        <v>28.10%</v>
      </c>
      <c r="I28" t="str">
        <v>43.84</v>
      </c>
      <c r="J28" t="str">
        <v>57.93</v>
      </c>
      <c r="K28" t="str">
        <f t="array" ref="K28:T28">[1]!'2538.TW-OperatingProfitRatio,NetProfitMargin,TFXRatio,MonthlyNetSalesYoY,ReturnOnAssets,DividendYear,ProfitFourSeason,CashDividendYieldRate,StockNetValue,ExchangeIndustry'</f>
        <v>-23.03</v>
      </c>
      <c r="L28" t="str">
        <v>-68.86</v>
      </c>
      <c r="M28" t="str">
        <v>-0.80</v>
      </c>
      <c r="N28" t="str">
        <v>63.15</v>
      </c>
      <c r="O28" t="str">
        <v>-0.25</v>
      </c>
      <c r="P28">
        <v>0.5</v>
      </c>
      <c r="Q28" t="str">
        <v>-0.36</v>
      </c>
      <c r="R28">
        <v>4.08</v>
      </c>
      <c r="S28" t="str">
        <v>13.49</v>
      </c>
      <c r="T28" t="str">
        <v>上市建材營造</v>
      </c>
      <c r="U28">
        <f t="array" ref="U28:Z28">[1]!'2538.TW-PreTotalVolume,ChipsField25,ChipsField27,DateofMeetingofShareHolders,CompanyPos,TradingDate'</f>
        <v>1347</v>
      </c>
      <c r="V28" t="str">
        <v>2021/08/17</v>
      </c>
      <c r="W28" t="str">
        <v>--</v>
      </c>
      <c r="X28" t="str">
        <v>2021/07/29</v>
      </c>
      <c r="Y28" t="str">
        <v>推案集中於大台北地區之建商</v>
      </c>
      <c r="Z28" t="str">
        <v>2022/01/03</v>
      </c>
    </row>
    <row r="29" spans="1:26" x14ac:dyDescent="0.3">
      <c r="A29" t="str">
        <f t="array" ref="A29:J29">[1]!'2489.TW-ID,Name,Price,PriceChangeRatio,Low,High,Volume,InOutRatioNumber,Capital,ProfitMargin'</f>
        <v>2489</v>
      </c>
      <c r="B29" t="str">
        <v>瑞軒</v>
      </c>
      <c r="C29">
        <v>17.3</v>
      </c>
      <c r="D29">
        <v>-1.7</v>
      </c>
      <c r="E29">
        <v>17.25</v>
      </c>
      <c r="F29">
        <v>17.7</v>
      </c>
      <c r="G29">
        <v>107</v>
      </c>
      <c r="H29" t="str">
        <v>32.32%</v>
      </c>
      <c r="I29" t="str">
        <v>76.00</v>
      </c>
      <c r="J29" t="str">
        <v>7.78</v>
      </c>
      <c r="K29" t="str">
        <f t="array" ref="K29:T29">[1]!'2489.TW-OperatingProfitRatio,NetProfitMargin,TFXRatio,MonthlyNetSalesYoY,ReturnOnAssets,DividendYear,ProfitFourSeason,CashDividendYieldRate,StockNetValue,ExchangeIndustry'</f>
        <v>-2.72</v>
      </c>
      <c r="L29" t="str">
        <v>34.83</v>
      </c>
      <c r="M29" t="str">
        <v>-21.60</v>
      </c>
      <c r="N29" t="str">
        <v>3.67</v>
      </c>
      <c r="O29" t="str">
        <v>24.09</v>
      </c>
      <c r="P29">
        <v>0.14000000000000001</v>
      </c>
      <c r="Q29" t="str">
        <v>7.43</v>
      </c>
      <c r="R29">
        <v>0.81</v>
      </c>
      <c r="S29" t="str">
        <v>22.66</v>
      </c>
      <c r="T29" t="str">
        <v>上市光電</v>
      </c>
      <c r="U29">
        <f t="array" ref="U29:Z29">[1]!'2489.TW-PreTotalVolume,ChipsField25,ChipsField27,DateofMeetingofShareHolders,CompanyPos,TradingDate'</f>
        <v>1852</v>
      </c>
      <c r="V29" t="str">
        <v>2021/11/19</v>
      </c>
      <c r="W29" t="str">
        <v>--</v>
      </c>
      <c r="X29" t="str">
        <v>2021/07/29</v>
      </c>
      <c r="Y29" t="str">
        <v>以Vizio及JVC雙品牌打入北美液晶電視市場</v>
      </c>
      <c r="Z29" t="str">
        <v>2022/01/03</v>
      </c>
    </row>
    <row r="30" spans="1:26" x14ac:dyDescent="0.3">
      <c r="A30" t="str">
        <f t="array" ref="A30:J30">[1]!'2104.TW-ID,Name,Price,PriceChangeRatio,Low,High,Volume,InOutRatioNumber,Capital,ProfitMargin'</f>
        <v>2104</v>
      </c>
      <c r="B30" t="str">
        <v>國際中橡</v>
      </c>
      <c r="C30">
        <v>27.8</v>
      </c>
      <c r="D30">
        <v>-1.42</v>
      </c>
      <c r="E30">
        <v>27.75</v>
      </c>
      <c r="F30">
        <v>28.3</v>
      </c>
      <c r="G30">
        <v>131</v>
      </c>
      <c r="H30" t="str">
        <v>27.25%</v>
      </c>
      <c r="I30" t="str">
        <v>98.47</v>
      </c>
      <c r="J30" t="str">
        <v>20.63</v>
      </c>
      <c r="K30" t="str">
        <f t="array" ref="K30:T30">[1]!'2104.TW-OperatingProfitRatio,NetProfitMargin,TFXRatio,MonthlyNetSalesYoY,ReturnOnAssets,DividendYear,ProfitFourSeason,CashDividendYieldRate,StockNetValue,ExchangeIndustry'</f>
        <v>10.90</v>
      </c>
      <c r="L30" t="str">
        <v>8.27</v>
      </c>
      <c r="M30" t="str">
        <v>183.56</v>
      </c>
      <c r="N30" t="str">
        <v>191.70</v>
      </c>
      <c r="O30" t="str">
        <v>2.93</v>
      </c>
      <c r="P30">
        <v>0.1</v>
      </c>
      <c r="Q30" t="str">
        <v>1.92</v>
      </c>
      <c r="R30">
        <v>0.36</v>
      </c>
      <c r="S30" t="str">
        <v>32.95</v>
      </c>
      <c r="T30" t="str">
        <v>上市橡膠</v>
      </c>
      <c r="U30">
        <f t="array" ref="U30:Z30">[1]!'2104.TW-PreTotalVolume,ChipsField25,ChipsField27,DateofMeetingofShareHolders,CompanyPos,TradingDate'</f>
        <v>3700</v>
      </c>
      <c r="V30" t="str">
        <v>2021/09/01</v>
      </c>
      <c r="W30" t="str">
        <v>--</v>
      </c>
      <c r="X30" t="str">
        <v>2021/07/07</v>
      </c>
      <c r="Y30" t="str">
        <v>全球市佔率前五大的碳煙公司</v>
      </c>
      <c r="Z30" t="str">
        <v>2022/01/03</v>
      </c>
    </row>
    <row r="31" spans="1:26" x14ac:dyDescent="0.3">
      <c r="A31" t="str">
        <f t="array" ref="A31:J31">[1]!'1907.TW-ID,Name,Price,PriceChangeRatio,Low,High,Volume,InOutRatioNumber,Capital,ProfitMargin'</f>
        <v>1907</v>
      </c>
      <c r="B31" t="str">
        <v>永豐餘</v>
      </c>
      <c r="C31">
        <v>34.799999999999997</v>
      </c>
      <c r="D31">
        <v>-2.11</v>
      </c>
      <c r="E31">
        <v>34.799999999999997</v>
      </c>
      <c r="F31">
        <v>35.700000000000003</v>
      </c>
      <c r="G31">
        <v>293</v>
      </c>
      <c r="H31" t="str">
        <v>19.79%</v>
      </c>
      <c r="I31" t="str">
        <v>166.04</v>
      </c>
      <c r="J31" t="str">
        <v>23.36</v>
      </c>
      <c r="K31" t="str">
        <f t="array" ref="K31:T31">[1]!'1907.TW-OperatingProfitRatio,NetProfitMargin,TFXRatio,MonthlyNetSalesYoY,ReturnOnAssets,DividendYear,ProfitFourSeason,CashDividendYieldRate,StockNetValue,ExchangeIndustry'</f>
        <v>11.39</v>
      </c>
      <c r="L31" t="str">
        <v>10.92</v>
      </c>
      <c r="M31" t="str">
        <v>0.66</v>
      </c>
      <c r="N31" t="str">
        <v>2.78</v>
      </c>
      <c r="O31" t="str">
        <v>5.68</v>
      </c>
      <c r="P31">
        <v>1.5</v>
      </c>
      <c r="Q31" t="str">
        <v>3.40</v>
      </c>
      <c r="R31">
        <v>4.3099999999999996</v>
      </c>
      <c r="S31" t="str">
        <v>29.15</v>
      </c>
      <c r="T31" t="str">
        <v>上市造紙</v>
      </c>
      <c r="U31">
        <f t="array" ref="U31:Z31">[1]!'1907.TW-PreTotalVolume,ChipsField25,ChipsField27,DateofMeetingofShareHolders,CompanyPos,TradingDate'</f>
        <v>2454</v>
      </c>
      <c r="V31" t="str">
        <v>2021/06/09</v>
      </c>
      <c r="W31" t="str">
        <v>--</v>
      </c>
      <c r="X31" t="str">
        <v>2021/05/17</v>
      </c>
      <c r="Y31" t="str">
        <v>台灣第一大造紙集團</v>
      </c>
      <c r="Z31" t="str">
        <v>2022/01/03</v>
      </c>
    </row>
    <row r="32" spans="1:26" x14ac:dyDescent="0.3">
      <c r="A32" t="str">
        <f t="array" ref="A32:J32">[1]!'1806.TW-ID,Name,Price,PriceChangeRatio,Low,High,Volume,InOutRatioNumber,Capital,ProfitMargin'</f>
        <v>1806</v>
      </c>
      <c r="B32" t="str">
        <v>冠軍</v>
      </c>
      <c r="C32">
        <v>12.45</v>
      </c>
      <c r="D32">
        <v>-1.19</v>
      </c>
      <c r="E32">
        <v>12.45</v>
      </c>
      <c r="F32">
        <v>12.8</v>
      </c>
      <c r="G32">
        <v>48</v>
      </c>
      <c r="H32" t="str">
        <v>31.53%</v>
      </c>
      <c r="I32" t="str">
        <v>43.38</v>
      </c>
      <c r="J32" t="str">
        <v>24.13</v>
      </c>
      <c r="K32" t="str">
        <f t="array" ref="K32:T32">[1]!'1806.TW-OperatingProfitRatio,NetProfitMargin,TFXRatio,MonthlyNetSalesYoY,ReturnOnAssets,DividendYear,ProfitFourSeason,CashDividendYieldRate,StockNetValue,ExchangeIndustry'</f>
        <v>0.85</v>
      </c>
      <c r="L32" t="str">
        <v>40.93</v>
      </c>
      <c r="M32" t="str">
        <v>8.65</v>
      </c>
      <c r="N32" t="str">
        <v>1.88</v>
      </c>
      <c r="O32" t="str">
        <v>9.93</v>
      </c>
      <c r="P32">
        <v>0</v>
      </c>
      <c r="Q32" t="str">
        <v>2.45</v>
      </c>
      <c r="R32">
        <v>0</v>
      </c>
      <c r="S32" t="str">
        <v>15.07</v>
      </c>
      <c r="T32" t="str">
        <v>上市玻璃陶瓷</v>
      </c>
      <c r="U32">
        <f t="array" ref="U32:Z32">[1]!'1806.TW-PreTotalVolume,ChipsField25,ChipsField27,DateofMeetingofShareHolders,CompanyPos,TradingDate'</f>
        <v>1370</v>
      </c>
      <c r="V32" t="str">
        <v>--</v>
      </c>
      <c r="W32" t="str">
        <v>--</v>
      </c>
      <c r="X32" t="str">
        <v>2021/07/27</v>
      </c>
      <c r="Y32" t="str">
        <v>台灣最大磁磚廠商</v>
      </c>
      <c r="Z32" t="str">
        <v>2022/01/03</v>
      </c>
    </row>
    <row r="33" spans="1:26" x14ac:dyDescent="0.3">
      <c r="A33" t="str">
        <f t="array" ref="A33:J33">[1]!'8271.TW-ID,Name,Price,PriceChangeRatio,Low,High,Volume,InOutRatioNumber,Capital,ProfitMargin'</f>
        <v>8271</v>
      </c>
      <c r="B33" t="str">
        <v>宇瞻</v>
      </c>
      <c r="C33">
        <v>47.55</v>
      </c>
      <c r="D33">
        <v>-2.2599999999999998</v>
      </c>
      <c r="E33">
        <v>47.4</v>
      </c>
      <c r="F33">
        <v>48.6</v>
      </c>
      <c r="G33">
        <v>18</v>
      </c>
      <c r="H33" t="str">
        <v>20.81%</v>
      </c>
      <c r="I33" t="str">
        <v>10.18</v>
      </c>
      <c r="J33" t="str">
        <v>17.76</v>
      </c>
      <c r="K33" t="str">
        <f t="array" ref="K33:T33">[1]!'8271.TW-OperatingProfitRatio,NetProfitMargin,TFXRatio,MonthlyNetSalesYoY,ReturnOnAssets,DividendYear,ProfitFourSeason,CashDividendYieldRate,StockNetValue,ExchangeIndustry'</f>
        <v>7.61</v>
      </c>
      <c r="L33" t="str">
        <v>6.23</v>
      </c>
      <c r="M33" t="str">
        <v>21.62</v>
      </c>
      <c r="N33" t="str">
        <v>25.87</v>
      </c>
      <c r="O33" t="str">
        <v>9.43</v>
      </c>
      <c r="P33">
        <v>2.02</v>
      </c>
      <c r="Q33" t="str">
        <v>4.56</v>
      </c>
      <c r="R33">
        <v>4.25</v>
      </c>
      <c r="S33" t="str">
        <v>29.62</v>
      </c>
      <c r="T33" t="str">
        <v>上市半導體</v>
      </c>
      <c r="U33">
        <f t="array" ref="U33:Z33">[1]!'8271.TW-PreTotalVolume,ChipsField25,ChipsField27,DateofMeetingofShareHolders,CompanyPos,TradingDate'</f>
        <v>2654</v>
      </c>
      <c r="V33" t="str">
        <v>2021/07/30</v>
      </c>
      <c r="W33" t="str">
        <v>--</v>
      </c>
      <c r="X33" t="str">
        <v>2021/07/14</v>
      </c>
      <c r="Y33" t="str">
        <v>全球前十大DRAM模組廠</v>
      </c>
      <c r="Z33" t="str">
        <v>2022/01/03</v>
      </c>
    </row>
    <row r="34" spans="1:26" x14ac:dyDescent="0.3">
      <c r="A34" t="str">
        <f t="array" ref="A34:J34">[1]!'2409.TW-ID,Name,Price,PriceChangeRatio,Low,High,Volume,InOutRatioNumber,Capital,ProfitMargin'</f>
        <v>2409</v>
      </c>
      <c r="B34" t="str">
        <v>友達</v>
      </c>
      <c r="C34">
        <v>22.6</v>
      </c>
      <c r="D34">
        <v>-1.31</v>
      </c>
      <c r="E34">
        <v>22.55</v>
      </c>
      <c r="F34">
        <v>23.2</v>
      </c>
      <c r="G34">
        <v>3984</v>
      </c>
      <c r="H34" t="str">
        <v>38.10%</v>
      </c>
      <c r="I34" t="str">
        <v>962.42</v>
      </c>
      <c r="J34" t="str">
        <v>26.35</v>
      </c>
      <c r="K34" t="str">
        <f t="array" ref="K34:T34">[1]!'2409.TW-OperatingProfitRatio,NetProfitMargin,TFXRatio,MonthlyNetSalesYoY,ReturnOnAssets,DividendYear,ProfitFourSeason,CashDividendYieldRate,StockNetValue,ExchangeIndustry'</f>
        <v>18.99</v>
      </c>
      <c r="L34" t="str">
        <v>18.61</v>
      </c>
      <c r="M34" t="str">
        <v>1.65</v>
      </c>
      <c r="N34" t="str">
        <v>19.01</v>
      </c>
      <c r="O34" t="str">
        <v>12.61</v>
      </c>
      <c r="P34">
        <v>0.3</v>
      </c>
      <c r="Q34" t="str">
        <v>6.22</v>
      </c>
      <c r="R34">
        <v>1.33</v>
      </c>
      <c r="S34" t="str">
        <v>24.01</v>
      </c>
      <c r="T34" t="str">
        <v>上市光電</v>
      </c>
      <c r="U34">
        <f t="array" ref="U34:Z34">[1]!'2409.TW-PreTotalVolume,ChipsField25,ChipsField27,DateofMeetingofShareHolders,CompanyPos,TradingDate'</f>
        <v>84382</v>
      </c>
      <c r="V34" t="str">
        <v>2021/06/24</v>
      </c>
      <c r="W34" t="str">
        <v>--</v>
      </c>
      <c r="X34" t="str">
        <v>2021/08/19</v>
      </c>
      <c r="Y34" t="str">
        <v>全球前四大面板大廠</v>
      </c>
      <c r="Z34" t="str">
        <v>2022/01/03</v>
      </c>
    </row>
    <row r="35" spans="1:26" x14ac:dyDescent="0.3">
      <c r="A35" t="str">
        <f t="array" ref="A35:J35">[1]!'6116.TW-ID,Name,Price,PriceChangeRatio,Low,High,Volume,InOutRatioNumber,Capital,ProfitMargin'</f>
        <v>6116</v>
      </c>
      <c r="B35" t="str">
        <v>彩晶</v>
      </c>
      <c r="C35">
        <v>17.75</v>
      </c>
      <c r="D35">
        <v>-1.93</v>
      </c>
      <c r="E35">
        <v>17.7</v>
      </c>
      <c r="F35">
        <v>18.2</v>
      </c>
      <c r="G35">
        <v>1815</v>
      </c>
      <c r="H35" t="str">
        <v>32.51%</v>
      </c>
      <c r="I35" t="str">
        <v>317.72</v>
      </c>
      <c r="J35" t="str">
        <v>41.52</v>
      </c>
      <c r="K35" t="str">
        <f t="array" ref="K35:T35">[1]!'6116.TW-OperatingProfitRatio,NetProfitMargin,TFXRatio,MonthlyNetSalesYoY,ReturnOnAssets,DividendYear,ProfitFourSeason,CashDividendYieldRate,StockNetValue,ExchangeIndustry'</f>
        <v>33.81</v>
      </c>
      <c r="L35" t="str">
        <v>32.36</v>
      </c>
      <c r="M35" t="str">
        <v>30.69</v>
      </c>
      <c r="N35" t="str">
        <v>-20.12</v>
      </c>
      <c r="O35" t="str">
        <v>12.57</v>
      </c>
      <c r="P35">
        <v>0.5</v>
      </c>
      <c r="Q35" t="str">
        <v>3.26</v>
      </c>
      <c r="R35">
        <v>2.82</v>
      </c>
      <c r="S35" t="str">
        <v>16.72</v>
      </c>
      <c r="T35" t="str">
        <v>上市光電</v>
      </c>
      <c r="U35">
        <f t="array" ref="U35:Z35">[1]!'6116.TW-PreTotalVolume,ChipsField25,ChipsField27,DateofMeetingofShareHolders,CompanyPos,TradingDate'</f>
        <v>48992</v>
      </c>
      <c r="V35" t="str">
        <v>2021/08/23</v>
      </c>
      <c r="W35" t="str">
        <v>--</v>
      </c>
      <c r="X35" t="str">
        <v>2021/07/29</v>
      </c>
      <c r="Y35" t="str">
        <v>台灣中小尺寸面板供應商，及觸控面板廠商</v>
      </c>
      <c r="Z35" t="str">
        <v>2022/01/03</v>
      </c>
    </row>
    <row r="36" spans="1:26" x14ac:dyDescent="0.3">
      <c r="A36" t="str">
        <f t="array" ref="A36:J36">[1]!'2542.TW-ID,Name,Price,PriceChangeRatio,Low,High,Volume,InOutRatioNumber,Capital,ProfitMargin'</f>
        <v>2542</v>
      </c>
      <c r="B36" t="str">
        <v>興富發</v>
      </c>
      <c r="C36">
        <v>46.25</v>
      </c>
      <c r="D36">
        <v>0</v>
      </c>
      <c r="E36">
        <v>46</v>
      </c>
      <c r="F36">
        <v>46.35</v>
      </c>
      <c r="G36">
        <v>510</v>
      </c>
      <c r="H36" t="str">
        <v>34.47%</v>
      </c>
      <c r="I36" t="str">
        <v>135.57</v>
      </c>
      <c r="J36" t="str">
        <v>31.21</v>
      </c>
      <c r="K36" t="str">
        <f t="array" ref="K36:T36">[1]!'2542.TW-OperatingProfitRatio,NetProfitMargin,TFXRatio,MonthlyNetSalesYoY,ReturnOnAssets,DividendYear,ProfitFourSeason,CashDividendYieldRate,StockNetValue,ExchangeIndustry'</f>
        <v>23.23</v>
      </c>
      <c r="L36" t="str">
        <v>23.91</v>
      </c>
      <c r="M36" t="str">
        <v>11.13</v>
      </c>
      <c r="N36" t="str">
        <v>66.49</v>
      </c>
      <c r="O36" t="str">
        <v>4.75</v>
      </c>
      <c r="P36">
        <v>2</v>
      </c>
      <c r="Q36" t="str">
        <v>6.08</v>
      </c>
      <c r="R36">
        <v>4.32</v>
      </c>
      <c r="S36" t="str">
        <v>29.17</v>
      </c>
      <c r="T36" t="str">
        <v>上市建材營造</v>
      </c>
      <c r="U36">
        <f t="array" ref="U36:Z36">[1]!'2542.TW-PreTotalVolume,ChipsField25,ChipsField27,DateofMeetingofShareHolders,CompanyPos,TradingDate'</f>
        <v>5630</v>
      </c>
      <c r="V36" t="str">
        <v>2021/09/24</v>
      </c>
      <c r="W36" t="str">
        <v>--</v>
      </c>
      <c r="X36" t="str">
        <v>2021/08/13</v>
      </c>
      <c r="Y36" t="str">
        <v>台灣前十大推案建商</v>
      </c>
      <c r="Z36" t="str">
        <v>2022/01/03</v>
      </c>
    </row>
    <row r="37" spans="1:26" x14ac:dyDescent="0.3">
      <c r="A37" t="str">
        <f t="array" ref="A37:J37">[1]!'9904.TW-ID,Name,Price,PriceChangeRatio,Low,High,Volume,InOutRatioNumber,Capital,ProfitMargin'</f>
        <v>9904</v>
      </c>
      <c r="B37" t="str">
        <v>寶成</v>
      </c>
      <c r="C37">
        <v>32.799999999999997</v>
      </c>
      <c r="D37">
        <v>-1.06</v>
      </c>
      <c r="E37">
        <v>32.799999999999997</v>
      </c>
      <c r="F37">
        <v>33.450000000000003</v>
      </c>
      <c r="G37">
        <v>526</v>
      </c>
      <c r="H37" t="str">
        <v>29.91%</v>
      </c>
      <c r="I37" t="str">
        <v>294.68</v>
      </c>
      <c r="J37" t="str">
        <v>24.47</v>
      </c>
      <c r="K37" t="str">
        <f t="array" ref="K37:T37">[1]!'9904.TW-OperatingProfitRatio,NetProfitMargin,TFXRatio,MonthlyNetSalesYoY,ReturnOnAssets,DividendYear,ProfitFourSeason,CashDividendYieldRate,StockNetValue,ExchangeIndustry'</f>
        <v>1.67</v>
      </c>
      <c r="L37" t="str">
        <v>8.28</v>
      </c>
      <c r="M37" t="str">
        <v>9.71</v>
      </c>
      <c r="N37" t="str">
        <v>-11.79</v>
      </c>
      <c r="O37" t="str">
        <v>4.44</v>
      </c>
      <c r="P37">
        <v>0.5</v>
      </c>
      <c r="Q37" t="str">
        <v>4.54</v>
      </c>
      <c r="R37">
        <v>1.52</v>
      </c>
      <c r="S37" t="str">
        <v>43.96</v>
      </c>
      <c r="T37" t="str">
        <v>上市其他</v>
      </c>
      <c r="U37">
        <f t="array" ref="U37:Z37">[1]!'9904.TW-PreTotalVolume,ChipsField25,ChipsField27,DateofMeetingofShareHolders,CompanyPos,TradingDate'</f>
        <v>3100</v>
      </c>
      <c r="V37" t="str">
        <v>2021/07/14</v>
      </c>
      <c r="W37" t="str">
        <v>--</v>
      </c>
      <c r="X37" t="str">
        <v>2021/07/26</v>
      </c>
      <c r="Y37" t="str">
        <v>全球運動鞋及休閒鞋代工龍頭</v>
      </c>
      <c r="Z37" t="str">
        <v>2022/01/03</v>
      </c>
    </row>
    <row r="38" spans="1:26" x14ac:dyDescent="0.3">
      <c r="A38" t="str">
        <f t="array" ref="A38:J38">[1]!'1616.TW-ID,Name,Price,PriceChangeRatio,Low,High,Volume,InOutRatioNumber,Capital,ProfitMargin'</f>
        <v>1616</v>
      </c>
      <c r="B38" t="str">
        <v>億泰</v>
      </c>
      <c r="C38">
        <v>11.7</v>
      </c>
      <c r="D38">
        <v>-3.7</v>
      </c>
      <c r="E38">
        <v>11.55</v>
      </c>
      <c r="F38">
        <v>12.15</v>
      </c>
      <c r="G38">
        <v>65</v>
      </c>
      <c r="H38" t="str">
        <v>27.13%</v>
      </c>
      <c r="I38" t="str">
        <v>19.41</v>
      </c>
      <c r="J38" t="str">
        <v>7.95</v>
      </c>
      <c r="K38" t="str">
        <f t="array" ref="K38:T38">[1]!'1616.TW-OperatingProfitRatio,NetProfitMargin,TFXRatio,MonthlyNetSalesYoY,ReturnOnAssets,DividendYear,ProfitFourSeason,CashDividendYieldRate,StockNetValue,ExchangeIndustry'</f>
        <v>2.69</v>
      </c>
      <c r="L38" t="str">
        <v>2.99</v>
      </c>
      <c r="M38" t="str">
        <v>6.15</v>
      </c>
      <c r="N38" t="str">
        <v>38.06</v>
      </c>
      <c r="O38" t="str">
        <v>2.39</v>
      </c>
      <c r="P38">
        <v>0</v>
      </c>
      <c r="Q38" t="str">
        <v>0.33</v>
      </c>
      <c r="R38">
        <v>0</v>
      </c>
      <c r="S38" t="str">
        <v>8.28</v>
      </c>
      <c r="T38" t="str">
        <v>上市電器電纜</v>
      </c>
      <c r="U38">
        <f t="array" ref="U38:Z38">[1]!'1616.TW-PreTotalVolume,ChipsField25,ChipsField27,DateofMeetingofShareHolders,CompanyPos,TradingDate'</f>
        <v>6894</v>
      </c>
      <c r="V38" t="str">
        <v>--</v>
      </c>
      <c r="W38" t="str">
        <v>--</v>
      </c>
      <c r="X38" t="str">
        <v>2021/08/30</v>
      </c>
      <c r="Y38" t="str">
        <v>國內電力電纜業者</v>
      </c>
      <c r="Z38" t="str">
        <v>2022/01/03</v>
      </c>
    </row>
    <row r="39" spans="1:26" x14ac:dyDescent="0.3">
      <c r="A39" t="str">
        <f t="array" ref="A39:J39">[1]!'3490.TW-ID,Name,Price,PriceChangeRatio,Low,High,Volume,InOutRatioNumber,Capital,ProfitMargin'</f>
        <v>3490</v>
      </c>
      <c r="B39" t="str">
        <v>單井</v>
      </c>
      <c r="C39">
        <v>34.200000000000003</v>
      </c>
      <c r="D39">
        <v>-4.34</v>
      </c>
      <c r="E39">
        <v>34.049999999999997</v>
      </c>
      <c r="F39">
        <v>36.200000000000003</v>
      </c>
      <c r="G39">
        <v>128</v>
      </c>
      <c r="H39" t="str">
        <v>27.21%</v>
      </c>
      <c r="I39" t="str">
        <v>5.70</v>
      </c>
      <c r="J39" t="str">
        <v>39.64</v>
      </c>
      <c r="K39" t="str">
        <f t="array" ref="K39:T39">[1]!'3490.TW-OperatingProfitRatio,NetProfitMargin,TFXRatio,MonthlyNetSalesYoY,ReturnOnAssets,DividendYear,ProfitFourSeason,CashDividendYieldRate,StockNetValue,ExchangeIndustry'</f>
        <v>22.70</v>
      </c>
      <c r="L39" t="str">
        <v>22.19</v>
      </c>
      <c r="M39" t="str">
        <v>12.11</v>
      </c>
      <c r="N39" t="str">
        <v>9.28</v>
      </c>
      <c r="O39" t="str">
        <v>5.30</v>
      </c>
      <c r="P39">
        <v>0.7</v>
      </c>
      <c r="Q39" t="str">
        <v>1.98</v>
      </c>
      <c r="R39">
        <v>2.0499999999999998</v>
      </c>
      <c r="S39" t="str">
        <v>21.85</v>
      </c>
      <c r="T39" t="str">
        <v>上櫃光電</v>
      </c>
      <c r="U39">
        <f t="array" ref="U39:Z39">[1]!'3490.TW-PreTotalVolume,ChipsField25,ChipsField27,DateofMeetingofShareHolders,CompanyPos,TradingDate'</f>
        <v>6712</v>
      </c>
      <c r="V39" t="str">
        <v>2021/08/04</v>
      </c>
      <c r="W39" t="str">
        <v>--</v>
      </c>
      <c r="X39" t="str">
        <v>2021/07/30</v>
      </c>
      <c r="Y39" t="str">
        <v>台灣半導體封裝模具、自動化設備及太陽能系統安裝廠商</v>
      </c>
      <c r="Z39" t="str">
        <v>2022/01/03</v>
      </c>
    </row>
    <row r="40" spans="1:26" x14ac:dyDescent="0.3">
      <c r="A40" t="str">
        <f t="array" ref="A40:J40">[1]!'2105.TW-ID,Name,Price,PriceChangeRatio,Low,High,Volume,InOutRatioNumber,Capital,ProfitMargin'</f>
        <v>2105</v>
      </c>
      <c r="B40" t="str">
        <v>正新</v>
      </c>
      <c r="C40">
        <v>35.85</v>
      </c>
      <c r="D40">
        <v>-0.69</v>
      </c>
      <c r="E40">
        <v>35.85</v>
      </c>
      <c r="F40">
        <v>36.5</v>
      </c>
      <c r="G40">
        <v>257</v>
      </c>
      <c r="H40" t="str">
        <v>36.07%</v>
      </c>
      <c r="I40" t="str">
        <v>324.14</v>
      </c>
      <c r="J40" t="str">
        <v>22.71</v>
      </c>
      <c r="K40" t="str">
        <f t="array" ref="K40:T40">[1]!'2105.TW-OperatingProfitRatio,NetProfitMargin,TFXRatio,MonthlyNetSalesYoY,ReturnOnAssets,DividendYear,ProfitFourSeason,CashDividendYieldRate,StockNetValue,ExchangeIndustry'</f>
        <v>8.17</v>
      </c>
      <c r="L40" t="str">
        <v>5.66</v>
      </c>
      <c r="M40" t="str">
        <v>3.67</v>
      </c>
      <c r="N40" t="str">
        <v>-9.92</v>
      </c>
      <c r="O40" t="str">
        <v>3.16</v>
      </c>
      <c r="P40">
        <v>1.2</v>
      </c>
      <c r="Q40" t="str">
        <v>2.32</v>
      </c>
      <c r="R40">
        <v>3.35</v>
      </c>
      <c r="S40" t="str">
        <v>24.50</v>
      </c>
      <c r="T40" t="str">
        <v>上市橡膠</v>
      </c>
      <c r="U40">
        <f t="array" ref="U40:Z40">[1]!'2105.TW-PreTotalVolume,ChipsField25,ChipsField27,DateofMeetingofShareHolders,CompanyPos,TradingDate'</f>
        <v>5157</v>
      </c>
      <c r="V40" t="str">
        <v>2021/08/30</v>
      </c>
      <c r="W40" t="str">
        <v>--</v>
      </c>
      <c r="X40" t="str">
        <v>2021/07/29</v>
      </c>
      <c r="Y40" t="str">
        <v>台灣最大、全球前十大輪胎製造商</v>
      </c>
      <c r="Z40" t="str">
        <v>2022/01/03</v>
      </c>
    </row>
    <row r="41" spans="1:26" x14ac:dyDescent="0.3">
      <c r="A41" t="str">
        <f t="array" ref="A41:J41">[1]!'6589.TW-ID,Name,Price,PriceChangeRatio,Low,High,Volume,InOutRatioNumber,Capital,ProfitMargin'</f>
        <v>6589</v>
      </c>
      <c r="B41" t="str">
        <v>台康生技</v>
      </c>
      <c r="C41">
        <v>107.5</v>
      </c>
      <c r="D41">
        <v>-3.59</v>
      </c>
      <c r="E41">
        <v>107</v>
      </c>
      <c r="F41">
        <v>112</v>
      </c>
      <c r="G41">
        <v>77</v>
      </c>
      <c r="H41" t="str">
        <v>24.28%</v>
      </c>
      <c r="I41" t="str">
        <v>30.12</v>
      </c>
      <c r="J41" t="str">
        <v>68.47</v>
      </c>
      <c r="K41" t="str">
        <f t="array" ref="K41:T41">[1]!'6589.TW-OperatingProfitRatio,NetProfitMargin,TFXRatio,MonthlyNetSalesYoY,ReturnOnAssets,DividendYear,ProfitFourSeason,CashDividendYieldRate,StockNetValue,ExchangeIndustry'</f>
        <v>-5.35</v>
      </c>
      <c r="L41" t="str">
        <v>-3.59</v>
      </c>
      <c r="M41" t="str">
        <v>16.44</v>
      </c>
      <c r="N41" t="str">
        <v>59.25</v>
      </c>
      <c r="O41" t="str">
        <v>-0.60</v>
      </c>
      <c r="P41">
        <v>0</v>
      </c>
      <c r="Q41" t="str">
        <v>-1.57</v>
      </c>
      <c r="R41">
        <v>0</v>
      </c>
      <c r="S41" t="str">
        <v>21.86</v>
      </c>
      <c r="T41" t="str">
        <v>上櫃生技醫療</v>
      </c>
      <c r="U41">
        <f t="array" ref="U41:Z41">[1]!'6589.TW-PreTotalVolume,ChipsField25,ChipsField27,DateofMeetingofShareHolders,CompanyPos,TradingDate'</f>
        <v>1159</v>
      </c>
      <c r="V41" t="str">
        <v>--</v>
      </c>
      <c r="W41" t="str">
        <v>--</v>
      </c>
      <c r="X41" t="str">
        <v>2021/08/03</v>
      </c>
      <c r="Y41" t="str">
        <v>台灣生技藥品委託開發生產服務廠商</v>
      </c>
      <c r="Z41" t="str">
        <v>2022/01/03</v>
      </c>
    </row>
    <row r="42" spans="1:26" x14ac:dyDescent="0.3">
      <c r="A42" t="str">
        <f t="array" ref="A42:J42">[1]!'4960.TW-ID,Name,Price,PriceChangeRatio,Low,High,Volume,InOutRatioNumber,Capital,ProfitMargin'</f>
        <v>4960</v>
      </c>
      <c r="B42" t="str">
        <v>誠美材</v>
      </c>
      <c r="C42">
        <v>13.6</v>
      </c>
      <c r="D42">
        <v>-2.5099999999999998</v>
      </c>
      <c r="E42">
        <v>13.5</v>
      </c>
      <c r="F42">
        <v>14.1</v>
      </c>
      <c r="G42">
        <v>436</v>
      </c>
      <c r="H42" t="str">
        <v>26.56%</v>
      </c>
      <c r="I42" t="str">
        <v>67.55</v>
      </c>
      <c r="J42" t="str">
        <v>7.72</v>
      </c>
      <c r="K42" t="str">
        <f t="array" ref="K42:T42">[1]!'4960.TW-OperatingProfitRatio,NetProfitMargin,TFXRatio,MonthlyNetSalesYoY,ReturnOnAssets,DividendYear,ProfitFourSeason,CashDividendYieldRate,StockNetValue,ExchangeIndustry'</f>
        <v>1.88</v>
      </c>
      <c r="L42" t="str">
        <v>8.67</v>
      </c>
      <c r="M42" t="str">
        <v>-4.42</v>
      </c>
      <c r="N42" t="str">
        <v>1.83</v>
      </c>
      <c r="O42" t="str">
        <v>5.03</v>
      </c>
      <c r="P42">
        <v>0</v>
      </c>
      <c r="Q42" t="str">
        <v>1.27</v>
      </c>
      <c r="R42">
        <v>0</v>
      </c>
      <c r="S42" t="str">
        <v>15.53</v>
      </c>
      <c r="T42" t="str">
        <v>上市光電</v>
      </c>
      <c r="U42">
        <f t="array" ref="U42:Z42">[1]!'4960.TW-PreTotalVolume,ChipsField25,ChipsField27,DateofMeetingofShareHolders,CompanyPos,TradingDate'</f>
        <v>20578</v>
      </c>
      <c r="V42" t="str">
        <v>--</v>
      </c>
      <c r="W42" t="str">
        <v>--</v>
      </c>
      <c r="X42" t="str">
        <v>2021/12/29</v>
      </c>
      <c r="Y42" t="str">
        <v>台灣第二大偏光板供應商</v>
      </c>
      <c r="Z42" t="str">
        <v>2022/01/03</v>
      </c>
    </row>
    <row r="43" spans="1:26" x14ac:dyDescent="0.3">
      <c r="A43" t="str">
        <f t="array" ref="A43:J43">[1]!'2881.TW-ID,Name,Price,PriceChangeRatio,Low,High,Volume,InOutRatioNumber,Capital,ProfitMargin'</f>
        <v>2881</v>
      </c>
      <c r="B43" t="str">
        <v>富邦金</v>
      </c>
      <c r="C43">
        <v>75.3</v>
      </c>
      <c r="D43">
        <v>-1.31</v>
      </c>
      <c r="E43">
        <v>75</v>
      </c>
      <c r="F43">
        <v>76.599999999999994</v>
      </c>
      <c r="G43">
        <v>532</v>
      </c>
      <c r="H43" t="str">
        <v>33.07%</v>
      </c>
      <c r="I43" t="str">
        <v>1180.50</v>
      </c>
      <c r="J43" t="str">
        <v>--</v>
      </c>
      <c r="K43" t="str">
        <f t="array" ref="K43:T43">[1]!'2881.TW-OperatingProfitRatio,NetProfitMargin,TFXRatio,MonthlyNetSalesYoY,ReturnOnAssets,DividendYear,ProfitFourSeason,CashDividendYieldRate,StockNetValue,ExchangeIndustry'</f>
        <v>--</v>
      </c>
      <c r="L43" t="str">
        <v>101.85</v>
      </c>
      <c r="M43" t="str">
        <v>-1.57</v>
      </c>
      <c r="N43" t="str">
        <v>-6.23</v>
      </c>
      <c r="O43" t="str">
        <v>1.37</v>
      </c>
      <c r="P43">
        <v>4</v>
      </c>
      <c r="Q43" t="str">
        <v>14.53</v>
      </c>
      <c r="R43">
        <v>5.31</v>
      </c>
      <c r="S43" t="str">
        <v>67.30</v>
      </c>
      <c r="T43" t="str">
        <v>上市金融保險</v>
      </c>
      <c r="U43">
        <f t="array" ref="U43:Z43">[1]!'2881.TW-PreTotalVolume,ChipsField25,ChipsField27,DateofMeetingofShareHolders,CompanyPos,TradingDate'</f>
        <v>13553</v>
      </c>
      <c r="V43" t="str">
        <v>2021/07/26</v>
      </c>
      <c r="W43" t="str">
        <v>2021/09/06</v>
      </c>
      <c r="X43" t="str">
        <v>2021/11/05</v>
      </c>
      <c r="Y43" t="str">
        <v>台灣資產規模第二大的金控公司，旗下富邦產險為台灣最大產險公司</v>
      </c>
      <c r="Z43" t="str">
        <v>2022/01/03</v>
      </c>
    </row>
    <row r="44" spans="1:26" x14ac:dyDescent="0.3">
      <c r="A44" t="str">
        <f t="array" ref="A44:J44">[1]!'6523.TW-ID,Name,Price,PriceChangeRatio,Low,High,Volume,InOutRatioNumber,Capital,ProfitMargin'</f>
        <v>6523</v>
      </c>
      <c r="B44" t="str">
        <v>達爾膚</v>
      </c>
      <c r="C44">
        <v>100.5</v>
      </c>
      <c r="D44">
        <v>0</v>
      </c>
      <c r="E44">
        <v>99.5</v>
      </c>
      <c r="F44">
        <v>101.5</v>
      </c>
      <c r="G44">
        <v>37</v>
      </c>
      <c r="H44" t="str">
        <v>37.17%</v>
      </c>
      <c r="I44" t="str">
        <v>4.50</v>
      </c>
      <c r="J44" t="str">
        <v>62.56</v>
      </c>
      <c r="K44" t="str">
        <f t="array" ref="K44:T44">[1]!'6523.TW-OperatingProfitRatio,NetProfitMargin,TFXRatio,MonthlyNetSalesYoY,ReturnOnAssets,DividendYear,ProfitFourSeason,CashDividendYieldRate,StockNetValue,ExchangeIndustry'</f>
        <v>35.53</v>
      </c>
      <c r="L44" t="str">
        <v>26.52</v>
      </c>
      <c r="M44" t="str">
        <v>-4.13</v>
      </c>
      <c r="N44" t="str">
        <v>36.43</v>
      </c>
      <c r="O44" t="str">
        <v>9.74</v>
      </c>
      <c r="P44">
        <v>4</v>
      </c>
      <c r="Q44" t="str">
        <v>16.46</v>
      </c>
      <c r="R44">
        <v>3.98</v>
      </c>
      <c r="S44" t="str">
        <v>37.30</v>
      </c>
      <c r="T44" t="str">
        <v>上櫃生技醫療</v>
      </c>
      <c r="U44">
        <f t="array" ref="U44:Z44">[1]!'6523.TW-PreTotalVolume,ChipsField25,ChipsField27,DateofMeetingofShareHolders,CompanyPos,TradingDate'</f>
        <v>1564</v>
      </c>
      <c r="V44" t="str">
        <v>2021/12/02</v>
      </c>
      <c r="W44" t="str">
        <v>--</v>
      </c>
      <c r="X44" t="str">
        <v>2021/07/07</v>
      </c>
      <c r="Y44" t="str">
        <v>台灣第一大醫美品牌DR.WU</v>
      </c>
      <c r="Z44" t="str">
        <v>2022/01/03</v>
      </c>
    </row>
    <row r="45" spans="1:26" x14ac:dyDescent="0.3">
      <c r="A45" t="str">
        <f t="array" ref="A45:J45">[1]!'3260.TW-ID,Name,Price,PriceChangeRatio,Low,High,Volume,InOutRatioNumber,Capital,ProfitMargin'</f>
        <v>3260</v>
      </c>
      <c r="B45" t="str">
        <v>威剛</v>
      </c>
      <c r="C45">
        <v>90.7</v>
      </c>
      <c r="D45">
        <v>-1.73</v>
      </c>
      <c r="E45">
        <v>90.6</v>
      </c>
      <c r="F45">
        <v>92.8</v>
      </c>
      <c r="G45">
        <v>316</v>
      </c>
      <c r="H45" t="str">
        <v>23.53%</v>
      </c>
      <c r="I45" t="str">
        <v>26.15</v>
      </c>
      <c r="J45" t="str">
        <v>15.94</v>
      </c>
      <c r="K45" t="str">
        <f t="array" ref="K45:T45">[1]!'3260.TW-OperatingProfitRatio,NetProfitMargin,TFXRatio,MonthlyNetSalesYoY,ReturnOnAssets,DividendYear,ProfitFourSeason,CashDividendYieldRate,StockNetValue,ExchangeIndustry'</f>
        <v>7.23</v>
      </c>
      <c r="L45" t="str">
        <v>7.67</v>
      </c>
      <c r="M45" t="str">
        <v>7.66</v>
      </c>
      <c r="N45" t="str">
        <v>14.52</v>
      </c>
      <c r="O45" t="str">
        <v>7.56</v>
      </c>
      <c r="P45">
        <v>3.18</v>
      </c>
      <c r="Q45" t="str">
        <v>10.55</v>
      </c>
      <c r="R45">
        <v>3.51</v>
      </c>
      <c r="S45" t="str">
        <v>45.78</v>
      </c>
      <c r="T45" t="str">
        <v>上櫃半導體</v>
      </c>
      <c r="U45">
        <f t="array" ref="U45:Z45">[1]!'3260.TW-PreTotalVolume,ChipsField25,ChipsField27,DateofMeetingofShareHolders,CompanyPos,TradingDate'</f>
        <v>17246</v>
      </c>
      <c r="V45" t="str">
        <v>2021/08/09</v>
      </c>
      <c r="W45" t="str">
        <v>--</v>
      </c>
      <c r="X45" t="str">
        <v>2021/07/12</v>
      </c>
      <c r="Y45" t="str">
        <v>全球第二大記憶體模組廠</v>
      </c>
      <c r="Z45" t="str">
        <v>2022/01/03</v>
      </c>
    </row>
    <row r="46" spans="1:26" x14ac:dyDescent="0.3">
      <c r="A46" t="str">
        <f t="array" ref="A46:J46">[1]!'1722.TW-ID,Name,Price,PriceChangeRatio,Low,High,Volume,InOutRatioNumber,Capital,ProfitMargin'</f>
        <v>1722</v>
      </c>
      <c r="B46" t="str">
        <v>台肥</v>
      </c>
      <c r="C46">
        <v>69.400000000000006</v>
      </c>
      <c r="D46">
        <v>-0.86</v>
      </c>
      <c r="E46">
        <v>69.2</v>
      </c>
      <c r="F46">
        <v>70.3</v>
      </c>
      <c r="G46">
        <v>41</v>
      </c>
      <c r="H46" t="str">
        <v>38.32%</v>
      </c>
      <c r="I46" t="str">
        <v>98.00</v>
      </c>
      <c r="J46" t="str">
        <v>21.45</v>
      </c>
      <c r="K46" t="str">
        <f t="array" ref="K46:T46">[1]!'1722.TW-OperatingProfitRatio,NetProfitMargin,TFXRatio,MonthlyNetSalesYoY,ReturnOnAssets,DividendYear,ProfitFourSeason,CashDividendYieldRate,StockNetValue,ExchangeIndustry'</f>
        <v>8.70</v>
      </c>
      <c r="L46" t="str">
        <v>26.58</v>
      </c>
      <c r="M46" t="str">
        <v>49.71</v>
      </c>
      <c r="N46" t="str">
        <v>131.75</v>
      </c>
      <c r="O46" t="str">
        <v>2.99</v>
      </c>
      <c r="P46">
        <v>2.2999999999999998</v>
      </c>
      <c r="Q46" t="str">
        <v>2.71</v>
      </c>
      <c r="R46">
        <v>3.31</v>
      </c>
      <c r="S46" t="str">
        <v>53.11</v>
      </c>
      <c r="T46" t="str">
        <v>上市化工</v>
      </c>
      <c r="U46">
        <f t="array" ref="U46:Z46">[1]!'1722.TW-PreTotalVolume,ChipsField25,ChipsField27,DateofMeetingofShareHolders,CompanyPos,TradingDate'</f>
        <v>3302</v>
      </c>
      <c r="V46" t="str">
        <v>2021/08/30</v>
      </c>
      <c r="W46" t="str">
        <v>--</v>
      </c>
      <c r="X46" t="str">
        <v>2021/07/28</v>
      </c>
      <c r="Y46" t="str">
        <v>台灣最大肥料及化學廠商</v>
      </c>
      <c r="Z46" t="str">
        <v>2022/01/03</v>
      </c>
    </row>
    <row r="47" spans="1:26" x14ac:dyDescent="0.3">
      <c r="A47" t="str">
        <f t="array" ref="A47:J47">[1]!'6167.TW-ID,Name,Price,PriceChangeRatio,Low,High,Volume,InOutRatioNumber,Capital,ProfitMargin'</f>
        <v>6167</v>
      </c>
      <c r="B47" t="str">
        <v>久正</v>
      </c>
      <c r="C47">
        <v>15.95</v>
      </c>
      <c r="D47">
        <v>-3.33</v>
      </c>
      <c r="E47">
        <v>15.9</v>
      </c>
      <c r="F47">
        <v>16.8</v>
      </c>
      <c r="G47">
        <v>134</v>
      </c>
      <c r="H47" t="str">
        <v>20.90%</v>
      </c>
      <c r="I47" t="str">
        <v>16.22</v>
      </c>
      <c r="J47" t="str">
        <v>12.42</v>
      </c>
      <c r="K47" t="str">
        <f t="array" ref="K47:T47">[1]!'6167.TW-OperatingProfitRatio,NetProfitMargin,TFXRatio,MonthlyNetSalesYoY,ReturnOnAssets,DividendYear,ProfitFourSeason,CashDividendYieldRate,StockNetValue,ExchangeIndustry'</f>
        <v>1.59</v>
      </c>
      <c r="L47" t="str">
        <v>4.84</v>
      </c>
      <c r="M47" t="str">
        <v>5.34</v>
      </c>
      <c r="N47" t="str">
        <v>62.34</v>
      </c>
      <c r="O47" t="str">
        <v>3.22</v>
      </c>
      <c r="P47">
        <v>0</v>
      </c>
      <c r="Q47" t="str">
        <v>0.31</v>
      </c>
      <c r="R47">
        <v>0</v>
      </c>
      <c r="S47" t="str">
        <v>9.44</v>
      </c>
      <c r="T47" t="str">
        <v>上櫃光電</v>
      </c>
      <c r="U47">
        <f t="array" ref="U47:Z47">[1]!'6167.TW-PreTotalVolume,ChipsField25,ChipsField27,DateofMeetingofShareHolders,CompanyPos,TradingDate'</f>
        <v>2543</v>
      </c>
      <c r="V47" t="str">
        <v>--</v>
      </c>
      <c r="W47" t="str">
        <v>--</v>
      </c>
      <c r="X47" t="str">
        <v>2021/07/15</v>
      </c>
      <c r="Y47" t="str">
        <v>中小尺寸TN/STN面板模組廠</v>
      </c>
      <c r="Z47" t="str">
        <v>2022/01/03</v>
      </c>
    </row>
    <row r="48" spans="1:26" x14ac:dyDescent="0.3">
      <c r="A48" t="str">
        <f t="array" ref="A48:J48">[1]!'4141.TW-ID,Name,Price,PriceChangeRatio,Low,High,Volume,InOutRatioNumber,Capital,ProfitMargin'</f>
        <v>4141</v>
      </c>
      <c r="B48" t="str">
        <v>龍燈-KY</v>
      </c>
      <c r="C48">
        <v>25.15</v>
      </c>
      <c r="D48">
        <v>0.4</v>
      </c>
      <c r="E48">
        <v>25</v>
      </c>
      <c r="F48">
        <v>25.25</v>
      </c>
      <c r="G48">
        <v>14</v>
      </c>
      <c r="H48" t="str">
        <v>23.36%</v>
      </c>
      <c r="I48" t="str">
        <v>19.10</v>
      </c>
      <c r="J48" t="str">
        <v>35.04</v>
      </c>
      <c r="K48" t="str">
        <f t="array" ref="K48:T48">[1]!'4141.TW-OperatingProfitRatio,NetProfitMargin,TFXRatio,MonthlyNetSalesYoY,ReturnOnAssets,DividendYear,ProfitFourSeason,CashDividendYieldRate,StockNetValue,ExchangeIndustry'</f>
        <v>2.20</v>
      </c>
      <c r="L48" t="str">
        <v>-6.00</v>
      </c>
      <c r="M48" t="str">
        <v>5.64</v>
      </c>
      <c r="N48" t="str">
        <v>72.70</v>
      </c>
      <c r="O48" t="str">
        <v>-1.47</v>
      </c>
      <c r="P48">
        <v>0</v>
      </c>
      <c r="Q48" t="str">
        <v>-1.58</v>
      </c>
      <c r="R48">
        <v>0</v>
      </c>
      <c r="S48" t="str">
        <v>26.07</v>
      </c>
      <c r="T48" t="str">
        <v>上市生技醫療</v>
      </c>
      <c r="U48">
        <f t="array" ref="U48:Z48">[1]!'4141.TW-PreTotalVolume,ChipsField25,ChipsField27,DateofMeetingofShareHolders,CompanyPos,TradingDate'</f>
        <v>1617</v>
      </c>
      <c r="V48" t="str">
        <v>--</v>
      </c>
      <c r="W48" t="str">
        <v>--</v>
      </c>
      <c r="X48" t="str">
        <v>2022/02/08</v>
      </c>
      <c r="Y48" t="str">
        <v>全球知名植物保護劑大廠</v>
      </c>
      <c r="Z48" t="str">
        <v>2022/01/03</v>
      </c>
    </row>
    <row r="49" spans="1:26" x14ac:dyDescent="0.3">
      <c r="A49" t="str">
        <f t="array" ref="A49:J49">[1]!'1712.TW-ID,Name,Price,PriceChangeRatio,Low,High,Volume,InOutRatioNumber,Capital,ProfitMargin'</f>
        <v>1712</v>
      </c>
      <c r="B49" t="str">
        <v>興農</v>
      </c>
      <c r="C49">
        <v>28.05</v>
      </c>
      <c r="D49">
        <v>-0.71</v>
      </c>
      <c r="E49">
        <v>28.05</v>
      </c>
      <c r="F49">
        <v>28.5</v>
      </c>
      <c r="G49">
        <v>30</v>
      </c>
      <c r="H49" t="str">
        <v>40.29%</v>
      </c>
      <c r="I49" t="str">
        <v>42.05</v>
      </c>
      <c r="J49" t="str">
        <v>27.85</v>
      </c>
      <c r="K49" t="str">
        <f t="array" ref="K49:T49">[1]!'1712.TW-OperatingProfitRatio,NetProfitMargin,TFXRatio,MonthlyNetSalesYoY,ReturnOnAssets,DividendYear,ProfitFourSeason,CashDividendYieldRate,StockNetValue,ExchangeIndustry'</f>
        <v>6.64</v>
      </c>
      <c r="L49" t="str">
        <v>5.22</v>
      </c>
      <c r="M49" t="str">
        <v>-2.15</v>
      </c>
      <c r="N49" t="str">
        <v>11.79</v>
      </c>
      <c r="O49" t="str">
        <v>5.16</v>
      </c>
      <c r="P49">
        <v>1.3</v>
      </c>
      <c r="Q49" t="str">
        <v>2.03</v>
      </c>
      <c r="R49">
        <v>4.63</v>
      </c>
      <c r="S49" t="str">
        <v>17.19</v>
      </c>
      <c r="T49" t="str">
        <v>上市化工</v>
      </c>
      <c r="U49">
        <f t="array" ref="U49:Z49">[1]!'1712.TW-PreTotalVolume,ChipsField25,ChipsField27,DateofMeetingofShareHolders,CompanyPos,TradingDate'</f>
        <v>1324</v>
      </c>
      <c r="V49" t="str">
        <v>2021/04/08</v>
      </c>
      <c r="W49" t="str">
        <v>--</v>
      </c>
      <c r="X49" t="str">
        <v>2021/08/26</v>
      </c>
      <c r="Y49" t="str">
        <v>台灣農藥第一大廠,在中部經營連鎖超市</v>
      </c>
      <c r="Z49" t="str">
        <v>2022/01/03</v>
      </c>
    </row>
    <row r="50" spans="1:26" x14ac:dyDescent="0.3">
      <c r="A50" t="str">
        <f t="array" ref="A50:J50">[1]!'2377.TW-ID,Name,Price,PriceChangeRatio,Low,High,Volume,InOutRatioNumber,Capital,ProfitMargin'</f>
        <v>2377</v>
      </c>
      <c r="B50" t="str">
        <v>微星</v>
      </c>
      <c r="C50">
        <v>160</v>
      </c>
      <c r="D50">
        <v>-0.31</v>
      </c>
      <c r="E50">
        <v>160</v>
      </c>
      <c r="F50">
        <v>161.5</v>
      </c>
      <c r="G50">
        <v>197</v>
      </c>
      <c r="H50" t="str">
        <v>27.84%</v>
      </c>
      <c r="I50" t="str">
        <v>84.49</v>
      </c>
      <c r="J50" t="str">
        <v>19.44</v>
      </c>
      <c r="K50" t="str">
        <f t="array" ref="K50:T50">[1]!'2377.TW-OperatingProfitRatio,NetProfitMargin,TFXRatio,MonthlyNetSalesYoY,ReturnOnAssets,DividendYear,ProfitFourSeason,CashDividendYieldRate,StockNetValue,ExchangeIndustry'</f>
        <v>10.51</v>
      </c>
      <c r="L50" t="str">
        <v>8.90</v>
      </c>
      <c r="M50" t="str">
        <v>-0.42</v>
      </c>
      <c r="N50" t="str">
        <v>27.09</v>
      </c>
      <c r="O50" t="str">
        <v>15.07</v>
      </c>
      <c r="P50">
        <v>6.1</v>
      </c>
      <c r="Q50" t="str">
        <v>17.79</v>
      </c>
      <c r="R50">
        <v>3.81</v>
      </c>
      <c r="S50" t="str">
        <v>51.07</v>
      </c>
      <c r="T50" t="str">
        <v>上市電腦及週邊設備</v>
      </c>
      <c r="U50">
        <f t="array" ref="U50:Z50">[1]!'2377.TW-PreTotalVolume,ChipsField25,ChipsField27,DateofMeetingofShareHolders,CompanyPos,TradingDate'</f>
        <v>3871</v>
      </c>
      <c r="V50" t="str">
        <v>2021/08/23</v>
      </c>
      <c r="W50" t="str">
        <v>--</v>
      </c>
      <c r="X50" t="str">
        <v>2021/07/16</v>
      </c>
      <c r="Y50" t="str">
        <v>台灣知名主機板及電競筆電廠</v>
      </c>
      <c r="Z50" t="str">
        <v>2022/01/03</v>
      </c>
    </row>
    <row r="51" spans="1:26" x14ac:dyDescent="0.3">
      <c r="A51" t="str">
        <f t="array" ref="A51:J51">[1]!'2633.TW-ID,Name,Price,PriceChangeRatio,Low,High,Volume,InOutRatioNumber,Capital,ProfitMargin'</f>
        <v>2633</v>
      </c>
      <c r="B51" t="str">
        <v>台灣高鐵</v>
      </c>
      <c r="C51">
        <v>29.4</v>
      </c>
      <c r="D51">
        <v>-0.68</v>
      </c>
      <c r="E51">
        <v>29.25</v>
      </c>
      <c r="F51">
        <v>29.6</v>
      </c>
      <c r="G51">
        <v>179</v>
      </c>
      <c r="H51" t="str">
        <v>34.42%</v>
      </c>
      <c r="I51" t="str">
        <v>562.83</v>
      </c>
      <c r="J51" t="str">
        <v>6.59</v>
      </c>
      <c r="K51" t="str">
        <f t="array" ref="K51:T51">[1]!'2633.TW-OperatingProfitRatio,NetProfitMargin,TFXRatio,MonthlyNetSalesYoY,ReturnOnAssets,DividendYear,ProfitFourSeason,CashDividendYieldRate,StockNetValue,ExchangeIndustry'</f>
        <v>2.24</v>
      </c>
      <c r="L51" t="str">
        <v>13.15</v>
      </c>
      <c r="M51" t="str">
        <v>8.32</v>
      </c>
      <c r="N51" t="str">
        <v>-16.56</v>
      </c>
      <c r="O51" t="str">
        <v>1.42</v>
      </c>
      <c r="P51">
        <v>1.05</v>
      </c>
      <c r="Q51" t="str">
        <v>0.94</v>
      </c>
      <c r="R51">
        <v>3.57</v>
      </c>
      <c r="S51" t="str">
        <v>11.88</v>
      </c>
      <c r="T51" t="str">
        <v>上市航運業</v>
      </c>
      <c r="U51">
        <f t="array" ref="U51:Z51">[1]!'2633.TW-PreTotalVolume,ChipsField25,ChipsField27,DateofMeetingofShareHolders,CompanyPos,TradingDate'</f>
        <v>2433</v>
      </c>
      <c r="V51" t="str">
        <v>2021/08/16</v>
      </c>
      <c r="W51" t="str">
        <v>--</v>
      </c>
      <c r="X51" t="str">
        <v>2021/08/12</v>
      </c>
      <c r="Y51" t="str">
        <v>台灣高速鐵路運輸服務公司</v>
      </c>
      <c r="Z51" t="str">
        <v>2022/01/03</v>
      </c>
    </row>
    <row r="52" spans="1:26" x14ac:dyDescent="0.3">
      <c r="A52" t="str">
        <f t="array" ref="A52:J52">[1]!'4414.TW-ID,Name,Price,PriceChangeRatio,Low,High,Volume,InOutRatioNumber,Capital,ProfitMargin'</f>
        <v>4414</v>
      </c>
      <c r="B52" t="str">
        <v>如興</v>
      </c>
      <c r="C52">
        <v>7.1</v>
      </c>
      <c r="D52">
        <v>-1.39</v>
      </c>
      <c r="E52">
        <v>7.07</v>
      </c>
      <c r="F52">
        <v>7.26</v>
      </c>
      <c r="G52">
        <v>48</v>
      </c>
      <c r="H52" t="str">
        <v>27.87%</v>
      </c>
      <c r="I52" t="str">
        <v>81.89</v>
      </c>
      <c r="J52" t="str">
        <v>15.63</v>
      </c>
      <c r="K52" t="str">
        <f t="array" ref="K52:T52">[1]!'4414.TW-OperatingProfitRatio,NetProfitMargin,TFXRatio,MonthlyNetSalesYoY,ReturnOnAssets,DividendYear,ProfitFourSeason,CashDividendYieldRate,StockNetValue,ExchangeIndustry'</f>
        <v>-2.37</v>
      </c>
      <c r="L52" t="str">
        <v>-4.15</v>
      </c>
      <c r="M52" t="str">
        <v>5.66</v>
      </c>
      <c r="N52" t="str">
        <v>-2.32</v>
      </c>
      <c r="O52" t="str">
        <v>-1.72</v>
      </c>
      <c r="P52">
        <v>0</v>
      </c>
      <c r="Q52" t="str">
        <v>-0.38</v>
      </c>
      <c r="R52">
        <v>0</v>
      </c>
      <c r="S52" t="str">
        <v>11.45</v>
      </c>
      <c r="T52" t="str">
        <v>上市紡織纖維</v>
      </c>
      <c r="U52">
        <f t="array" ref="U52:Z52">[1]!'4414.TW-PreTotalVolume,ChipsField25,ChipsField27,DateofMeetingofShareHolders,CompanyPos,TradingDate'</f>
        <v>3744</v>
      </c>
      <c r="V52" t="str">
        <v>--</v>
      </c>
      <c r="W52" t="str">
        <v>--</v>
      </c>
      <c r="X52" t="str">
        <v>2021/07/15</v>
      </c>
      <c r="Y52" t="str">
        <v>年興轉投資之國內知名成衣代工製造商之一</v>
      </c>
      <c r="Z52" t="str">
        <v>2022/01/03</v>
      </c>
    </row>
    <row r="53" spans="1:26" x14ac:dyDescent="0.3">
      <c r="A53" t="str">
        <f t="array" ref="A53:J53">[1]!'2412.TW-ID,Name,Price,PriceChangeRatio,Low,High,Volume,InOutRatioNumber,Capital,ProfitMargin'</f>
        <v>2412</v>
      </c>
      <c r="B53" t="str">
        <v>中華電</v>
      </c>
      <c r="C53">
        <v>115.5</v>
      </c>
      <c r="D53">
        <v>-0.86</v>
      </c>
      <c r="E53">
        <v>114.5</v>
      </c>
      <c r="F53">
        <v>116.5</v>
      </c>
      <c r="G53">
        <v>399</v>
      </c>
      <c r="H53" t="str">
        <v>26.07%</v>
      </c>
      <c r="I53" t="str">
        <v>775.74</v>
      </c>
      <c r="J53" t="str">
        <v>36.92</v>
      </c>
      <c r="K53" t="str">
        <f t="array" ref="K53:T53">[1]!'2412.TW-OperatingProfitRatio,NetProfitMargin,TFXRatio,MonthlyNetSalesYoY,ReturnOnAssets,DividendYear,ProfitFourSeason,CashDividendYieldRate,StockNetValue,ExchangeIndustry'</f>
        <v>22.46</v>
      </c>
      <c r="L53" t="str">
        <v>18.68</v>
      </c>
      <c r="M53" t="str">
        <v>-3.58</v>
      </c>
      <c r="N53" t="str">
        <v>0.32</v>
      </c>
      <c r="O53" t="str">
        <v>5.64</v>
      </c>
      <c r="P53">
        <v>4.3099999999999996</v>
      </c>
      <c r="Q53" t="str">
        <v>4.55</v>
      </c>
      <c r="R53">
        <v>3.73</v>
      </c>
      <c r="S53" t="str">
        <v>47.74</v>
      </c>
      <c r="T53" t="str">
        <v>上市通信網路</v>
      </c>
      <c r="U53">
        <f t="array" ref="U53:Z53">[1]!'2412.TW-PreTotalVolume,ChipsField25,ChipsField27,DateofMeetingofShareHolders,CompanyPos,TradingDate'</f>
        <v>4167</v>
      </c>
      <c r="V53" t="str">
        <v>2021/08/25</v>
      </c>
      <c r="W53" t="str">
        <v>--</v>
      </c>
      <c r="X53" t="str">
        <v>2021/08/20</v>
      </c>
      <c r="Y53" t="str">
        <v>台灣電信業龍頭</v>
      </c>
      <c r="Z53" t="str">
        <v>2022/01/03</v>
      </c>
    </row>
    <row r="54" spans="1:26" x14ac:dyDescent="0.3">
      <c r="A54" t="str">
        <f t="array" ref="A54:J54">[1]!'1905.TW-ID,Name,Price,PriceChangeRatio,Low,High,Volume,InOutRatioNumber,Capital,ProfitMargin'</f>
        <v>1905</v>
      </c>
      <c r="B54" t="str">
        <v>華紙</v>
      </c>
      <c r="C54">
        <v>24.2</v>
      </c>
      <c r="D54">
        <v>-2.42</v>
      </c>
      <c r="E54">
        <v>24.2</v>
      </c>
      <c r="F54">
        <v>24.95</v>
      </c>
      <c r="G54">
        <v>248</v>
      </c>
      <c r="H54" t="str">
        <v>23.92%</v>
      </c>
      <c r="I54" t="str">
        <v>110.28</v>
      </c>
      <c r="J54" t="str">
        <v>13.27</v>
      </c>
      <c r="K54" t="str">
        <f t="array" ref="K54:T54">[1]!'1905.TW-OperatingProfitRatio,NetProfitMargin,TFXRatio,MonthlyNetSalesYoY,ReturnOnAssets,DividendYear,ProfitFourSeason,CashDividendYieldRate,StockNetValue,ExchangeIndustry'</f>
        <v>3.57</v>
      </c>
      <c r="L54" t="str">
        <v>4.01</v>
      </c>
      <c r="M54" t="str">
        <v>1.68</v>
      </c>
      <c r="N54" t="str">
        <v>11.37</v>
      </c>
      <c r="O54" t="str">
        <v>2.13</v>
      </c>
      <c r="P54">
        <v>0</v>
      </c>
      <c r="Q54" t="str">
        <v>0.62</v>
      </c>
      <c r="R54">
        <v>0</v>
      </c>
      <c r="S54" t="str">
        <v>14.26</v>
      </c>
      <c r="T54" t="str">
        <v>上市造紙</v>
      </c>
      <c r="U54">
        <f t="array" ref="U54:Z54">[1]!'1905.TW-PreTotalVolume,ChipsField25,ChipsField27,DateofMeetingofShareHolders,CompanyPos,TradingDate'</f>
        <v>5700</v>
      </c>
      <c r="V54" t="str">
        <v>--</v>
      </c>
      <c r="W54" t="str">
        <v>--</v>
      </c>
      <c r="X54" t="str">
        <v>2021/07/07</v>
      </c>
      <c r="Y54" t="str">
        <v>紙漿及文化用紙一貫廠，亦為永豐餘子公司</v>
      </c>
      <c r="Z54" t="str">
        <v>2022/01/03</v>
      </c>
    </row>
    <row r="55" spans="1:26" x14ac:dyDescent="0.3">
      <c r="A55" t="str">
        <f t="array" ref="A55:J55">[1]!'1467.TW-ID,Name,Price,PriceChangeRatio,Low,High,Volume,InOutRatioNumber,Capital,ProfitMargin'</f>
        <v>1467</v>
      </c>
      <c r="B55" t="str">
        <v>南緯</v>
      </c>
      <c r="C55">
        <v>14.1</v>
      </c>
      <c r="D55">
        <v>-0.7</v>
      </c>
      <c r="E55">
        <v>14.05</v>
      </c>
      <c r="F55">
        <v>14.5</v>
      </c>
      <c r="G55">
        <v>45</v>
      </c>
      <c r="H55" t="str">
        <v>36.94%</v>
      </c>
      <c r="I55" t="str">
        <v>23.36</v>
      </c>
      <c r="J55" t="str">
        <v>20.77</v>
      </c>
      <c r="K55" t="str">
        <f t="array" ref="K55:T55">[1]!'1467.TW-OperatingProfitRatio,NetProfitMargin,TFXRatio,MonthlyNetSalesYoY,ReturnOnAssets,DividendYear,ProfitFourSeason,CashDividendYieldRate,StockNetValue,ExchangeIndustry'</f>
        <v>1.44</v>
      </c>
      <c r="L55" t="str">
        <v>-1.55</v>
      </c>
      <c r="M55" t="str">
        <v>2.25</v>
      </c>
      <c r="N55" t="str">
        <v>-23.25</v>
      </c>
      <c r="O55" t="str">
        <v>-0.32</v>
      </c>
      <c r="P55">
        <v>0.7</v>
      </c>
      <c r="Q55" t="str">
        <v>0.02</v>
      </c>
      <c r="R55">
        <v>4.96</v>
      </c>
      <c r="S55" t="str">
        <v>12.45</v>
      </c>
      <c r="T55" t="str">
        <v>上市紡織纖維</v>
      </c>
      <c r="U55">
        <f t="array" ref="U55:Z55">[1]!'1467.TW-PreTotalVolume,ChipsField25,ChipsField27,DateofMeetingofShareHolders,CompanyPos,TradingDate'</f>
        <v>1590</v>
      </c>
      <c r="V55" t="str">
        <v>2021/09/13</v>
      </c>
      <c r="W55" t="str">
        <v>--</v>
      </c>
      <c r="X55" t="str">
        <v>2021/07/12</v>
      </c>
      <c r="Y55" t="str">
        <v>為品牌大廠代工及與Wal-mart合作的成衣廠</v>
      </c>
      <c r="Z55" t="str">
        <v>2022/01/03</v>
      </c>
    </row>
    <row r="56" spans="1:26" x14ac:dyDescent="0.3">
      <c r="A56" t="str">
        <f t="array" ref="A56:J56">[1]!'2023.TW-ID,Name,Price,PriceChangeRatio,Low,High,Volume,InOutRatioNumber,Capital,ProfitMargin'</f>
        <v>2023</v>
      </c>
      <c r="B56" t="str">
        <v>燁輝</v>
      </c>
      <c r="C56">
        <v>24.8</v>
      </c>
      <c r="D56">
        <v>-1.98</v>
      </c>
      <c r="E56">
        <v>24.8</v>
      </c>
      <c r="F56">
        <v>25.5</v>
      </c>
      <c r="G56">
        <v>355</v>
      </c>
      <c r="H56" t="str">
        <v>25.65%</v>
      </c>
      <c r="I56" t="str">
        <v>189.06</v>
      </c>
      <c r="J56" t="str">
        <v>12.02</v>
      </c>
      <c r="K56" t="str">
        <f t="array" ref="K56:T56">[1]!'2023.TW-OperatingProfitRatio,NetProfitMargin,TFXRatio,MonthlyNetSalesYoY,ReturnOnAssets,DividendYear,ProfitFourSeason,CashDividendYieldRate,StockNetValue,ExchangeIndustry'</f>
        <v>6.04</v>
      </c>
      <c r="L56" t="str">
        <v>6.22</v>
      </c>
      <c r="M56" t="str">
        <v>5.25</v>
      </c>
      <c r="N56" t="str">
        <v>43.97</v>
      </c>
      <c r="O56" t="str">
        <v>5.45</v>
      </c>
      <c r="P56">
        <v>0</v>
      </c>
      <c r="Q56" t="str">
        <v>2.39</v>
      </c>
      <c r="R56">
        <v>0</v>
      </c>
      <c r="S56" t="str">
        <v>16.18</v>
      </c>
      <c r="T56" t="str">
        <v>上市鋼鐵</v>
      </c>
      <c r="U56">
        <f t="array" ref="U56:Z56">[1]!'2023.TW-PreTotalVolume,ChipsField25,ChipsField27,DateofMeetingofShareHolders,CompanyPos,TradingDate'</f>
        <v>3821</v>
      </c>
      <c r="V56" t="str">
        <v>--</v>
      </c>
      <c r="W56" t="str">
        <v>--</v>
      </c>
      <c r="X56" t="str">
        <v>2021/08/25</v>
      </c>
      <c r="Y56" t="str">
        <v>台灣第一大鍍鋅烤漆廠</v>
      </c>
      <c r="Z56" t="str">
        <v>2022/01/03</v>
      </c>
    </row>
    <row r="57" spans="1:26" x14ac:dyDescent="0.3">
      <c r="A57" t="str">
        <f t="array" ref="A57:J57">[1]!'3276.TW-ID,Name,Price,PriceChangeRatio,Low,High,Volume,InOutRatioNumber,Capital,ProfitMargin'</f>
        <v>3276</v>
      </c>
      <c r="B57" t="str">
        <v>宇環</v>
      </c>
      <c r="C57">
        <v>19.25</v>
      </c>
      <c r="D57">
        <v>-2.2799999999999998</v>
      </c>
      <c r="E57">
        <v>19.149999999999999</v>
      </c>
      <c r="F57">
        <v>19.899999999999999</v>
      </c>
      <c r="G57">
        <v>74</v>
      </c>
      <c r="H57" t="str">
        <v>28.76%</v>
      </c>
      <c r="I57" t="str">
        <v>6.97</v>
      </c>
      <c r="J57" t="str">
        <v>5.09</v>
      </c>
      <c r="K57" t="str">
        <f t="array" ref="K57:T57">[1]!'3276.TW-OperatingProfitRatio,NetProfitMargin,TFXRatio,MonthlyNetSalesYoY,ReturnOnAssets,DividendYear,ProfitFourSeason,CashDividendYieldRate,StockNetValue,ExchangeIndustry'</f>
        <v>-0.38</v>
      </c>
      <c r="L57" t="str">
        <v>4.85</v>
      </c>
      <c r="M57" t="str">
        <v>17.23</v>
      </c>
      <c r="N57" t="str">
        <v>30.69</v>
      </c>
      <c r="O57" t="str">
        <v>3.10</v>
      </c>
      <c r="P57">
        <v>0</v>
      </c>
      <c r="Q57" t="str">
        <v>1.22</v>
      </c>
      <c r="R57">
        <v>0</v>
      </c>
      <c r="S57" t="str">
        <v>10.30</v>
      </c>
      <c r="T57" t="str">
        <v>上櫃電子零組件</v>
      </c>
      <c r="U57">
        <f t="array" ref="U57:Z57">[1]!'3276.TW-PreTotalVolume,ChipsField25,ChipsField27,DateofMeetingofShareHolders,CompanyPos,TradingDate'</f>
        <v>1724</v>
      </c>
      <c r="V57" t="str">
        <v>--</v>
      </c>
      <c r="W57" t="str">
        <v>--</v>
      </c>
      <c r="X57" t="str">
        <v>2021/07/01</v>
      </c>
      <c r="Y57" t="str">
        <v>志超轉投資印刷電路板公司</v>
      </c>
      <c r="Z57" t="str">
        <v>2022/01/03</v>
      </c>
    </row>
    <row r="58" spans="1:26" x14ac:dyDescent="0.3">
      <c r="A58" t="str">
        <f t="array" ref="A58:J58">[1]!'6443.TW-ID,Name,Price,PriceChangeRatio,Low,High,Volume,InOutRatioNumber,Capital,ProfitMargin'</f>
        <v>6443</v>
      </c>
      <c r="B58" t="str">
        <v>元晶</v>
      </c>
      <c r="C58">
        <v>42.05</v>
      </c>
      <c r="D58">
        <v>-1.06</v>
      </c>
      <c r="E58">
        <v>41.9</v>
      </c>
      <c r="F58">
        <v>43.25</v>
      </c>
      <c r="G58">
        <v>1116</v>
      </c>
      <c r="H58" t="str">
        <v>34.43%</v>
      </c>
      <c r="I58" t="str">
        <v>44.58</v>
      </c>
      <c r="J58" t="str">
        <v>2.16</v>
      </c>
      <c r="K58" t="str">
        <f t="array" ref="K58:T58">[1]!'6443.TW-OperatingProfitRatio,NetProfitMargin,TFXRatio,MonthlyNetSalesYoY,ReturnOnAssets,DividendYear,ProfitFourSeason,CashDividendYieldRate,StockNetValue,ExchangeIndustry'</f>
        <v>-5.34</v>
      </c>
      <c r="L58" t="str">
        <v>-5.05</v>
      </c>
      <c r="M58" t="str">
        <v>51.46</v>
      </c>
      <c r="N58" t="str">
        <v>131.75</v>
      </c>
      <c r="O58" t="str">
        <v>-1.60</v>
      </c>
      <c r="P58">
        <v>0</v>
      </c>
      <c r="Q58" t="str">
        <v>-0.49</v>
      </c>
      <c r="R58">
        <v>0</v>
      </c>
      <c r="S58" t="str">
        <v>10.22</v>
      </c>
      <c r="T58" t="str">
        <v>上市光電</v>
      </c>
      <c r="U58">
        <f t="array" ref="U58:Z58">[1]!'6443.TW-PreTotalVolume,ChipsField25,ChipsField27,DateofMeetingofShareHolders,CompanyPos,TradingDate'</f>
        <v>25832</v>
      </c>
      <c r="V58" t="str">
        <v>--</v>
      </c>
      <c r="W58" t="str">
        <v>--</v>
      </c>
      <c r="X58" t="str">
        <v>2021/04/07</v>
      </c>
      <c r="Y58" t="str">
        <v>遠雄轉投資太陽能電池廠商</v>
      </c>
      <c r="Z58" t="str">
        <v>2022/01/03</v>
      </c>
    </row>
    <row r="59" spans="1:26" x14ac:dyDescent="0.3">
      <c r="A59" t="str">
        <f t="array" ref="A59:J59">[1]!'5512.TW-ID,Name,Price,PriceChangeRatio,Low,High,Volume,InOutRatioNumber,Capital,ProfitMargin'</f>
        <v>5512</v>
      </c>
      <c r="B59" t="str">
        <v>力麒</v>
      </c>
      <c r="C59">
        <v>9.43</v>
      </c>
      <c r="D59">
        <v>-0.74</v>
      </c>
      <c r="E59">
        <v>9.4</v>
      </c>
      <c r="F59">
        <v>9.5</v>
      </c>
      <c r="G59">
        <v>12</v>
      </c>
      <c r="H59" t="str">
        <v>11.15%</v>
      </c>
      <c r="I59" t="str">
        <v>74.40</v>
      </c>
      <c r="J59" t="str">
        <v>17.17</v>
      </c>
      <c r="K59" t="str">
        <f t="array" ref="K59:T59">[1]!'5512.TW-OperatingProfitRatio,NetProfitMargin,TFXRatio,MonthlyNetSalesYoY,ReturnOnAssets,DividendYear,ProfitFourSeason,CashDividendYieldRate,StockNetValue,ExchangeIndustry'</f>
        <v>8.24</v>
      </c>
      <c r="L59" t="str">
        <v>1.34</v>
      </c>
      <c r="M59" t="str">
        <v>-31.25</v>
      </c>
      <c r="N59" t="str">
        <v>-0.27</v>
      </c>
      <c r="O59" t="str">
        <v>0.50</v>
      </c>
      <c r="P59">
        <v>0.33</v>
      </c>
      <c r="Q59" t="str">
        <v>0.09</v>
      </c>
      <c r="R59">
        <v>3.5</v>
      </c>
      <c r="S59" t="str">
        <v>17.92</v>
      </c>
      <c r="T59" t="str">
        <v>上櫃建材營造</v>
      </c>
      <c r="U59">
        <f t="array" ref="U59:Z59">[1]!'5512.TW-PreTotalVolume,ChipsField25,ChipsField27,DateofMeetingofShareHolders,CompanyPos,TradingDate'</f>
        <v>1367</v>
      </c>
      <c r="V59" t="str">
        <v>2021/09/13</v>
      </c>
      <c r="W59" t="str">
        <v>--</v>
      </c>
      <c r="X59" t="str">
        <v>2021/07/14</v>
      </c>
      <c r="Y59" t="str">
        <v>推案集中於台北市精華地段之建商</v>
      </c>
      <c r="Z59" t="str">
        <v>2022/01/03</v>
      </c>
    </row>
    <row r="60" spans="1:26" x14ac:dyDescent="0.3">
      <c r="A60" t="str">
        <f t="array" ref="A60:J60">[1]!'3710.TW-ID,Name,Price,PriceChangeRatio,Low,High,Volume,InOutRatioNumber,Capital,ProfitMargin'</f>
        <v>3710</v>
      </c>
      <c r="B60" t="str">
        <v>連展投控</v>
      </c>
      <c r="C60">
        <v>9.6999999999999993</v>
      </c>
      <c r="D60">
        <v>-1.52</v>
      </c>
      <c r="E60">
        <v>9.68</v>
      </c>
      <c r="F60">
        <v>9.98</v>
      </c>
      <c r="G60">
        <v>23</v>
      </c>
      <c r="H60" t="str">
        <v>26.01%</v>
      </c>
      <c r="I60" t="str">
        <v>21.20</v>
      </c>
      <c r="J60" t="str">
        <v>14.94</v>
      </c>
      <c r="K60" t="str">
        <f t="array" ref="K60:T60">[1]!'3710.TW-OperatingProfitRatio,NetProfitMargin,TFXRatio,MonthlyNetSalesYoY,ReturnOnAssets,DividendYear,ProfitFourSeason,CashDividendYieldRate,StockNetValue,ExchangeIndustry'</f>
        <v>-4.63</v>
      </c>
      <c r="L60" t="str">
        <v>-4.92</v>
      </c>
      <c r="M60" t="str">
        <v>9.02</v>
      </c>
      <c r="N60" t="str">
        <v>-0.18</v>
      </c>
      <c r="O60" t="str">
        <v>-1.66</v>
      </c>
      <c r="P60">
        <v>0</v>
      </c>
      <c r="Q60" t="str">
        <v>-1.56</v>
      </c>
      <c r="R60">
        <v>0</v>
      </c>
      <c r="S60" t="str">
        <v>8.55</v>
      </c>
      <c r="T60" t="str">
        <v>上櫃電子零組件</v>
      </c>
      <c r="U60">
        <f t="array" ref="U60:Z60">[1]!'3710.TW-PreTotalVolume,ChipsField25,ChipsField27,DateofMeetingofShareHolders,CompanyPos,TradingDate'</f>
        <v>1228</v>
      </c>
      <c r="V60" t="str">
        <v>--</v>
      </c>
      <c r="W60" t="str">
        <v>--</v>
      </c>
      <c r="X60" t="str">
        <v>2021/07/20</v>
      </c>
      <c r="Y60" t="str">
        <v>手機隱藏式天線及I/O連接器廠</v>
      </c>
      <c r="Z60" t="str">
        <v>2022/01/03</v>
      </c>
    </row>
    <row r="61" spans="1:26" x14ac:dyDescent="0.3">
      <c r="A61" t="str">
        <f t="array" ref="A61:J61">[1]!'3202.TW-ID,Name,Price,PriceChangeRatio,Low,High,Volume,InOutRatioNumber,Capital,ProfitMargin'</f>
        <v>3202</v>
      </c>
      <c r="B61" t="str">
        <v>樺晟</v>
      </c>
      <c r="C61">
        <v>20</v>
      </c>
      <c r="D61">
        <v>-1.96</v>
      </c>
      <c r="E61">
        <v>19.899999999999999</v>
      </c>
      <c r="F61">
        <v>20.75</v>
      </c>
      <c r="G61">
        <v>110</v>
      </c>
      <c r="H61" t="str">
        <v>31.00%</v>
      </c>
      <c r="I61" t="str">
        <v>11.72</v>
      </c>
      <c r="J61" t="str">
        <v>14.89</v>
      </c>
      <c r="K61" t="str">
        <f t="array" ref="K61:T61">[1]!'3202.TW-OperatingProfitRatio,NetProfitMargin,TFXRatio,MonthlyNetSalesYoY,ReturnOnAssets,DividendYear,ProfitFourSeason,CashDividendYieldRate,StockNetValue,ExchangeIndustry'</f>
        <v>2.17</v>
      </c>
      <c r="L61" t="str">
        <v>4.60</v>
      </c>
      <c r="M61" t="str">
        <v>7.54</v>
      </c>
      <c r="N61" t="str">
        <v>5.31</v>
      </c>
      <c r="O61" t="str">
        <v>3.91</v>
      </c>
      <c r="P61">
        <v>0</v>
      </c>
      <c r="Q61" t="str">
        <v>-0.73</v>
      </c>
      <c r="R61">
        <v>0</v>
      </c>
      <c r="S61" t="str">
        <v>9.79</v>
      </c>
      <c r="T61" t="str">
        <v>上櫃電子零組件</v>
      </c>
      <c r="U61">
        <f t="array" ref="U61:Z61">[1]!'3202.TW-PreTotalVolume,ChipsField25,ChipsField27,DateofMeetingofShareHolders,CompanyPos,TradingDate'</f>
        <v>7526</v>
      </c>
      <c r="V61" t="str">
        <v>--</v>
      </c>
      <c r="W61" t="str">
        <v>--</v>
      </c>
      <c r="X61" t="str">
        <v>2021/07/05</v>
      </c>
      <c r="Y61" t="str">
        <v>台灣極細同軸線龍頭</v>
      </c>
      <c r="Z61" t="str">
        <v>2022/01/03</v>
      </c>
    </row>
    <row r="62" spans="1:26" x14ac:dyDescent="0.3">
      <c r="A62" t="str">
        <f t="array" ref="A62:J62">[1]!'5347.TW-ID,Name,Price,PriceChangeRatio,Low,High,Volume,InOutRatioNumber,Capital,ProfitMargin'</f>
        <v>5347</v>
      </c>
      <c r="B62" t="str">
        <v>世界</v>
      </c>
      <c r="C62">
        <v>151.5</v>
      </c>
      <c r="D62">
        <v>-4.1100000000000003</v>
      </c>
      <c r="E62">
        <v>150.5</v>
      </c>
      <c r="F62">
        <v>156.5</v>
      </c>
      <c r="G62">
        <v>355</v>
      </c>
      <c r="H62" t="str">
        <v>34.56%</v>
      </c>
      <c r="I62" t="str">
        <v>163.90</v>
      </c>
      <c r="J62" t="str">
        <v>41.93</v>
      </c>
      <c r="K62" t="str">
        <f t="array" ref="K62:T62">[1]!'5347.TW-OperatingProfitRatio,NetProfitMargin,TFXRatio,MonthlyNetSalesYoY,ReturnOnAssets,DividendYear,ProfitFourSeason,CashDividendYieldRate,StockNetValue,ExchangeIndustry'</f>
        <v>30.44</v>
      </c>
      <c r="L62" t="str">
        <v>25.96</v>
      </c>
      <c r="M62" t="str">
        <v>15.96</v>
      </c>
      <c r="N62" t="str">
        <v>52.17</v>
      </c>
      <c r="O62" t="str">
        <v>16.69</v>
      </c>
      <c r="P62">
        <v>3.5</v>
      </c>
      <c r="Q62" t="str">
        <v>6.06</v>
      </c>
      <c r="R62">
        <v>2.31</v>
      </c>
      <c r="S62" t="str">
        <v>19.32</v>
      </c>
      <c r="T62" t="str">
        <v>上櫃半導體</v>
      </c>
      <c r="U62">
        <f t="array" ref="U62:Z62">[1]!'5347.TW-PreTotalVolume,ChipsField25,ChipsField27,DateofMeetingofShareHolders,CompanyPos,TradingDate'</f>
        <v>2393</v>
      </c>
      <c r="V62" t="str">
        <v>2021/08/20</v>
      </c>
      <c r="W62" t="str">
        <v>--</v>
      </c>
      <c r="X62" t="str">
        <v>2021/08/13</v>
      </c>
      <c r="Y62" t="str">
        <v>台積電轉投資之晶圓代工廠</v>
      </c>
      <c r="Z62" t="str">
        <v>2022/01/03</v>
      </c>
    </row>
    <row r="63" spans="1:26" x14ac:dyDescent="0.3">
      <c r="A63" t="str">
        <f t="array" ref="A63:J63">[1]!'2329.TW-ID,Name,Price,PriceChangeRatio,Low,High,Volume,InOutRatioNumber,Capital,ProfitMargin'</f>
        <v>2329</v>
      </c>
      <c r="B63" t="str">
        <v>華泰</v>
      </c>
      <c r="C63">
        <v>26</v>
      </c>
      <c r="D63">
        <v>-1.89</v>
      </c>
      <c r="E63">
        <v>25.9</v>
      </c>
      <c r="F63">
        <v>26.7</v>
      </c>
      <c r="G63">
        <v>207</v>
      </c>
      <c r="H63" t="str">
        <v>31.86%</v>
      </c>
      <c r="I63" t="str">
        <v>64.86</v>
      </c>
      <c r="J63" t="str">
        <v>17.11</v>
      </c>
      <c r="K63" t="str">
        <f t="array" ref="K63:T63">[1]!'2329.TW-OperatingProfitRatio,NetProfitMargin,TFXRatio,MonthlyNetSalesYoY,ReturnOnAssets,DividendYear,ProfitFourSeason,CashDividendYieldRate,StockNetValue,ExchangeIndustry'</f>
        <v>10.34</v>
      </c>
      <c r="L63" t="str">
        <v>8.42</v>
      </c>
      <c r="M63" t="str">
        <v>1.15</v>
      </c>
      <c r="N63" t="str">
        <v>24.17</v>
      </c>
      <c r="O63" t="str">
        <v>6.75</v>
      </c>
      <c r="P63">
        <v>0</v>
      </c>
      <c r="Q63" t="str">
        <v>1.79</v>
      </c>
      <c r="R63">
        <v>0</v>
      </c>
      <c r="S63" t="str">
        <v>11.65</v>
      </c>
      <c r="T63" t="str">
        <v>上市半導體</v>
      </c>
      <c r="U63">
        <f t="array" ref="U63:Z63">[1]!'2329.TW-PreTotalVolume,ChipsField25,ChipsField27,DateofMeetingofShareHolders,CompanyPos,TradingDate'</f>
        <v>12124</v>
      </c>
      <c r="V63" t="str">
        <v>--</v>
      </c>
      <c r="W63" t="str">
        <v>--</v>
      </c>
      <c r="X63" t="str">
        <v>2021/07/15</v>
      </c>
      <c r="Y63" t="str">
        <v>與金士頓合作之NAND Flash、記憶卡封測廠</v>
      </c>
      <c r="Z63" t="str">
        <v>2022/01/03</v>
      </c>
    </row>
    <row r="64" spans="1:26" x14ac:dyDescent="0.3">
      <c r="A64" t="str">
        <f t="array" ref="A64:J64">[1]!'4961.TW-ID,Name,Price,PriceChangeRatio,Low,High,Volume,InOutRatioNumber,Capital,ProfitMargin'</f>
        <v>4961</v>
      </c>
      <c r="B64" t="str">
        <v>天鈺</v>
      </c>
      <c r="C64">
        <v>282.5</v>
      </c>
      <c r="D64">
        <v>0.18</v>
      </c>
      <c r="E64">
        <v>280.5</v>
      </c>
      <c r="F64">
        <v>285.5</v>
      </c>
      <c r="G64">
        <v>283</v>
      </c>
      <c r="H64" t="str">
        <v>48.39%</v>
      </c>
      <c r="I64" t="str">
        <v>18.65</v>
      </c>
      <c r="J64" t="str">
        <v>46.25</v>
      </c>
      <c r="K64" t="str">
        <f t="array" ref="K64:T64">[1]!'4961.TW-OperatingProfitRatio,NetProfitMargin,TFXRatio,MonthlyNetSalesYoY,ReturnOnAssets,DividendYear,ProfitFourSeason,CashDividendYieldRate,StockNetValue,ExchangeIndustry'</f>
        <v>34.61</v>
      </c>
      <c r="L64" t="str">
        <v>29.51</v>
      </c>
      <c r="M64" t="str">
        <v>-6.41</v>
      </c>
      <c r="N64" t="str">
        <v>68.79</v>
      </c>
      <c r="O64" t="str">
        <v>29.80</v>
      </c>
      <c r="P64">
        <v>2.5</v>
      </c>
      <c r="Q64" t="str">
        <v>29.22</v>
      </c>
      <c r="R64">
        <v>0.88</v>
      </c>
      <c r="S64" t="str">
        <v>77.62</v>
      </c>
      <c r="T64" t="str">
        <v>上市半導體</v>
      </c>
      <c r="U64">
        <f t="array" ref="U64:Z64">[1]!'4961.TW-PreTotalVolume,ChipsField25,ChipsField27,DateofMeetingofShareHolders,CompanyPos,TradingDate'</f>
        <v>2432</v>
      </c>
      <c r="V64" t="str">
        <v>2021/06/17</v>
      </c>
      <c r="W64" t="str">
        <v>--</v>
      </c>
      <c r="X64" t="str">
        <v>2021/05/18</v>
      </c>
      <c r="Y64" t="str">
        <v>鴻海旗下顯示器驅動IC設計廠</v>
      </c>
      <c r="Z64" t="str">
        <v>2022/01/03</v>
      </c>
    </row>
    <row r="65" spans="1:26" x14ac:dyDescent="0.3">
      <c r="A65" t="str">
        <f t="array" ref="A65:J65">[1]!'4744.TW-ID,Name,Price,PriceChangeRatio,Low,High,Volume,InOutRatioNumber,Capital,ProfitMargin'</f>
        <v>4744</v>
      </c>
      <c r="B65" t="str">
        <v>皇將</v>
      </c>
      <c r="C65">
        <v>36.799999999999997</v>
      </c>
      <c r="D65">
        <v>-3.16</v>
      </c>
      <c r="E65">
        <v>36.799999999999997</v>
      </c>
      <c r="F65">
        <v>38.5</v>
      </c>
      <c r="G65">
        <v>56</v>
      </c>
      <c r="H65" t="str">
        <v>23.76%</v>
      </c>
      <c r="I65" t="str">
        <v>4.72</v>
      </c>
      <c r="J65" t="str">
        <v>45.40</v>
      </c>
      <c r="K65" t="str">
        <f t="array" ref="K65:T65">[1]!'4744.TW-OperatingProfitRatio,NetProfitMargin,TFXRatio,MonthlyNetSalesYoY,ReturnOnAssets,DividendYear,ProfitFourSeason,CashDividendYieldRate,StockNetValue,ExchangeIndustry'</f>
        <v>7.19</v>
      </c>
      <c r="L65" t="str">
        <v>6.39</v>
      </c>
      <c r="M65" t="str">
        <v>99.35</v>
      </c>
      <c r="N65" t="str">
        <v>106.90</v>
      </c>
      <c r="O65" t="str">
        <v>2.59</v>
      </c>
      <c r="P65">
        <v>1.2</v>
      </c>
      <c r="Q65" t="str">
        <v>1.55</v>
      </c>
      <c r="R65">
        <v>3.26</v>
      </c>
      <c r="S65" t="str">
        <v>19.21</v>
      </c>
      <c r="T65" t="str">
        <v>上櫃生技醫療</v>
      </c>
      <c r="U65">
        <f t="array" ref="U65:Z65">[1]!'4744.TW-PreTotalVolume,ChipsField25,ChipsField27,DateofMeetingofShareHolders,CompanyPos,TradingDate'</f>
        <v>1335</v>
      </c>
      <c r="V65" t="str">
        <v>2021/08/25</v>
      </c>
      <c r="W65" t="str">
        <v>--</v>
      </c>
      <c r="X65" t="str">
        <v>2021/07/29</v>
      </c>
      <c r="Y65" t="str">
        <v>台灣製藥設備廠</v>
      </c>
      <c r="Z65" t="str">
        <v>2022/01/03</v>
      </c>
    </row>
    <row r="66" spans="1:26" x14ac:dyDescent="0.3">
      <c r="A66" t="str">
        <f t="array" ref="A66:J66">[1]!'2641.TW-ID,Name,Price,PriceChangeRatio,Low,High,Volume,InOutRatioNumber,Capital,ProfitMargin'</f>
        <v>2641</v>
      </c>
      <c r="B66" t="str">
        <v>正德</v>
      </c>
      <c r="C66">
        <v>26</v>
      </c>
      <c r="D66">
        <v>-1.89</v>
      </c>
      <c r="E66">
        <v>25.9</v>
      </c>
      <c r="F66">
        <v>26.75</v>
      </c>
      <c r="G66">
        <v>112</v>
      </c>
      <c r="H66" t="str">
        <v>21.99%</v>
      </c>
      <c r="I66" t="str">
        <v>19.01</v>
      </c>
      <c r="J66" t="str">
        <v>33.19</v>
      </c>
      <c r="K66" t="str">
        <f t="array" ref="K66:T66">[1]!'2641.TW-OperatingProfitRatio,NetProfitMargin,TFXRatio,MonthlyNetSalesYoY,ReturnOnAssets,DividendYear,ProfitFourSeason,CashDividendYieldRate,StockNetValue,ExchangeIndustry'</f>
        <v>25.14</v>
      </c>
      <c r="L66" t="str">
        <v>25.28</v>
      </c>
      <c r="M66" t="str">
        <v>-4.52</v>
      </c>
      <c r="N66" t="str">
        <v>114.78</v>
      </c>
      <c r="O66" t="str">
        <v>4.92</v>
      </c>
      <c r="P66">
        <v>0</v>
      </c>
      <c r="Q66" t="str">
        <v>1.50</v>
      </c>
      <c r="R66">
        <v>0</v>
      </c>
      <c r="S66" t="str">
        <v>14.52</v>
      </c>
      <c r="T66" t="str">
        <v>上櫃航運業</v>
      </c>
      <c r="U66">
        <f t="array" ref="U66:Z66">[1]!'2641.TW-PreTotalVolume,ChipsField25,ChipsField27,DateofMeetingofShareHolders,CompanyPos,TradingDate'</f>
        <v>1533</v>
      </c>
      <c r="V66" t="str">
        <v>--</v>
      </c>
      <c r="W66" t="str">
        <v>--</v>
      </c>
      <c r="X66" t="str">
        <v>2021/08/20</v>
      </c>
      <c r="Y66" t="str">
        <v>以亞洲近洋航線為主力之散裝航運業者</v>
      </c>
      <c r="Z66" t="str">
        <v>2022/01/03</v>
      </c>
    </row>
    <row r="67" spans="1:26" x14ac:dyDescent="0.3">
      <c r="A67" t="str">
        <f t="array" ref="A67:J67">[1]!'2030.TW-ID,Name,Price,PriceChangeRatio,Low,High,Volume,InOutRatioNumber,Capital,ProfitMargin'</f>
        <v>2030</v>
      </c>
      <c r="B67" t="str">
        <v>彰源</v>
      </c>
      <c r="C67">
        <v>29.3</v>
      </c>
      <c r="D67">
        <v>-1.18</v>
      </c>
      <c r="E67">
        <v>29.2</v>
      </c>
      <c r="F67">
        <v>29.85</v>
      </c>
      <c r="G67">
        <v>101</v>
      </c>
      <c r="H67" t="str">
        <v>32.46%</v>
      </c>
      <c r="I67" t="str">
        <v>28.05</v>
      </c>
      <c r="J67" t="str">
        <v>17.44</v>
      </c>
      <c r="K67" t="str">
        <f t="array" ref="K67:T67">[1]!'2030.TW-OperatingProfitRatio,NetProfitMargin,TFXRatio,MonthlyNetSalesYoY,ReturnOnAssets,DividendYear,ProfitFourSeason,CashDividendYieldRate,StockNetValue,ExchangeIndustry'</f>
        <v>10.20</v>
      </c>
      <c r="L67" t="str">
        <v>7.18</v>
      </c>
      <c r="M67" t="str">
        <v>-1.90</v>
      </c>
      <c r="N67" t="str">
        <v>62.61</v>
      </c>
      <c r="O67" t="str">
        <v>6.70</v>
      </c>
      <c r="P67">
        <v>0.5</v>
      </c>
      <c r="Q67" t="str">
        <v>3.10</v>
      </c>
      <c r="R67">
        <v>1.71</v>
      </c>
      <c r="S67" t="str">
        <v>16.00</v>
      </c>
      <c r="T67" t="str">
        <v>上市鋼鐵</v>
      </c>
      <c r="U67">
        <f t="array" ref="U67:Z67">[1]!'2030.TW-PreTotalVolume,ChipsField25,ChipsField27,DateofMeetingofShareHolders,CompanyPos,TradingDate'</f>
        <v>2182</v>
      </c>
      <c r="V67" t="str">
        <v>2021/09/03</v>
      </c>
      <c r="W67" t="str">
        <v>--</v>
      </c>
      <c r="X67" t="str">
        <v>2021/08/19</v>
      </c>
      <c r="Y67" t="str">
        <v>台灣前二大不鏽鋼管製造廠</v>
      </c>
      <c r="Z67" t="str">
        <v>2022/01/03</v>
      </c>
    </row>
    <row r="68" spans="1:26" x14ac:dyDescent="0.3">
      <c r="A68" t="str">
        <f t="array" ref="A68:J68">[1]!'2889.TW-ID,Name,Price,PriceChangeRatio,Low,High,Volume,InOutRatioNumber,Capital,ProfitMargin'</f>
        <v>2889</v>
      </c>
      <c r="B68" t="str">
        <v>國票金</v>
      </c>
      <c r="C68">
        <v>15.95</v>
      </c>
      <c r="D68">
        <v>-0.62</v>
      </c>
      <c r="E68">
        <v>15.95</v>
      </c>
      <c r="F68">
        <v>16.05</v>
      </c>
      <c r="G68">
        <v>336</v>
      </c>
      <c r="H68" t="str">
        <v>32.90%</v>
      </c>
      <c r="I68" t="str">
        <v>299.75</v>
      </c>
      <c r="J68" t="str">
        <v>--</v>
      </c>
      <c r="K68" t="str">
        <f t="array" ref="K68:T68">[1]!'2889.TW-OperatingProfitRatio,NetProfitMargin,TFXRatio,MonthlyNetSalesYoY,ReturnOnAssets,DividendYear,ProfitFourSeason,CashDividendYieldRate,StockNetValue,ExchangeIndustry'</f>
        <v>--</v>
      </c>
      <c r="L68" t="str">
        <v>58.33</v>
      </c>
      <c r="M68" t="str">
        <v>38.92</v>
      </c>
      <c r="N68" t="str">
        <v>22.48</v>
      </c>
      <c r="O68" t="str">
        <v>1.08</v>
      </c>
      <c r="P68">
        <v>1</v>
      </c>
      <c r="Q68" t="str">
        <v>1.32</v>
      </c>
      <c r="R68">
        <v>6.27</v>
      </c>
      <c r="S68" t="str">
        <v>13.33</v>
      </c>
      <c r="T68" t="str">
        <v>上市金融保險</v>
      </c>
      <c r="U68">
        <f t="array" ref="U68:Z68">[1]!'2889.TW-PreTotalVolume,ChipsField25,ChipsField27,DateofMeetingofShareHolders,CompanyPos,TradingDate'</f>
        <v>5845</v>
      </c>
      <c r="V68" t="str">
        <v>2021/07/27</v>
      </c>
      <c r="W68" t="str">
        <v>2021/10/06</v>
      </c>
      <c r="X68" t="str">
        <v>2021/12/02</v>
      </c>
      <c r="Y68" t="str">
        <v>台灣唯一以票券業務為主體之金控公司</v>
      </c>
      <c r="Z68" t="str">
        <v>2022/01/03</v>
      </c>
    </row>
    <row r="69" spans="1:26" x14ac:dyDescent="0.3">
      <c r="A69" t="str">
        <f t="array" ref="A69:J69">[1]!'2390.TW-ID,Name,Price,PriceChangeRatio,Low,High,Volume,InOutRatioNumber,Capital,ProfitMargin'</f>
        <v>2390</v>
      </c>
      <c r="B69" t="str">
        <v>云辰</v>
      </c>
      <c r="C69">
        <v>22.4</v>
      </c>
      <c r="D69">
        <v>-2.82</v>
      </c>
      <c r="E69">
        <v>22.35</v>
      </c>
      <c r="F69">
        <v>23</v>
      </c>
      <c r="G69">
        <v>197</v>
      </c>
      <c r="H69" t="str">
        <v>27.30%</v>
      </c>
      <c r="I69" t="str">
        <v>21.40</v>
      </c>
      <c r="J69" t="str">
        <v>16.98</v>
      </c>
      <c r="K69" t="str">
        <f t="array" ref="K69:T69">[1]!'2390.TW-OperatingProfitRatio,NetProfitMargin,TFXRatio,MonthlyNetSalesYoY,ReturnOnAssets,DividendYear,ProfitFourSeason,CashDividendYieldRate,StockNetValue,ExchangeIndustry'</f>
        <v>-29.21</v>
      </c>
      <c r="L69" t="str">
        <v>306.44</v>
      </c>
      <c r="M69" t="str">
        <v>7.64</v>
      </c>
      <c r="N69" t="str">
        <v>6.40</v>
      </c>
      <c r="O69" t="str">
        <v>38.36</v>
      </c>
      <c r="P69">
        <v>0</v>
      </c>
      <c r="Q69" t="str">
        <v>6.38</v>
      </c>
      <c r="R69">
        <v>0</v>
      </c>
      <c r="S69" t="str">
        <v>17.78</v>
      </c>
      <c r="T69" t="str">
        <v>上市其他電子</v>
      </c>
      <c r="U69">
        <f t="array" ref="U69:Z69">[1]!'2390.TW-PreTotalVolume,ChipsField25,ChipsField27,DateofMeetingofShareHolders,CompanyPos,TradingDate'</f>
        <v>5411</v>
      </c>
      <c r="V69" t="str">
        <v>--</v>
      </c>
      <c r="W69" t="str">
        <v>--</v>
      </c>
      <c r="X69" t="str">
        <v>2021/07/08</v>
      </c>
      <c r="Y69" t="str">
        <v>台灣防盜器龍頭廠商，轉型為智慧家庭解決方案商</v>
      </c>
      <c r="Z69" t="str">
        <v>2022/01/03</v>
      </c>
    </row>
    <row r="70" spans="1:26" x14ac:dyDescent="0.3">
      <c r="A70" t="str">
        <f t="array" ref="A70:J70">[1]!'2069.TW-ID,Name,Price,PriceChangeRatio,Low,High,Volume,InOutRatioNumber,Capital,ProfitMargin'</f>
        <v>2069</v>
      </c>
      <c r="B70" t="str">
        <v>運錩</v>
      </c>
      <c r="C70">
        <v>34.15</v>
      </c>
      <c r="D70">
        <v>-1.73</v>
      </c>
      <c r="E70">
        <v>33.950000000000003</v>
      </c>
      <c r="F70">
        <v>34.75</v>
      </c>
      <c r="G70">
        <v>59</v>
      </c>
      <c r="H70" t="str">
        <v>28.09%</v>
      </c>
      <c r="I70" t="str">
        <v>16.64</v>
      </c>
      <c r="J70" t="str">
        <v>13.00</v>
      </c>
      <c r="K70" t="str">
        <f t="array" ref="K70:T70">[1]!'2069.TW-OperatingProfitRatio,NetProfitMargin,TFXRatio,MonthlyNetSalesYoY,ReturnOnAssets,DividendYear,ProfitFourSeason,CashDividendYieldRate,StockNetValue,ExchangeIndustry'</f>
        <v>6.49</v>
      </c>
      <c r="L70" t="str">
        <v>5.03</v>
      </c>
      <c r="M70" t="str">
        <v>8.75</v>
      </c>
      <c r="N70" t="str">
        <v>102.07</v>
      </c>
      <c r="O70" t="str">
        <v>6.10</v>
      </c>
      <c r="P70">
        <v>0.55000000000000004</v>
      </c>
      <c r="Q70" t="str">
        <v>3.86</v>
      </c>
      <c r="R70">
        <v>1.61</v>
      </c>
      <c r="S70" t="str">
        <v>23.88</v>
      </c>
      <c r="T70" t="str">
        <v>上市鋼鐵</v>
      </c>
      <c r="U70">
        <f t="array" ref="U70:Z70">[1]!'2069.TW-PreTotalVolume,ChipsField25,ChipsField27,DateofMeetingofShareHolders,CompanyPos,TradingDate'</f>
        <v>1367</v>
      </c>
      <c r="V70" t="str">
        <v>2021/08/04</v>
      </c>
      <c r="W70" t="str">
        <v>--</v>
      </c>
      <c r="X70" t="str">
        <v>2021/07/20</v>
      </c>
      <c r="Y70" t="str">
        <v>台灣不銹鋼材料加工製造廠</v>
      </c>
      <c r="Z70" t="str">
        <v>2022/01/03</v>
      </c>
    </row>
    <row r="71" spans="1:26" x14ac:dyDescent="0.3">
      <c r="A71" t="str">
        <f t="array" ref="A71:J71">[1]!'5452.TW-ID,Name,Price,PriceChangeRatio,Low,High,Volume,InOutRatioNumber,Capital,ProfitMargin'</f>
        <v>5452</v>
      </c>
      <c r="B71" t="str">
        <v>佶優</v>
      </c>
      <c r="C71">
        <v>22.85</v>
      </c>
      <c r="D71">
        <v>-2.77</v>
      </c>
      <c r="E71">
        <v>22.8</v>
      </c>
      <c r="F71">
        <v>23.65</v>
      </c>
      <c r="G71">
        <v>73</v>
      </c>
      <c r="H71" t="str">
        <v>21.13%</v>
      </c>
      <c r="I71" t="str">
        <v>14.88</v>
      </c>
      <c r="J71" t="str">
        <v>13.40</v>
      </c>
      <c r="K71" t="str">
        <f t="array" ref="K71:T71">[1]!'5452.TW-OperatingProfitRatio,NetProfitMargin,TFXRatio,MonthlyNetSalesYoY,ReturnOnAssets,DividendYear,ProfitFourSeason,CashDividendYieldRate,StockNetValue,ExchangeIndustry'</f>
        <v>7.41</v>
      </c>
      <c r="L71" t="str">
        <v>4.34</v>
      </c>
      <c r="M71" t="str">
        <v>16.58</v>
      </c>
      <c r="N71" t="str">
        <v>39.33</v>
      </c>
      <c r="O71" t="str">
        <v>5.98</v>
      </c>
      <c r="P71">
        <v>0.6</v>
      </c>
      <c r="Q71" t="str">
        <v>1.63</v>
      </c>
      <c r="R71">
        <v>2.63</v>
      </c>
      <c r="S71" t="str">
        <v>13.43</v>
      </c>
      <c r="T71" t="str">
        <v>上櫃其他電子</v>
      </c>
      <c r="U71">
        <f t="array" ref="U71:Z71">[1]!'5452.TW-PreTotalVolume,ChipsField25,ChipsField27,DateofMeetingofShareHolders,CompanyPos,TradingDate'</f>
        <v>1607</v>
      </c>
      <c r="V71" t="str">
        <v>2021/08/25</v>
      </c>
      <c r="W71" t="str">
        <v>--</v>
      </c>
      <c r="X71" t="str">
        <v>2021/07/22</v>
      </c>
      <c r="Y71" t="str">
        <v>台灣塑化及電子材料通路商</v>
      </c>
      <c r="Z71" t="str">
        <v>2022/01/03</v>
      </c>
    </row>
    <row r="72" spans="1:26" x14ac:dyDescent="0.3">
      <c r="A72" t="str">
        <f t="array" ref="A72:J72">[1]!'2882.TW-ID,Name,Price,PriceChangeRatio,Low,High,Volume,InOutRatioNumber,Capital,ProfitMargin'</f>
        <v>2882</v>
      </c>
      <c r="B72" t="str">
        <v>國泰金</v>
      </c>
      <c r="C72">
        <v>61.6</v>
      </c>
      <c r="D72">
        <v>-1.44</v>
      </c>
      <c r="E72">
        <v>61.6</v>
      </c>
      <c r="F72">
        <v>62.9</v>
      </c>
      <c r="G72">
        <v>866</v>
      </c>
      <c r="H72" t="str">
        <v>29.29%</v>
      </c>
      <c r="I72" t="str">
        <v>1316.92</v>
      </c>
      <c r="J72" t="str">
        <v>--</v>
      </c>
      <c r="K72" t="str">
        <f t="array" ref="K72:T72">[1]!'2882.TW-OperatingProfitRatio,NetProfitMargin,TFXRatio,MonthlyNetSalesYoY,ReturnOnAssets,DividendYear,ProfitFourSeason,CashDividendYieldRate,StockNetValue,ExchangeIndustry'</f>
        <v>--</v>
      </c>
      <c r="L72" t="str">
        <v>74.50</v>
      </c>
      <c r="M72" t="str">
        <v>23.04</v>
      </c>
      <c r="N72" t="str">
        <v>-13.32</v>
      </c>
      <c r="O72" t="str">
        <v>1.10</v>
      </c>
      <c r="P72">
        <v>2.5</v>
      </c>
      <c r="Q72" t="str">
        <v>10.09</v>
      </c>
      <c r="R72">
        <v>4.0599999999999996</v>
      </c>
      <c r="S72" t="str">
        <v>58.41</v>
      </c>
      <c r="T72" t="str">
        <v>上市金融保險</v>
      </c>
      <c r="U72">
        <f t="array" ref="U72:Z72">[1]!'2882.TW-PreTotalVolume,ChipsField25,ChipsField27,DateofMeetingofShareHolders,CompanyPos,TradingDate'</f>
        <v>15904</v>
      </c>
      <c r="V72" t="str">
        <v>2021/07/26</v>
      </c>
      <c r="W72" t="str">
        <v>--</v>
      </c>
      <c r="X72" t="str">
        <v>2021/07/23</v>
      </c>
      <c r="Y72" t="str">
        <v>台灣資產規模最大金控公司，旗下國泰人壽為台灣最大壽險公司</v>
      </c>
      <c r="Z72" t="str">
        <v>2022/01/03</v>
      </c>
    </row>
    <row r="73" spans="1:26" x14ac:dyDescent="0.3">
      <c r="A73" t="str">
        <f t="array" ref="A73:J73">[1]!'3105.TW-ID,Name,Price,PriceChangeRatio,Low,High,Volume,InOutRatioNumber,Capital,ProfitMargin'</f>
        <v>3105</v>
      </c>
      <c r="B73" t="str">
        <v>穩懋</v>
      </c>
      <c r="C73">
        <v>372</v>
      </c>
      <c r="D73">
        <v>-0.67</v>
      </c>
      <c r="E73">
        <v>371</v>
      </c>
      <c r="F73">
        <v>379</v>
      </c>
      <c r="G73">
        <v>164</v>
      </c>
      <c r="H73" t="str">
        <v>27.67%</v>
      </c>
      <c r="I73" t="str">
        <v>42.40</v>
      </c>
      <c r="J73" t="str">
        <v>36.11</v>
      </c>
      <c r="K73" t="str">
        <f t="array" ref="K73:T73">[1]!'3105.TW-OperatingProfitRatio,NetProfitMargin,TFXRatio,MonthlyNetSalesYoY,ReturnOnAssets,DividendYear,ProfitFourSeason,CashDividendYieldRate,StockNetValue,ExchangeIndustry'</f>
        <v>23.28</v>
      </c>
      <c r="L73" t="str">
        <v>18.56</v>
      </c>
      <c r="M73" t="str">
        <v>0.72</v>
      </c>
      <c r="N73" t="str">
        <v>4.61</v>
      </c>
      <c r="O73" t="str">
        <v>5.84</v>
      </c>
      <c r="P73">
        <v>10</v>
      </c>
      <c r="Q73" t="str">
        <v>11.78</v>
      </c>
      <c r="R73">
        <v>2.69</v>
      </c>
      <c r="S73" t="str">
        <v>77.34</v>
      </c>
      <c r="T73" t="str">
        <v>上櫃半導體</v>
      </c>
      <c r="U73">
        <f t="array" ref="U73:Z73">[1]!'3105.TW-PreTotalVolume,ChipsField25,ChipsField27,DateofMeetingofShareHolders,CompanyPos,TradingDate'</f>
        <v>2353</v>
      </c>
      <c r="V73" t="str">
        <v>2021/07/07</v>
      </c>
      <c r="W73" t="str">
        <v>--</v>
      </c>
      <c r="X73" t="str">
        <v>2021/07/22</v>
      </c>
      <c r="Y73" t="str">
        <v>全球最大砷化鎵晶圓代工廠</v>
      </c>
      <c r="Z73" t="str">
        <v>2022/01/03</v>
      </c>
    </row>
    <row r="74" spans="1:26" x14ac:dyDescent="0.3">
      <c r="A74" t="str">
        <f t="array" ref="A74:J74">[1]!'2485.TW-ID,Name,Price,PriceChangeRatio,Low,High,Volume,InOutRatioNumber,Capital,ProfitMargin'</f>
        <v>2485</v>
      </c>
      <c r="B74" t="str">
        <v>兆赫</v>
      </c>
      <c r="C74">
        <v>21.45</v>
      </c>
      <c r="D74">
        <v>-2.0499999999999998</v>
      </c>
      <c r="E74">
        <v>21.35</v>
      </c>
      <c r="F74">
        <v>22.1</v>
      </c>
      <c r="G74">
        <v>107</v>
      </c>
      <c r="H74" t="str">
        <v>23.71%</v>
      </c>
      <c r="I74" t="str">
        <v>31.77</v>
      </c>
      <c r="J74" t="str">
        <v>1.89</v>
      </c>
      <c r="K74" t="str">
        <f t="array" ref="K74:T74">[1]!'2485.TW-OperatingProfitRatio,NetProfitMargin,TFXRatio,MonthlyNetSalesYoY,ReturnOnAssets,DividendYear,ProfitFourSeason,CashDividendYieldRate,StockNetValue,ExchangeIndustry'</f>
        <v>-7.28</v>
      </c>
      <c r="L74" t="str">
        <v>-5.47</v>
      </c>
      <c r="M74" t="str">
        <v>-13.38</v>
      </c>
      <c r="N74" t="str">
        <v>-31.49</v>
      </c>
      <c r="O74" t="str">
        <v>-2.90</v>
      </c>
      <c r="P74">
        <v>0</v>
      </c>
      <c r="Q74" t="str">
        <v>-1.15</v>
      </c>
      <c r="R74">
        <v>0</v>
      </c>
      <c r="S74" t="str">
        <v>19.70</v>
      </c>
      <c r="T74" t="str">
        <v>上市通信網路</v>
      </c>
      <c r="U74">
        <f t="array" ref="U74:Z74">[1]!'2485.TW-PreTotalVolume,ChipsField25,ChipsField27,DateofMeetingofShareHolders,CompanyPos,TradingDate'</f>
        <v>4082</v>
      </c>
      <c r="V74" t="str">
        <v>--</v>
      </c>
      <c r="W74" t="str">
        <v>--</v>
      </c>
      <c r="X74" t="str">
        <v>2021/08/26</v>
      </c>
      <c r="Y74" t="str">
        <v>機上盒、LNB、有線電視傳輸設備製造商</v>
      </c>
      <c r="Z74" t="str">
        <v>2022/01/03</v>
      </c>
    </row>
    <row r="75" spans="1:26" x14ac:dyDescent="0.3">
      <c r="A75" t="str">
        <f t="array" ref="A75:J75">[1]!'1513.TW-ID,Name,Price,PriceChangeRatio,Low,High,Volume,InOutRatioNumber,Capital,ProfitMargin'</f>
        <v>1513</v>
      </c>
      <c r="B75" t="str">
        <v>中興電</v>
      </c>
      <c r="C75">
        <v>44.85</v>
      </c>
      <c r="D75">
        <v>-0.88</v>
      </c>
      <c r="E75">
        <v>44.7</v>
      </c>
      <c r="F75">
        <v>45.45</v>
      </c>
      <c r="G75">
        <v>72</v>
      </c>
      <c r="H75" t="str">
        <v>28.96%</v>
      </c>
      <c r="I75" t="str">
        <v>47.61</v>
      </c>
      <c r="J75" t="str">
        <v>23.50</v>
      </c>
      <c r="K75" t="str">
        <f t="array" ref="K75:T75">[1]!'1513.TW-OperatingProfitRatio,NetProfitMargin,TFXRatio,MonthlyNetSalesYoY,ReturnOnAssets,DividendYear,ProfitFourSeason,CashDividendYieldRate,StockNetValue,ExchangeIndustry'</f>
        <v>14.39</v>
      </c>
      <c r="L75" t="str">
        <v>10.69</v>
      </c>
      <c r="M75" t="str">
        <v>-31.44</v>
      </c>
      <c r="N75" t="str">
        <v>2.51</v>
      </c>
      <c r="O75" t="str">
        <v>4.62</v>
      </c>
      <c r="P75">
        <v>2.2000000000000002</v>
      </c>
      <c r="Q75" t="str">
        <v>4.81</v>
      </c>
      <c r="R75">
        <v>4.91</v>
      </c>
      <c r="S75" t="str">
        <v>23.30</v>
      </c>
      <c r="T75" t="str">
        <v>上市電機機械</v>
      </c>
      <c r="U75">
        <f t="array" ref="U75:Z75">[1]!'1513.TW-PreTotalVolume,ChipsField25,ChipsField27,DateofMeetingofShareHolders,CompanyPos,TradingDate'</f>
        <v>1757</v>
      </c>
      <c r="V75" t="str">
        <v>2021/09/07</v>
      </c>
      <c r="W75" t="str">
        <v>--</v>
      </c>
      <c r="X75" t="str">
        <v>2021/07/30</v>
      </c>
      <c r="Y75" t="str">
        <v>台灣知名重電及機電工程廠商</v>
      </c>
      <c r="Z75" t="str">
        <v>2022/01/03</v>
      </c>
    </row>
    <row r="76" spans="1:26" x14ac:dyDescent="0.3">
      <c r="A76" t="str">
        <f t="array" ref="A76:J76">[1]!'8213.TW-ID,Name,Price,PriceChangeRatio,Low,High,Volume,InOutRatioNumber,Capital,ProfitMargin'</f>
        <v>8213</v>
      </c>
      <c r="B76" t="str">
        <v>志超</v>
      </c>
      <c r="C76">
        <v>48.3</v>
      </c>
      <c r="D76">
        <v>-0.51</v>
      </c>
      <c r="E76">
        <v>48.3</v>
      </c>
      <c r="F76">
        <v>49.3</v>
      </c>
      <c r="G76">
        <v>82</v>
      </c>
      <c r="H76" t="str">
        <v>28.03%</v>
      </c>
      <c r="I76" t="str">
        <v>27.12</v>
      </c>
      <c r="J76" t="str">
        <v>15.64</v>
      </c>
      <c r="K76" t="str">
        <f t="array" ref="K76:T76">[1]!'8213.TW-OperatingProfitRatio,NetProfitMargin,TFXRatio,MonthlyNetSalesYoY,ReturnOnAssets,DividendYear,ProfitFourSeason,CashDividendYieldRate,StockNetValue,ExchangeIndustry'</f>
        <v>8.60</v>
      </c>
      <c r="L76" t="str">
        <v>6.58</v>
      </c>
      <c r="M76" t="str">
        <v>1.07</v>
      </c>
      <c r="N76" t="str">
        <v>17.35</v>
      </c>
      <c r="O76" t="str">
        <v>4.43</v>
      </c>
      <c r="P76">
        <v>3.5</v>
      </c>
      <c r="Q76" t="str">
        <v>6.09</v>
      </c>
      <c r="R76">
        <v>7.25</v>
      </c>
      <c r="S76" t="str">
        <v>48.41</v>
      </c>
      <c r="T76" t="str">
        <v>上市電子零組件</v>
      </c>
      <c r="U76">
        <f t="array" ref="U76:Z76">[1]!'8213.TW-PreTotalVolume,ChipsField25,ChipsField27,DateofMeetingofShareHolders,CompanyPos,TradingDate'</f>
        <v>1436</v>
      </c>
      <c r="V76" t="str">
        <v>2021/06/29</v>
      </c>
      <c r="W76" t="str">
        <v>--</v>
      </c>
      <c r="X76" t="str">
        <v>2021/07/01</v>
      </c>
      <c r="Y76" t="str">
        <v>全球最大光電板廠商</v>
      </c>
      <c r="Z76" t="str">
        <v>2022/01/03</v>
      </c>
    </row>
    <row r="77" spans="1:26" x14ac:dyDescent="0.3">
      <c r="A77" t="str">
        <f t="array" ref="A77:J77">[1]!'4128.TW-ID,Name,Price,PriceChangeRatio,Low,High,Volume,InOutRatioNumber,Capital,ProfitMargin'</f>
        <v>4128</v>
      </c>
      <c r="B77" t="str">
        <v>中天</v>
      </c>
      <c r="C77">
        <v>66.7</v>
      </c>
      <c r="D77">
        <v>-3.75</v>
      </c>
      <c r="E77">
        <v>66</v>
      </c>
      <c r="F77">
        <v>69</v>
      </c>
      <c r="G77">
        <v>136</v>
      </c>
      <c r="H77" t="str">
        <v>30.66%</v>
      </c>
      <c r="I77" t="str">
        <v>46.63</v>
      </c>
      <c r="J77" t="str">
        <v>40.11</v>
      </c>
      <c r="K77" t="str">
        <f t="array" ref="K77:T77">[1]!'4128.TW-OperatingProfitRatio,NetProfitMargin,TFXRatio,MonthlyNetSalesYoY,ReturnOnAssets,DividendYear,ProfitFourSeason,CashDividendYieldRate,StockNetValue,ExchangeIndustry'</f>
        <v>-44.61</v>
      </c>
      <c r="L77" t="str">
        <v>-37.29</v>
      </c>
      <c r="M77" t="str">
        <v>2.84</v>
      </c>
      <c r="N77" t="str">
        <v>7.79</v>
      </c>
      <c r="O77" t="str">
        <v>-3.60</v>
      </c>
      <c r="P77">
        <v>0.98</v>
      </c>
      <c r="Q77" t="str">
        <v>-5.09</v>
      </c>
      <c r="R77">
        <v>1.47</v>
      </c>
      <c r="S77" t="str">
        <v>25.18</v>
      </c>
      <c r="T77" t="str">
        <v>上櫃生技醫療</v>
      </c>
      <c r="U77">
        <f t="array" ref="U77:Z77">[1]!'4128.TW-PreTotalVolume,ChipsField25,ChipsField27,DateofMeetingofShareHolders,CompanyPos,TradingDate'</f>
        <v>2114</v>
      </c>
      <c r="V77" t="str">
        <v>--</v>
      </c>
      <c r="W77" t="str">
        <v>2021/09/28</v>
      </c>
      <c r="X77" t="str">
        <v>2021/08/20</v>
      </c>
      <c r="Y77" t="str">
        <v>台灣首家符合GMP之發酵中藥廠，並經營棉花田有機食品通路</v>
      </c>
      <c r="Z77" t="str">
        <v>2022/01/03</v>
      </c>
    </row>
    <row r="78" spans="1:26" x14ac:dyDescent="0.3">
      <c r="A78" t="str">
        <f t="array" ref="A78:J78">[1]!'6158.TW-ID,Name,Price,PriceChangeRatio,Low,High,Volume,InOutRatioNumber,Capital,ProfitMargin'</f>
        <v>6158</v>
      </c>
      <c r="B78" t="str">
        <v>禾昌</v>
      </c>
      <c r="C78">
        <v>54.4</v>
      </c>
      <c r="D78">
        <v>0.93</v>
      </c>
      <c r="E78">
        <v>52</v>
      </c>
      <c r="F78">
        <v>55</v>
      </c>
      <c r="G78">
        <v>115</v>
      </c>
      <c r="H78" t="str">
        <v>51.03%</v>
      </c>
      <c r="I78" t="str">
        <v>5.50</v>
      </c>
      <c r="J78" t="str">
        <v>30.03</v>
      </c>
      <c r="K78" t="str">
        <f t="array" ref="K78:T78">[1]!'6158.TW-OperatingProfitRatio,NetProfitMargin,TFXRatio,MonthlyNetSalesYoY,ReturnOnAssets,DividendYear,ProfitFourSeason,CashDividendYieldRate,StockNetValue,ExchangeIndustry'</f>
        <v>9.03</v>
      </c>
      <c r="L78" t="str">
        <v>8.99</v>
      </c>
      <c r="M78" t="str">
        <v>12.86</v>
      </c>
      <c r="N78" t="str">
        <v>-5.47</v>
      </c>
      <c r="O78" t="str">
        <v>6.69</v>
      </c>
      <c r="P78">
        <v>0.5</v>
      </c>
      <c r="Q78" t="str">
        <v>3.43</v>
      </c>
      <c r="R78">
        <v>0.92</v>
      </c>
      <c r="S78" t="str">
        <v>18.48</v>
      </c>
      <c r="T78" t="str">
        <v>上櫃電子零組件</v>
      </c>
      <c r="U78">
        <f t="array" ref="U78:Z78">[1]!'6158.TW-PreTotalVolume,ChipsField25,ChipsField27,DateofMeetingofShareHolders,CompanyPos,TradingDate'</f>
        <v>2940</v>
      </c>
      <c r="V78" t="str">
        <v>2021/09/09</v>
      </c>
      <c r="W78" t="str">
        <v>--</v>
      </c>
      <c r="X78" t="str">
        <v>2021/08/20</v>
      </c>
      <c r="Y78" t="str">
        <v>3C、PC、NB用連接器、連接線材生產廠</v>
      </c>
      <c r="Z78" t="str">
        <v>2022/01/03</v>
      </c>
    </row>
    <row r="79" spans="1:26" x14ac:dyDescent="0.3">
      <c r="A79" t="str">
        <f t="array" ref="A79:J79">[1]!'3031.TW-ID,Name,Price,PriceChangeRatio,Low,High,Volume,InOutRatioNumber,Capital,ProfitMargin'</f>
        <v>3031</v>
      </c>
      <c r="B79" t="str">
        <v>佰鴻</v>
      </c>
      <c r="C79">
        <v>25.55</v>
      </c>
      <c r="D79">
        <v>-1.1599999999999999</v>
      </c>
      <c r="E79">
        <v>25.5</v>
      </c>
      <c r="F79">
        <v>26.3</v>
      </c>
      <c r="G79">
        <v>88</v>
      </c>
      <c r="H79" t="str">
        <v>30.85%</v>
      </c>
      <c r="I79" t="str">
        <v>18.17</v>
      </c>
      <c r="J79" t="str">
        <v>29.76</v>
      </c>
      <c r="K79" t="str">
        <f t="array" ref="K79:T79">[1]!'3031.TW-OperatingProfitRatio,NetProfitMargin,TFXRatio,MonthlyNetSalesYoY,ReturnOnAssets,DividendYear,ProfitFourSeason,CashDividendYieldRate,StockNetValue,ExchangeIndustry'</f>
        <v>11.24</v>
      </c>
      <c r="L79" t="str">
        <v>18.77</v>
      </c>
      <c r="M79" t="str">
        <v>13.29</v>
      </c>
      <c r="N79" t="str">
        <v>-4.63</v>
      </c>
      <c r="O79" t="str">
        <v>6.33</v>
      </c>
      <c r="P79">
        <v>0.8</v>
      </c>
      <c r="Q79" t="str">
        <v>1.46</v>
      </c>
      <c r="R79">
        <v>3.13</v>
      </c>
      <c r="S79" t="str">
        <v>15.60</v>
      </c>
      <c r="T79" t="str">
        <v>上市光電</v>
      </c>
      <c r="U79">
        <f t="array" ref="U79:Z79">[1]!'3031.TW-PreTotalVolume,ChipsField25,ChipsField27,DateofMeetingofShareHolders,CompanyPos,TradingDate'</f>
        <v>1797</v>
      </c>
      <c r="V79" t="str">
        <v>2021/07/02</v>
      </c>
      <c r="W79" t="str">
        <v>--</v>
      </c>
      <c r="X79" t="str">
        <v>2021/08/12</v>
      </c>
      <c r="Y79" t="str">
        <v>台灣LED封裝暨紅外線傳輸模組廠商</v>
      </c>
      <c r="Z79" t="str">
        <v>2022/01/03</v>
      </c>
    </row>
    <row r="80" spans="1:26" x14ac:dyDescent="0.3">
      <c r="A80" t="str">
        <f t="array" ref="A80:J80">[1]!'8034.TW-ID,Name,Price,PriceChangeRatio,Low,High,Volume,InOutRatioNumber,Capital,ProfitMargin'</f>
        <v>8034</v>
      </c>
      <c r="B80" t="str">
        <v>榮群</v>
      </c>
      <c r="C80">
        <v>20.8</v>
      </c>
      <c r="D80">
        <v>-1.89</v>
      </c>
      <c r="E80">
        <v>20.5</v>
      </c>
      <c r="F80">
        <v>21.8</v>
      </c>
      <c r="G80">
        <v>168</v>
      </c>
      <c r="H80" t="str">
        <v>31.50%</v>
      </c>
      <c r="I80" t="str">
        <v>6.29</v>
      </c>
      <c r="J80" t="str">
        <v>25.27</v>
      </c>
      <c r="K80" t="str">
        <f t="array" ref="K80:T80">[1]!'8034.TW-OperatingProfitRatio,NetProfitMargin,TFXRatio,MonthlyNetSalesYoY,ReturnOnAssets,DividendYear,ProfitFourSeason,CashDividendYieldRate,StockNetValue,ExchangeIndustry'</f>
        <v>-3.32</v>
      </c>
      <c r="L80" t="str">
        <v>0.67</v>
      </c>
      <c r="M80" t="str">
        <v>1087.88</v>
      </c>
      <c r="N80" t="str">
        <v>229.71</v>
      </c>
      <c r="O80" t="str">
        <v>0.27</v>
      </c>
      <c r="P80">
        <v>0</v>
      </c>
      <c r="Q80" t="str">
        <v>0.16</v>
      </c>
      <c r="R80">
        <v>0</v>
      </c>
      <c r="S80" t="str">
        <v>10.23</v>
      </c>
      <c r="T80" t="str">
        <v>上櫃通信網路</v>
      </c>
      <c r="U80">
        <f t="array" ref="U80:Z80">[1]!'8034.TW-PreTotalVolume,ChipsField25,ChipsField27,DateofMeetingofShareHolders,CompanyPos,TradingDate'</f>
        <v>1203</v>
      </c>
      <c r="V80" t="str">
        <v>--</v>
      </c>
      <c r="W80" t="str">
        <v>--</v>
      </c>
      <c r="X80" t="str">
        <v>2021/08/24</v>
      </c>
      <c r="Y80" t="str">
        <v>台灣網路接取設備製造商</v>
      </c>
      <c r="Z80" t="str">
        <v>2022/01/03</v>
      </c>
    </row>
    <row r="81" spans="1:26" x14ac:dyDescent="0.3">
      <c r="A81" t="str">
        <f t="array" ref="A81:J81">[1]!'1760.TW-ID,Name,Price,PriceChangeRatio,Low,High,Volume,InOutRatioNumber,Capital,ProfitMargin'</f>
        <v>1760</v>
      </c>
      <c r="B81" t="str">
        <v>寶齡富錦</v>
      </c>
      <c r="C81">
        <v>72</v>
      </c>
      <c r="D81">
        <v>-4.26</v>
      </c>
      <c r="E81">
        <v>71.8</v>
      </c>
      <c r="F81">
        <v>73.8</v>
      </c>
      <c r="G81">
        <v>64</v>
      </c>
      <c r="H81" t="str">
        <v>21.28%</v>
      </c>
      <c r="I81" t="str">
        <v>8.57</v>
      </c>
      <c r="J81" t="str">
        <v>49.78</v>
      </c>
      <c r="K81" t="str">
        <f t="array" ref="K81:T81">[1]!'1760.TW-OperatingProfitRatio,NetProfitMargin,TFXRatio,MonthlyNetSalesYoY,ReturnOnAssets,DividendYear,ProfitFourSeason,CashDividendYieldRate,StockNetValue,ExchangeIndustry'</f>
        <v>10.33</v>
      </c>
      <c r="L81" t="str">
        <v>7.62</v>
      </c>
      <c r="M81" t="str">
        <v>82.60</v>
      </c>
      <c r="N81" t="str">
        <v>-1.85</v>
      </c>
      <c r="O81" t="str">
        <v>3.93</v>
      </c>
      <c r="P81">
        <v>0.7</v>
      </c>
      <c r="Q81" t="str">
        <v>1.91</v>
      </c>
      <c r="R81">
        <v>0.97</v>
      </c>
      <c r="S81" t="str">
        <v>22.58</v>
      </c>
      <c r="T81" t="str">
        <v>上市生技醫療</v>
      </c>
      <c r="U81">
        <f t="array" ref="U81:Z81">[1]!'1760.TW-PreTotalVolume,ChipsField25,ChipsField27,DateofMeetingofShareHolders,CompanyPos,TradingDate'</f>
        <v>2488</v>
      </c>
      <c r="V81" t="str">
        <v>2021/06/24</v>
      </c>
      <c r="W81" t="str">
        <v>--</v>
      </c>
      <c r="X81" t="str">
        <v>2021/08/12</v>
      </c>
      <c r="Y81" t="str">
        <v>腎臟病新藥Nephoxil取得美FDA藥證</v>
      </c>
      <c r="Z81" t="str">
        <v>2022/01/03</v>
      </c>
    </row>
    <row r="82" spans="1:26" x14ac:dyDescent="0.3">
      <c r="A82" t="str">
        <f t="array" ref="A82:J82">[1]!'8163.TW-ID,Name,Price,PriceChangeRatio,Low,High,Volume,InOutRatioNumber,Capital,ProfitMargin'</f>
        <v>8163</v>
      </c>
      <c r="B82" t="str">
        <v>達方</v>
      </c>
      <c r="C82">
        <v>49.5</v>
      </c>
      <c r="D82">
        <v>-2.37</v>
      </c>
      <c r="E82">
        <v>49.4</v>
      </c>
      <c r="F82">
        <v>51</v>
      </c>
      <c r="G82">
        <v>179</v>
      </c>
      <c r="H82" t="str">
        <v>25.19%</v>
      </c>
      <c r="I82" t="str">
        <v>28.00</v>
      </c>
      <c r="J82" t="str">
        <v>16.71</v>
      </c>
      <c r="K82" t="str">
        <f t="array" ref="K82:T82">[1]!'8163.TW-OperatingProfitRatio,NetProfitMargin,TFXRatio,MonthlyNetSalesYoY,ReturnOnAssets,DividendYear,ProfitFourSeason,CashDividendYieldRate,StockNetValue,ExchangeIndustry'</f>
        <v>5.20</v>
      </c>
      <c r="L82" t="str">
        <v>4.61</v>
      </c>
      <c r="M82" t="str">
        <v>16.07</v>
      </c>
      <c r="N82" t="str">
        <v>26.67</v>
      </c>
      <c r="O82" t="str">
        <v>3.60</v>
      </c>
      <c r="P82">
        <v>2.5</v>
      </c>
      <c r="Q82" t="str">
        <v>3.89</v>
      </c>
      <c r="R82">
        <v>5.05</v>
      </c>
      <c r="S82" t="str">
        <v>32.87</v>
      </c>
      <c r="T82" t="str">
        <v>上市電腦及週邊設備</v>
      </c>
      <c r="U82">
        <f t="array" ref="U82:Z82">[1]!'8163.TW-PreTotalVolume,ChipsField25,ChipsField27,DateofMeetingofShareHolders,CompanyPos,TradingDate'</f>
        <v>3894</v>
      </c>
      <c r="V82" t="str">
        <v>2021/08/23</v>
      </c>
      <c r="W82" t="str">
        <v>--</v>
      </c>
      <c r="X82" t="str">
        <v>2021/08/24</v>
      </c>
      <c r="Y82" t="str">
        <v>屬明基友達集團，為全球前兩大LCD TV換流器與NB鍵盤廠</v>
      </c>
      <c r="Z82" t="str">
        <v>2022/01/03</v>
      </c>
    </row>
    <row r="83" spans="1:26" x14ac:dyDescent="0.3">
      <c r="A83" t="str">
        <f t="array" ref="A83:J83">[1]!'2405.TW-ID,Name,Price,PriceChangeRatio,Low,High,Volume,InOutRatioNumber,Capital,ProfitMargin'</f>
        <v>2405</v>
      </c>
      <c r="B83" t="str">
        <v>浩鑫</v>
      </c>
      <c r="C83">
        <v>18.850000000000001</v>
      </c>
      <c r="D83">
        <v>-7.14</v>
      </c>
      <c r="E83">
        <v>18.350000000000001</v>
      </c>
      <c r="F83">
        <v>19.8</v>
      </c>
      <c r="G83">
        <v>427</v>
      </c>
      <c r="H83" t="str">
        <v>28.90%</v>
      </c>
      <c r="I83" t="str">
        <v>34.34</v>
      </c>
      <c r="J83" t="str">
        <v>39.88</v>
      </c>
      <c r="K83" t="str">
        <f t="array" ref="K83:T83">[1]!'2405.TW-OperatingProfitRatio,NetProfitMargin,TFXRatio,MonthlyNetSalesYoY,ReturnOnAssets,DividendYear,ProfitFourSeason,CashDividendYieldRate,StockNetValue,ExchangeIndustry'</f>
        <v>3.93</v>
      </c>
      <c r="L83" t="str">
        <v>1.68</v>
      </c>
      <c r="M83" t="str">
        <v>-2.87</v>
      </c>
      <c r="N83" t="str">
        <v>42.27</v>
      </c>
      <c r="O83" t="str">
        <v>0.60</v>
      </c>
      <c r="P83">
        <v>0</v>
      </c>
      <c r="Q83" t="str">
        <v>0.29</v>
      </c>
      <c r="R83">
        <v>0</v>
      </c>
      <c r="S83" t="str">
        <v>9.87</v>
      </c>
      <c r="T83" t="str">
        <v>上市電腦及週邊設備</v>
      </c>
      <c r="U83">
        <f t="array" ref="U83:Z83">[1]!'2405.TW-PreTotalVolume,ChipsField25,ChipsField27,DateofMeetingofShareHolders,CompanyPos,TradingDate'</f>
        <v>29845</v>
      </c>
      <c r="V83" t="str">
        <v>--</v>
      </c>
      <c r="W83" t="str">
        <v>--</v>
      </c>
      <c r="X83" t="str">
        <v>2021/07/05</v>
      </c>
      <c r="Y83" t="str">
        <v>白牌NB代工廠</v>
      </c>
      <c r="Z83" t="str">
        <v>2022/01/03</v>
      </c>
    </row>
    <row r="84" spans="1:26" x14ac:dyDescent="0.3">
      <c r="A84" t="str">
        <f t="array" ref="A84:J84">[1]!'2316.TW-ID,Name,Price,PriceChangeRatio,Low,High,Volume,InOutRatioNumber,Capital,ProfitMargin'</f>
        <v>2316</v>
      </c>
      <c r="B84" t="str">
        <v>楠梓電</v>
      </c>
      <c r="C84">
        <v>35.200000000000003</v>
      </c>
      <c r="D84">
        <v>-4.8600000000000003</v>
      </c>
      <c r="E84">
        <v>35</v>
      </c>
      <c r="F84">
        <v>36.65</v>
      </c>
      <c r="G84">
        <v>291</v>
      </c>
      <c r="H84" t="str">
        <v>26.93%</v>
      </c>
      <c r="I84" t="str">
        <v>18.27</v>
      </c>
      <c r="J84" t="str">
        <v>8.75</v>
      </c>
      <c r="K84" t="str">
        <f t="array" ref="K84:T84">[1]!'2316.TW-OperatingProfitRatio,NetProfitMargin,TFXRatio,MonthlyNetSalesYoY,ReturnOnAssets,DividendYear,ProfitFourSeason,CashDividendYieldRate,StockNetValue,ExchangeIndustry'</f>
        <v>0.55</v>
      </c>
      <c r="L84" t="str">
        <v>9.93</v>
      </c>
      <c r="M84" t="str">
        <v>15.67</v>
      </c>
      <c r="N84" t="str">
        <v>21.50</v>
      </c>
      <c r="O84" t="str">
        <v>3.16</v>
      </c>
      <c r="P84">
        <v>1.5</v>
      </c>
      <c r="Q84" t="str">
        <v>2.66</v>
      </c>
      <c r="R84">
        <v>4.26</v>
      </c>
      <c r="S84" t="str">
        <v>41.24</v>
      </c>
      <c r="T84" t="str">
        <v>上市電子零組件</v>
      </c>
      <c r="U84">
        <f t="array" ref="U84:Z84">[1]!'2316.TW-PreTotalVolume,ChipsField25,ChipsField27,DateofMeetingofShareHolders,CompanyPos,TradingDate'</f>
        <v>7780</v>
      </c>
      <c r="V84" t="str">
        <v>2021/08/30</v>
      </c>
      <c r="W84" t="str">
        <v>--</v>
      </c>
      <c r="X84" t="str">
        <v>2021/07/20</v>
      </c>
      <c r="Y84" t="str">
        <v>國內PCB廠商，並轉投資於深交所掛牌之滬電股份</v>
      </c>
      <c r="Z84" t="str">
        <v>2022/01/03</v>
      </c>
    </row>
    <row r="85" spans="1:26" x14ac:dyDescent="0.3">
      <c r="A85" t="str">
        <f t="array" ref="A85:J85">[1]!'4133.TW-ID,Name,Price,PriceChangeRatio,Low,High,Volume,InOutRatioNumber,Capital,ProfitMargin'</f>
        <v>4133</v>
      </c>
      <c r="B85" t="str">
        <v>亞諾法</v>
      </c>
      <c r="C85">
        <v>43.3</v>
      </c>
      <c r="D85">
        <v>-0.56999999999999995</v>
      </c>
      <c r="E85">
        <v>43</v>
      </c>
      <c r="F85">
        <v>45.05</v>
      </c>
      <c r="G85">
        <v>93</v>
      </c>
      <c r="H85" t="str">
        <v>33.80%</v>
      </c>
      <c r="I85" t="str">
        <v>6.06</v>
      </c>
      <c r="J85" t="str">
        <v>44.80</v>
      </c>
      <c r="K85" t="str">
        <f t="array" ref="K85:T85">[1]!'4133.TW-OperatingProfitRatio,NetProfitMargin,TFXRatio,MonthlyNetSalesYoY,ReturnOnAssets,DividendYear,ProfitFourSeason,CashDividendYieldRate,StockNetValue,ExchangeIndustry'</f>
        <v>11.93</v>
      </c>
      <c r="L85" t="str">
        <v>8.40</v>
      </c>
      <c r="M85" t="str">
        <v>22.34</v>
      </c>
      <c r="N85" t="str">
        <v>-2.38</v>
      </c>
      <c r="O85" t="str">
        <v>2.34</v>
      </c>
      <c r="P85">
        <v>0.6</v>
      </c>
      <c r="Q85" t="str">
        <v>0.65</v>
      </c>
      <c r="R85">
        <v>1.39</v>
      </c>
      <c r="S85" t="str">
        <v>19.78</v>
      </c>
      <c r="T85" t="str">
        <v>上市生技醫療</v>
      </c>
      <c r="U85">
        <f t="array" ref="U85:Z85">[1]!'4133.TW-PreTotalVolume,ChipsField25,ChipsField27,DateofMeetingofShareHolders,CompanyPos,TradingDate'</f>
        <v>2342</v>
      </c>
      <c r="V85" t="str">
        <v>2021/07/22</v>
      </c>
      <c r="W85" t="str">
        <v>--</v>
      </c>
      <c r="X85" t="str">
        <v>2021/07/07</v>
      </c>
      <c r="Y85" t="str">
        <v>全球最大的抗體及重組蛋白生產商</v>
      </c>
      <c r="Z85" t="str">
        <v>2022/01/03</v>
      </c>
    </row>
    <row r="86" spans="1:26" x14ac:dyDescent="0.3">
      <c r="A86" t="str">
        <f t="array" ref="A86:J86">[1]!'6270.TW-ID,Name,Price,PriceChangeRatio,Low,High,Volume,InOutRatioNumber,Capital,ProfitMargin'</f>
        <v>6270</v>
      </c>
      <c r="B86" t="str">
        <v>倍微</v>
      </c>
      <c r="C86">
        <v>24.95</v>
      </c>
      <c r="D86">
        <v>-1.19</v>
      </c>
      <c r="E86">
        <v>24.5</v>
      </c>
      <c r="F86">
        <v>25.3</v>
      </c>
      <c r="G86">
        <v>30</v>
      </c>
      <c r="H86" t="str">
        <v>15.46%</v>
      </c>
      <c r="I86" t="str">
        <v>7.21</v>
      </c>
      <c r="J86" t="str">
        <v>9.62</v>
      </c>
      <c r="K86" t="str">
        <f t="array" ref="K86:T86">[1]!'6270.TW-OperatingProfitRatio,NetProfitMargin,TFXRatio,MonthlyNetSalesYoY,ReturnOnAssets,DividendYear,ProfitFourSeason,CashDividendYieldRate,StockNetValue,ExchangeIndustry'</f>
        <v>4.20</v>
      </c>
      <c r="L86" t="str">
        <v>4.52</v>
      </c>
      <c r="M86" t="str">
        <v>-7.54</v>
      </c>
      <c r="N86" t="str">
        <v>-0.65</v>
      </c>
      <c r="O86" t="str">
        <v>6.66</v>
      </c>
      <c r="P86">
        <v>1.2</v>
      </c>
      <c r="Q86" t="str">
        <v>2.16</v>
      </c>
      <c r="R86">
        <v>4.8099999999999996</v>
      </c>
      <c r="S86" t="str">
        <v>19.18</v>
      </c>
      <c r="T86" t="str">
        <v>上櫃電子通路</v>
      </c>
      <c r="U86">
        <f t="array" ref="U86:Z86">[1]!'6270.TW-PreTotalVolume,ChipsField25,ChipsField27,DateofMeetingofShareHolders,CompanyPos,TradingDate'</f>
        <v>2731</v>
      </c>
      <c r="V86" t="str">
        <v>2021/08/12</v>
      </c>
      <c r="W86" t="str">
        <v>--</v>
      </c>
      <c r="X86" t="str">
        <v>2021/07/23</v>
      </c>
      <c r="Y86" t="str">
        <v>台灣最大編碼型快閃記憶體(Nor Flash)通路商</v>
      </c>
      <c r="Z86" t="str">
        <v>2022/01/03</v>
      </c>
    </row>
    <row r="87" spans="1:26" x14ac:dyDescent="0.3">
      <c r="A87" t="str">
        <f t="array" ref="A87:J87">[1]!'1612.TW-ID,Name,Price,PriceChangeRatio,Low,High,Volume,InOutRatioNumber,Capital,ProfitMargin'</f>
        <v>1612</v>
      </c>
      <c r="B87" t="str">
        <v>宏泰</v>
      </c>
      <c r="C87">
        <v>26.7</v>
      </c>
      <c r="D87">
        <v>-0.74</v>
      </c>
      <c r="E87">
        <v>26.65</v>
      </c>
      <c r="F87">
        <v>27.15</v>
      </c>
      <c r="G87">
        <v>20</v>
      </c>
      <c r="H87" t="str">
        <v>26.94%</v>
      </c>
      <c r="I87" t="str">
        <v>31.61</v>
      </c>
      <c r="J87" t="str">
        <v>13.18</v>
      </c>
      <c r="K87" t="str">
        <f t="array" ref="K87:T87">[1]!'1612.TW-OperatingProfitRatio,NetProfitMargin,TFXRatio,MonthlyNetSalesYoY,ReturnOnAssets,DividendYear,ProfitFourSeason,CashDividendYieldRate,StockNetValue,ExchangeIndustry'</f>
        <v>9.16</v>
      </c>
      <c r="L87" t="str">
        <v>9.88</v>
      </c>
      <c r="M87" t="str">
        <v>35.81</v>
      </c>
      <c r="N87" t="str">
        <v>52.81</v>
      </c>
      <c r="O87" t="str">
        <v>7.32</v>
      </c>
      <c r="P87">
        <v>1.2</v>
      </c>
      <c r="Q87" t="str">
        <v>2.00</v>
      </c>
      <c r="R87">
        <v>4.49</v>
      </c>
      <c r="S87" t="str">
        <v>17.28</v>
      </c>
      <c r="T87" t="str">
        <v>上市電器電纜</v>
      </c>
      <c r="U87">
        <f t="array" ref="U87:Z87">[1]!'1612.TW-PreTotalVolume,ChipsField25,ChipsField27,DateofMeetingofShareHolders,CompanyPos,TradingDate'</f>
        <v>1152</v>
      </c>
      <c r="V87" t="str">
        <v>2021/07/06</v>
      </c>
      <c r="W87" t="str">
        <v>--</v>
      </c>
      <c r="X87" t="str">
        <v>2021/08/25</v>
      </c>
      <c r="Y87" t="str">
        <v>橫跨銅箔基板及電力電纜業者</v>
      </c>
      <c r="Z87" t="str">
        <v>2022/01/03</v>
      </c>
    </row>
    <row r="88" spans="1:26" x14ac:dyDescent="0.3">
      <c r="A88" t="str">
        <f t="array" ref="A88:J88">[1]!'1723.TW-ID,Name,Price,PriceChangeRatio,Low,High,Volume,InOutRatioNumber,Capital,ProfitMargin'</f>
        <v>1723</v>
      </c>
      <c r="B88" t="str">
        <v>中碳</v>
      </c>
      <c r="C88">
        <v>119</v>
      </c>
      <c r="D88">
        <v>-1.24</v>
      </c>
      <c r="E88">
        <v>118.5</v>
      </c>
      <c r="F88">
        <v>123</v>
      </c>
      <c r="G88">
        <v>40</v>
      </c>
      <c r="H88" t="str">
        <v>36.83%</v>
      </c>
      <c r="I88" t="str">
        <v>23.69</v>
      </c>
      <c r="J88" t="str">
        <v>21.08</v>
      </c>
      <c r="K88" t="str">
        <f t="array" ref="K88:T88">[1]!'1723.TW-OperatingProfitRatio,NetProfitMargin,TFXRatio,MonthlyNetSalesYoY,ReturnOnAssets,DividendYear,ProfitFourSeason,CashDividendYieldRate,StockNetValue,ExchangeIndustry'</f>
        <v>15.86</v>
      </c>
      <c r="L88" t="str">
        <v>14.40</v>
      </c>
      <c r="M88" t="str">
        <v>8.55</v>
      </c>
      <c r="N88" t="str">
        <v>43.41</v>
      </c>
      <c r="O88" t="str">
        <v>7.44</v>
      </c>
      <c r="P88">
        <v>2.8</v>
      </c>
      <c r="Q88" t="str">
        <v>4.58</v>
      </c>
      <c r="R88">
        <v>2.35</v>
      </c>
      <c r="S88" t="str">
        <v>30.77</v>
      </c>
      <c r="T88" t="str">
        <v>上市化工</v>
      </c>
      <c r="U88">
        <f t="array" ref="U88:Z88">[1]!'1723.TW-PreTotalVolume,ChipsField25,ChipsField27,DateofMeetingofShareHolders,CompanyPos,TradingDate'</f>
        <v>3425</v>
      </c>
      <c r="V88" t="str">
        <v>2021/08/19</v>
      </c>
      <c r="W88" t="str">
        <v>--</v>
      </c>
      <c r="X88" t="str">
        <v>2021/07/20</v>
      </c>
      <c r="Y88" t="str">
        <v>中鋼集團旗下，台灣唯一煤化工製造商</v>
      </c>
      <c r="Z88" t="str">
        <v>2022/01/03</v>
      </c>
    </row>
    <row r="89" spans="1:26" x14ac:dyDescent="0.3">
      <c r="A89" t="str">
        <f t="array" ref="A89:J89">[1]!'6226.TW-ID,Name,Price,PriceChangeRatio,Low,High,Volume,InOutRatioNumber,Capital,ProfitMargin'</f>
        <v>6226</v>
      </c>
      <c r="B89" t="str">
        <v>光鼎</v>
      </c>
      <c r="C89">
        <v>16.2</v>
      </c>
      <c r="D89">
        <v>-1.82</v>
      </c>
      <c r="E89">
        <v>16.2</v>
      </c>
      <c r="F89">
        <v>16.7</v>
      </c>
      <c r="G89">
        <v>203</v>
      </c>
      <c r="H89" t="str">
        <v>23.31%</v>
      </c>
      <c r="I89" t="str">
        <v>11.61</v>
      </c>
      <c r="J89" t="str">
        <v>32.81</v>
      </c>
      <c r="K89" t="str">
        <f t="array" ref="K89:T89">[1]!'6226.TW-OperatingProfitRatio,NetProfitMargin,TFXRatio,MonthlyNetSalesYoY,ReturnOnAssets,DividendYear,ProfitFourSeason,CashDividendYieldRate,StockNetValue,ExchangeIndustry'</f>
        <v>3.15</v>
      </c>
      <c r="L89" t="str">
        <v>2.83</v>
      </c>
      <c r="M89" t="str">
        <v>7.55</v>
      </c>
      <c r="N89" t="str">
        <v>9.01</v>
      </c>
      <c r="O89" t="str">
        <v>1.09</v>
      </c>
      <c r="P89">
        <v>0</v>
      </c>
      <c r="Q89" t="str">
        <v>0.12</v>
      </c>
      <c r="R89">
        <v>0</v>
      </c>
      <c r="S89" t="str">
        <v>10.38</v>
      </c>
      <c r="T89" t="str">
        <v>上市光電</v>
      </c>
      <c r="U89">
        <f t="array" ref="U89:Z89">[1]!'6226.TW-PreTotalVolume,ChipsField25,ChipsField27,DateofMeetingofShareHolders,CompanyPos,TradingDate'</f>
        <v>5882</v>
      </c>
      <c r="V89" t="str">
        <v>--</v>
      </c>
      <c r="W89" t="str">
        <v>--</v>
      </c>
      <c r="X89" t="str">
        <v>2021/07/16</v>
      </c>
      <c r="Y89" t="str">
        <v>專注於LED照明市場之封裝業者</v>
      </c>
      <c r="Z89" t="str">
        <v>2022/01/03</v>
      </c>
    </row>
    <row r="90" spans="1:26" x14ac:dyDescent="0.3">
      <c r="A90" t="str">
        <f t="array" ref="A90:J90">[1]!'2312.TW-ID,Name,Price,PriceChangeRatio,Low,High,Volume,InOutRatioNumber,Capital,ProfitMargin'</f>
        <v>2312</v>
      </c>
      <c r="B90" t="str">
        <v>金寶</v>
      </c>
      <c r="C90">
        <v>15.75</v>
      </c>
      <c r="D90">
        <v>-2.48</v>
      </c>
      <c r="E90">
        <v>15.75</v>
      </c>
      <c r="F90">
        <v>16.350000000000001</v>
      </c>
      <c r="G90">
        <v>1406</v>
      </c>
      <c r="H90" t="str">
        <v>29.58%</v>
      </c>
      <c r="I90" t="str">
        <v>147.15</v>
      </c>
      <c r="J90" t="str">
        <v>7.02</v>
      </c>
      <c r="K90" t="str">
        <f t="array" ref="K90:T90">[1]!'2312.TW-OperatingProfitRatio,NetProfitMargin,TFXRatio,MonthlyNetSalesYoY,ReturnOnAssets,DividendYear,ProfitFourSeason,CashDividendYieldRate,StockNetValue,ExchangeIndustry'</f>
        <v>1.34</v>
      </c>
      <c r="L90" t="str">
        <v>0.57</v>
      </c>
      <c r="M90" t="str">
        <v>1.94</v>
      </c>
      <c r="N90" t="str">
        <v>3.89</v>
      </c>
      <c r="O90" t="str">
        <v>1.07</v>
      </c>
      <c r="P90">
        <v>0.28999999999999998</v>
      </c>
      <c r="Q90" t="str">
        <v>-0.09</v>
      </c>
      <c r="R90">
        <v>1.84</v>
      </c>
      <c r="S90" t="str">
        <v>11.13</v>
      </c>
      <c r="T90" t="str">
        <v>上市其他電子</v>
      </c>
      <c r="U90">
        <f t="array" ref="U90:Z90">[1]!'2312.TW-PreTotalVolume,ChipsField25,ChipsField27,DateofMeetingofShareHolders,CompanyPos,TradingDate'</f>
        <v>22990</v>
      </c>
      <c r="V90" t="str">
        <v>2021/06/22</v>
      </c>
      <c r="W90" t="str">
        <v>--</v>
      </c>
      <c r="X90" t="str">
        <v>2021/08/20</v>
      </c>
      <c r="Y90" t="str">
        <v>金仁寶集團旗下消費性電子代工廠</v>
      </c>
      <c r="Z90" t="str">
        <v>2022/01/03</v>
      </c>
    </row>
    <row r="91" spans="1:26" x14ac:dyDescent="0.3">
      <c r="A91" t="str">
        <f t="array" ref="A91:J91">[1]!'2022.TW-ID,Name,Price,PriceChangeRatio,Low,High,Volume,InOutRatioNumber,Capital,ProfitMargin'</f>
        <v>2022</v>
      </c>
      <c r="B91" t="str">
        <v>聚亨</v>
      </c>
      <c r="C91">
        <v>14</v>
      </c>
      <c r="D91">
        <v>-2.78</v>
      </c>
      <c r="E91">
        <v>14</v>
      </c>
      <c r="F91">
        <v>14.45</v>
      </c>
      <c r="G91">
        <v>114</v>
      </c>
      <c r="H91" t="str">
        <v>26.01%</v>
      </c>
      <c r="I91" t="str">
        <v>47.98</v>
      </c>
      <c r="J91" t="str">
        <v>14.26</v>
      </c>
      <c r="K91" t="str">
        <f t="array" ref="K91:T91">[1]!'2022.TW-OperatingProfitRatio,NetProfitMargin,TFXRatio,MonthlyNetSalesYoY,ReturnOnAssets,DividendYear,ProfitFourSeason,CashDividendYieldRate,StockNetValue,ExchangeIndustry'</f>
        <v>10.06</v>
      </c>
      <c r="L91" t="str">
        <v>7.25</v>
      </c>
      <c r="M91" t="str">
        <v>-18.98</v>
      </c>
      <c r="N91" t="str">
        <v>9.86</v>
      </c>
      <c r="O91" t="str">
        <v>7.67</v>
      </c>
      <c r="P91">
        <v>0</v>
      </c>
      <c r="Q91" t="str">
        <v>0.83</v>
      </c>
      <c r="R91">
        <v>0</v>
      </c>
      <c r="S91" t="str">
        <v>7.67</v>
      </c>
      <c r="T91" t="str">
        <v>上市鋼鐵</v>
      </c>
      <c r="U91">
        <f t="array" ref="U91:Z91">[1]!'2022.TW-PreTotalVolume,ChipsField25,ChipsField27,DateofMeetingofShareHolders,CompanyPos,TradingDate'</f>
        <v>1738</v>
      </c>
      <c r="V91" t="str">
        <v>--</v>
      </c>
      <c r="W91" t="str">
        <v>--</v>
      </c>
      <c r="X91" t="str">
        <v>2021/07/02</v>
      </c>
      <c r="Y91" t="str">
        <v>以泰國為生產基地的線材盤元大廠</v>
      </c>
      <c r="Z91" t="str">
        <v>2022/01/03</v>
      </c>
    </row>
    <row r="92" spans="1:26" x14ac:dyDescent="0.3">
      <c r="A92" t="str">
        <f t="array" ref="A92:J92">[1]!'3169.TW-ID,Name,Price,PriceChangeRatio,Low,High,Volume,InOutRatioNumber,Capital,ProfitMargin'</f>
        <v>3169</v>
      </c>
      <c r="B92" t="str">
        <v>亞信</v>
      </c>
      <c r="C92">
        <v>269.5</v>
      </c>
      <c r="D92">
        <v>-2.71</v>
      </c>
      <c r="E92">
        <v>269</v>
      </c>
      <c r="F92">
        <v>279.5</v>
      </c>
      <c r="G92">
        <v>310</v>
      </c>
      <c r="H92" t="str">
        <v>30.96%</v>
      </c>
      <c r="I92" t="str">
        <v>6.22</v>
      </c>
      <c r="J92" t="str">
        <v>56.50</v>
      </c>
      <c r="K92" t="str">
        <f t="array" ref="K92:T92">[1]!'3169.TW-OperatingProfitRatio,NetProfitMargin,TFXRatio,MonthlyNetSalesYoY,ReturnOnAssets,DividendYear,ProfitFourSeason,CashDividendYieldRate,StockNetValue,ExchangeIndustry'</f>
        <v>32.90</v>
      </c>
      <c r="L92" t="str">
        <v>29.09</v>
      </c>
      <c r="M92" t="str">
        <v>0.15</v>
      </c>
      <c r="N92" t="str">
        <v>100.45</v>
      </c>
      <c r="O92" t="str">
        <v>17.94</v>
      </c>
      <c r="P92">
        <v>2.5</v>
      </c>
      <c r="Q92" t="str">
        <v>5.50</v>
      </c>
      <c r="R92">
        <v>0.93</v>
      </c>
      <c r="S92" t="str">
        <v>24.58</v>
      </c>
      <c r="T92" t="str">
        <v>上櫃半導體</v>
      </c>
      <c r="U92">
        <f t="array" ref="U92:Z92">[1]!'3169.TW-PreTotalVolume,ChipsField25,ChipsField27,DateofMeetingofShareHolders,CompanyPos,TradingDate'</f>
        <v>7508</v>
      </c>
      <c r="V92" t="str">
        <v>2021/08/26</v>
      </c>
      <c r="W92" t="str">
        <v>--</v>
      </c>
      <c r="X92" t="str">
        <v>2021/07/22</v>
      </c>
      <c r="Y92" t="str">
        <v>台灣乙太網路控制晶片廠</v>
      </c>
      <c r="Z92" t="str">
        <v>2022/01/03</v>
      </c>
    </row>
    <row r="93" spans="1:26" x14ac:dyDescent="0.3">
      <c r="A93" t="str">
        <f t="array" ref="A93:J93">[1]!'2880.TW-ID,Name,Price,PriceChangeRatio,Low,High,Volume,InOutRatioNumber,Capital,ProfitMargin'</f>
        <v>2880</v>
      </c>
      <c r="B93" t="str">
        <v>華南金</v>
      </c>
      <c r="C93">
        <v>21.05</v>
      </c>
      <c r="D93">
        <v>-0.71</v>
      </c>
      <c r="E93">
        <v>21</v>
      </c>
      <c r="F93">
        <v>21.3</v>
      </c>
      <c r="G93">
        <v>393</v>
      </c>
      <c r="H93" t="str">
        <v>35.10%</v>
      </c>
      <c r="I93" t="str">
        <v>1319.41</v>
      </c>
      <c r="J93" t="str">
        <v>--</v>
      </c>
      <c r="K93" t="str">
        <f t="array" ref="K93:T93">[1]!'2880.TW-OperatingProfitRatio,NetProfitMargin,TFXRatio,MonthlyNetSalesYoY,ReturnOnAssets,DividendYear,ProfitFourSeason,CashDividendYieldRate,StockNetValue,ExchangeIndustry'</f>
        <v>--</v>
      </c>
      <c r="L93" t="str">
        <v>38.95</v>
      </c>
      <c r="M93" t="str">
        <v>23.15</v>
      </c>
      <c r="N93" t="str">
        <v>16.99</v>
      </c>
      <c r="O93" t="str">
        <v>0.44</v>
      </c>
      <c r="P93">
        <v>0.53</v>
      </c>
      <c r="Q93" t="str">
        <v>1.38</v>
      </c>
      <c r="R93">
        <v>2.52</v>
      </c>
      <c r="S93" t="str">
        <v>14.99</v>
      </c>
      <c r="T93" t="str">
        <v>上市金融保險</v>
      </c>
      <c r="U93">
        <f t="array" ref="U93:Z93">[1]!'2880.TW-PreTotalVolume,ChipsField25,ChipsField27,DateofMeetingofShareHolders,CompanyPos,TradingDate'</f>
        <v>6479</v>
      </c>
      <c r="V93" t="str">
        <v>2021/09/16</v>
      </c>
      <c r="W93" t="str">
        <v>2021/09/16</v>
      </c>
      <c r="X93" t="str">
        <v>2021/07/20</v>
      </c>
      <c r="Y93" t="str">
        <v>以銀行為主體公營金控公司，為台灣銀行界歷史悠久的三商銀之一</v>
      </c>
      <c r="Z93" t="str">
        <v>2022/01/03</v>
      </c>
    </row>
    <row r="94" spans="1:26" x14ac:dyDescent="0.3">
      <c r="A94" t="str">
        <f t="array" ref="A94:J94">[1]!'4979.TW-ID,Name,Price,PriceChangeRatio,Low,High,Volume,InOutRatioNumber,Capital,ProfitMargin'</f>
        <v>4979</v>
      </c>
      <c r="B94" t="str">
        <v>華星光</v>
      </c>
      <c r="C94">
        <v>19.850000000000001</v>
      </c>
      <c r="D94">
        <v>-1.24</v>
      </c>
      <c r="E94">
        <v>19.75</v>
      </c>
      <c r="F94">
        <v>20.3</v>
      </c>
      <c r="G94">
        <v>39</v>
      </c>
      <c r="H94" t="str">
        <v>26.49%</v>
      </c>
      <c r="I94" t="str">
        <v>13.25</v>
      </c>
      <c r="J94" t="str">
        <v>-4.10</v>
      </c>
      <c r="K94" t="str">
        <f t="array" ref="K94:T94">[1]!'4979.TW-OperatingProfitRatio,NetProfitMargin,TFXRatio,MonthlyNetSalesYoY,ReturnOnAssets,DividendYear,ProfitFourSeason,CashDividendYieldRate,StockNetValue,ExchangeIndustry'</f>
        <v>-27.52</v>
      </c>
      <c r="L94" t="str">
        <v>-28.61</v>
      </c>
      <c r="M94" t="str">
        <v>28.22</v>
      </c>
      <c r="N94" t="str">
        <v>-0.86</v>
      </c>
      <c r="O94" t="str">
        <v>-8.46</v>
      </c>
      <c r="P94">
        <v>0</v>
      </c>
      <c r="Q94" t="str">
        <v>-2.10</v>
      </c>
      <c r="R94">
        <v>0</v>
      </c>
      <c r="S94" t="str">
        <v>10.83</v>
      </c>
      <c r="T94" t="str">
        <v>上櫃通信網路</v>
      </c>
      <c r="U94">
        <f t="array" ref="U94:Z94">[1]!'4979.TW-PreTotalVolume,ChipsField25,ChipsField27,DateofMeetingofShareHolders,CompanyPos,TradingDate'</f>
        <v>1344</v>
      </c>
      <c r="V94" t="str">
        <v>--</v>
      </c>
      <c r="W94" t="str">
        <v>--</v>
      </c>
      <c r="X94" t="str">
        <v>2021/07/07</v>
      </c>
      <c r="Y94" t="str">
        <v>台灣光收發模組一貫廠</v>
      </c>
      <c r="Z94" t="str">
        <v>2022/01/03</v>
      </c>
    </row>
    <row r="95" spans="1:26" x14ac:dyDescent="0.3">
      <c r="A95" t="str">
        <f t="array" ref="A95:J95">[1]!'5443.TW-ID,Name,Price,PriceChangeRatio,Low,High,Volume,InOutRatioNumber,Capital,ProfitMargin'</f>
        <v>5443</v>
      </c>
      <c r="B95" t="str">
        <v>均豪</v>
      </c>
      <c r="C95">
        <v>34.35</v>
      </c>
      <c r="D95">
        <v>-0.28999999999999998</v>
      </c>
      <c r="E95">
        <v>34.25</v>
      </c>
      <c r="F95">
        <v>35</v>
      </c>
      <c r="G95">
        <v>17</v>
      </c>
      <c r="H95" t="str">
        <v>28.75%</v>
      </c>
      <c r="I95" t="str">
        <v>16.51</v>
      </c>
      <c r="J95" t="str">
        <v>24.35</v>
      </c>
      <c r="K95" t="str">
        <f t="array" ref="K95:T95">[1]!'5443.TW-OperatingProfitRatio,NetProfitMargin,TFXRatio,MonthlyNetSalesYoY,ReturnOnAssets,DividendYear,ProfitFourSeason,CashDividendYieldRate,StockNetValue,ExchangeIndustry'</f>
        <v>8.28</v>
      </c>
      <c r="L95" t="str">
        <v>8.22</v>
      </c>
      <c r="M95" t="str">
        <v>-26.13</v>
      </c>
      <c r="N95" t="str">
        <v>-37.53</v>
      </c>
      <c r="O95" t="str">
        <v>5.03</v>
      </c>
      <c r="P95">
        <v>1</v>
      </c>
      <c r="Q95" t="str">
        <v>2.06</v>
      </c>
      <c r="R95">
        <v>2.91</v>
      </c>
      <c r="S95" t="str">
        <v>14.42</v>
      </c>
      <c r="T95" t="str">
        <v>上櫃光電</v>
      </c>
      <c r="U95">
        <f t="array" ref="U95:Z95">[1]!'5443.TW-PreTotalVolume,ChipsField25,ChipsField27,DateofMeetingofShareHolders,CompanyPos,TradingDate'</f>
        <v>1224</v>
      </c>
      <c r="V95" t="str">
        <v>2021/07/27</v>
      </c>
      <c r="W95" t="str">
        <v>--</v>
      </c>
      <c r="X95" t="str">
        <v>2021/07/05</v>
      </c>
      <c r="Y95" t="str">
        <v>台灣TFT製程及封裝設備供應商</v>
      </c>
      <c r="Z95" t="str">
        <v>2022/01/03</v>
      </c>
    </row>
    <row r="96" spans="1:26" x14ac:dyDescent="0.3">
      <c r="A96" t="str">
        <f t="array" ref="A96:J96">[1]!'6446.TW-ID,Name,Price,PriceChangeRatio,Low,High,Volume,InOutRatioNumber,Capital,ProfitMargin'</f>
        <v>6446</v>
      </c>
      <c r="B96" t="str">
        <v>藥華藥</v>
      </c>
      <c r="C96">
        <v>264</v>
      </c>
      <c r="D96">
        <v>-9.9</v>
      </c>
      <c r="E96">
        <v>264</v>
      </c>
      <c r="F96">
        <v>288</v>
      </c>
      <c r="G96">
        <v>13</v>
      </c>
      <c r="H96" t="str">
        <v>11.95%</v>
      </c>
      <c r="I96" t="str">
        <v>27.71</v>
      </c>
      <c r="J96" t="str">
        <v>22.76</v>
      </c>
      <c r="K96" t="str">
        <f t="array" ref="K96:T96">[1]!'6446.TW-OperatingProfitRatio,NetProfitMargin,TFXRatio,MonthlyNetSalesYoY,ReturnOnAssets,DividendYear,ProfitFourSeason,CashDividendYieldRate,StockNetValue,ExchangeIndustry'</f>
        <v>-676.48</v>
      </c>
      <c r="L96" t="str">
        <v>-695.90</v>
      </c>
      <c r="M96" t="str">
        <v>431.51</v>
      </c>
      <c r="N96" t="str">
        <v>3.02</v>
      </c>
      <c r="O96" t="str">
        <v>-42.58</v>
      </c>
      <c r="P96">
        <v>0</v>
      </c>
      <c r="Q96" t="str">
        <v>-10.79</v>
      </c>
      <c r="R96">
        <v>0</v>
      </c>
      <c r="S96" t="str">
        <v>7.43</v>
      </c>
      <c r="T96" t="str">
        <v>上櫃生技醫療</v>
      </c>
      <c r="U96">
        <f t="array" ref="U96:Z96">[1]!'6446.TW-PreTotalVolume,ChipsField25,ChipsField27,DateofMeetingofShareHolders,CompanyPos,TradingDate'</f>
        <v>1571</v>
      </c>
      <c r="V96" t="str">
        <v>--</v>
      </c>
      <c r="W96" t="str">
        <v>--</v>
      </c>
      <c r="X96" t="str">
        <v>2021/08/05</v>
      </c>
      <c r="Y96" t="str">
        <v>罕見真性紅血球增生症藥物研發廠商</v>
      </c>
      <c r="Z96" t="str">
        <v>2022/01/03</v>
      </c>
    </row>
    <row r="97" spans="1:26" x14ac:dyDescent="0.3">
      <c r="A97" t="str">
        <f t="array" ref="A97:J97">[1]!'5905.TW-ID,Name,Price,PriceChangeRatio,Low,High,Volume,InOutRatioNumber,Capital,ProfitMargin'</f>
        <v>5905</v>
      </c>
      <c r="B97" t="str">
        <v>南仁湖</v>
      </c>
      <c r="C97">
        <v>14.4</v>
      </c>
      <c r="D97">
        <v>-1.71</v>
      </c>
      <c r="E97">
        <v>14.35</v>
      </c>
      <c r="F97">
        <v>14.8</v>
      </c>
      <c r="G97">
        <v>44</v>
      </c>
      <c r="H97" t="str">
        <v>25.81%</v>
      </c>
      <c r="I97" t="str">
        <v>18.98</v>
      </c>
      <c r="J97" t="str">
        <v>63.44</v>
      </c>
      <c r="K97" t="str">
        <f t="array" ref="K97:T97">[1]!'5905.TW-OperatingProfitRatio,NetProfitMargin,TFXRatio,MonthlyNetSalesYoY,ReturnOnAssets,DividendYear,ProfitFourSeason,CashDividendYieldRate,StockNetValue,ExchangeIndustry'</f>
        <v>-41.14</v>
      </c>
      <c r="L97" t="str">
        <v>-25.66</v>
      </c>
      <c r="M97" t="str">
        <v>-4.27</v>
      </c>
      <c r="N97" t="str">
        <v>3.38</v>
      </c>
      <c r="O97" t="str">
        <v>-2.84</v>
      </c>
      <c r="P97">
        <v>0.2</v>
      </c>
      <c r="Q97" t="str">
        <v>-0.60</v>
      </c>
      <c r="R97">
        <v>1.39</v>
      </c>
      <c r="S97" t="str">
        <v>11.79</v>
      </c>
      <c r="T97" t="str">
        <v>上櫃貿易百貨</v>
      </c>
      <c r="U97">
        <f t="array" ref="U97:Z97">[1]!'5905.TW-PreTotalVolume,ChipsField25,ChipsField27,DateofMeetingofShareHolders,CompanyPos,TradingDate'</f>
        <v>1502</v>
      </c>
      <c r="V97" t="str">
        <v>2021/09/10</v>
      </c>
      <c r="W97" t="str">
        <v>--</v>
      </c>
      <c r="X97" t="str">
        <v>2021/08/27</v>
      </c>
      <c r="Y97" t="str">
        <v>高速公路休息站及海生館、小墾丁渡假村之經營業者</v>
      </c>
      <c r="Z97" t="str">
        <v>2022/01/03</v>
      </c>
    </row>
    <row r="98" spans="1:26" x14ac:dyDescent="0.3">
      <c r="A98" t="str">
        <f t="array" ref="A98:J98">[1]!'1316.TW-ID,Name,Price,PriceChangeRatio,Low,High,Volume,InOutRatioNumber,Capital,ProfitMargin'</f>
        <v>1316</v>
      </c>
      <c r="B98" t="str">
        <v>上曜</v>
      </c>
      <c r="C98">
        <v>20.8</v>
      </c>
      <c r="D98">
        <v>-2.35</v>
      </c>
      <c r="E98">
        <v>20.399999999999999</v>
      </c>
      <c r="F98">
        <v>21.3</v>
      </c>
      <c r="G98">
        <v>210</v>
      </c>
      <c r="H98" t="str">
        <v>33.18%</v>
      </c>
      <c r="I98" t="str">
        <v>22.67</v>
      </c>
      <c r="J98" t="str">
        <v>22.22</v>
      </c>
      <c r="K98" t="str">
        <f t="array" ref="K98:T98">[1]!'1316.TW-OperatingProfitRatio,NetProfitMargin,TFXRatio,MonthlyNetSalesYoY,ReturnOnAssets,DividendYear,ProfitFourSeason,CashDividendYieldRate,StockNetValue,ExchangeIndustry'</f>
        <v>-4.49</v>
      </c>
      <c r="L98" t="str">
        <v>6.08</v>
      </c>
      <c r="M98" t="str">
        <v>-21.19</v>
      </c>
      <c r="N98" t="str">
        <v>-49.17</v>
      </c>
      <c r="O98" t="str">
        <v>1.03</v>
      </c>
      <c r="P98">
        <v>0</v>
      </c>
      <c r="Q98" t="str">
        <v>-0.20</v>
      </c>
      <c r="R98">
        <v>0</v>
      </c>
      <c r="S98" t="str">
        <v>10.51</v>
      </c>
      <c r="T98" t="str">
        <v>上市建材營造</v>
      </c>
      <c r="U98">
        <f t="array" ref="U98:Z98">[1]!'1316.TW-PreTotalVolume,ChipsField25,ChipsField27,DateofMeetingofShareHolders,CompanyPos,TradingDate'</f>
        <v>10359</v>
      </c>
      <c r="V98" t="str">
        <v>--</v>
      </c>
      <c r="W98" t="str">
        <v>--</v>
      </c>
      <c r="X98" t="str">
        <v>2021/07/02</v>
      </c>
      <c r="Y98" t="str">
        <v>主要經營PU合成皮樹脂及營建業務</v>
      </c>
      <c r="Z98" t="str">
        <v>2022/01/03</v>
      </c>
    </row>
    <row r="99" spans="1:26" x14ac:dyDescent="0.3">
      <c r="A99" t="str">
        <f t="array" ref="A99:J99">[1]!'5309.TW-ID,Name,Price,PriceChangeRatio,Low,High,Volume,InOutRatioNumber,Capital,ProfitMargin'</f>
        <v>5309</v>
      </c>
      <c r="B99" t="str">
        <v>系統電</v>
      </c>
      <c r="C99">
        <v>39.700000000000003</v>
      </c>
      <c r="D99">
        <v>-0.63</v>
      </c>
      <c r="E99">
        <v>39.5</v>
      </c>
      <c r="F99">
        <v>40.35</v>
      </c>
      <c r="G99">
        <v>124</v>
      </c>
      <c r="H99" t="str">
        <v>28.59%</v>
      </c>
      <c r="I99" t="str">
        <v>15.53</v>
      </c>
      <c r="J99" t="str">
        <v>18.11</v>
      </c>
      <c r="K99" t="str">
        <f t="array" ref="K99:T99">[1]!'5309.TW-OperatingProfitRatio,NetProfitMargin,TFXRatio,MonthlyNetSalesYoY,ReturnOnAssets,DividendYear,ProfitFourSeason,CashDividendYieldRate,StockNetValue,ExchangeIndustry'</f>
        <v>2.36</v>
      </c>
      <c r="L99" t="str">
        <v>2.86</v>
      </c>
      <c r="M99" t="str">
        <v>12.73</v>
      </c>
      <c r="N99" t="str">
        <v>59.40</v>
      </c>
      <c r="O99" t="str">
        <v>2.24</v>
      </c>
      <c r="P99">
        <v>0</v>
      </c>
      <c r="Q99" t="str">
        <v>0.23</v>
      </c>
      <c r="R99">
        <v>0</v>
      </c>
      <c r="S99" t="str">
        <v>7.35</v>
      </c>
      <c r="T99" t="str">
        <v>上櫃電子零組件</v>
      </c>
      <c r="U99">
        <f t="array" ref="U99:Z99">[1]!'5309.TW-PreTotalVolume,ChipsField25,ChipsField27,DateofMeetingofShareHolders,CompanyPos,TradingDate'</f>
        <v>1844</v>
      </c>
      <c r="V99" t="str">
        <v>--</v>
      </c>
      <c r="W99" t="str">
        <v>--</v>
      </c>
      <c r="X99" t="str">
        <v>2021/07/30</v>
      </c>
      <c r="Y99" t="str">
        <v>電腦週邊及車用電子廠</v>
      </c>
      <c r="Z99" t="str">
        <v>2022/01/03</v>
      </c>
    </row>
    <row r="100" spans="1:26" x14ac:dyDescent="0.3">
      <c r="A100" t="str">
        <f t="array" ref="A100:J100">[1]!'3576.TW-ID,Name,Price,PriceChangeRatio,Low,High,Volume,InOutRatioNumber,Capital,ProfitMargin'</f>
        <v>3576</v>
      </c>
      <c r="B100" t="str">
        <v>聯合再生</v>
      </c>
      <c r="C100">
        <v>21.7</v>
      </c>
      <c r="D100">
        <v>-0.69</v>
      </c>
      <c r="E100">
        <v>21.7</v>
      </c>
      <c r="F100">
        <v>22.05</v>
      </c>
      <c r="G100">
        <v>196</v>
      </c>
      <c r="H100" t="str">
        <v>23.75%</v>
      </c>
      <c r="I100" t="str">
        <v>162.79</v>
      </c>
      <c r="J100" t="str">
        <v>4.30</v>
      </c>
      <c r="K100" t="str">
        <f t="array" ref="K100:T100">[1]!'3576.TW-OperatingProfitRatio,NetProfitMargin,TFXRatio,MonthlyNetSalesYoY,ReturnOnAssets,DividendYear,ProfitFourSeason,CashDividendYieldRate,StockNetValue,ExchangeIndustry'</f>
        <v>-6.37</v>
      </c>
      <c r="L100" t="str">
        <v>-8.67</v>
      </c>
      <c r="M100" t="str">
        <v>-3.44</v>
      </c>
      <c r="N100" t="str">
        <v>48.51</v>
      </c>
      <c r="O100" t="str">
        <v>-1.99</v>
      </c>
      <c r="P100">
        <v>0</v>
      </c>
      <c r="Q100" t="str">
        <v>-2.78</v>
      </c>
      <c r="R100">
        <v>0</v>
      </c>
      <c r="S100" t="str">
        <v>8.93</v>
      </c>
      <c r="T100" t="str">
        <v>上市光電</v>
      </c>
      <c r="U100">
        <f t="array" ref="U100:Z100">[1]!'3576.TW-PreTotalVolume,ChipsField25,ChipsField27,DateofMeetingofShareHolders,CompanyPos,TradingDate'</f>
        <v>5430</v>
      </c>
      <c r="V100" t="str">
        <v>--</v>
      </c>
      <c r="W100" t="str">
        <v>--</v>
      </c>
      <c r="X100" t="str">
        <v>2021/05/07</v>
      </c>
      <c r="Y100" t="str">
        <v>台灣太陽能電池模組龍頭</v>
      </c>
      <c r="Z100" t="str">
        <v>2022/01/03</v>
      </c>
    </row>
    <row r="101" spans="1:26" x14ac:dyDescent="0.3">
      <c r="A101" t="str">
        <f t="array" ref="A101:J101">[1]!'8027.TW-ID,Name,Price,PriceChangeRatio,Low,High,Volume,InOutRatioNumber,Capital,ProfitMargin'</f>
        <v>8027</v>
      </c>
      <c r="B101" t="str">
        <v>鈦昇</v>
      </c>
      <c r="C101">
        <v>82.3</v>
      </c>
      <c r="D101">
        <v>-3.18</v>
      </c>
      <c r="E101">
        <v>81.900000000000006</v>
      </c>
      <c r="F101">
        <v>85.9</v>
      </c>
      <c r="G101">
        <v>119</v>
      </c>
      <c r="H101" t="str">
        <v>24.40%</v>
      </c>
      <c r="I101" t="str">
        <v>10.01</v>
      </c>
      <c r="J101" t="str">
        <v>33.95</v>
      </c>
      <c r="K101" t="str">
        <f t="array" ref="K101:T101">[1]!'8027.TW-OperatingProfitRatio,NetProfitMargin,TFXRatio,MonthlyNetSalesYoY,ReturnOnAssets,DividendYear,ProfitFourSeason,CashDividendYieldRate,StockNetValue,ExchangeIndustry'</f>
        <v>13.42</v>
      </c>
      <c r="L101" t="str">
        <v>10.61</v>
      </c>
      <c r="M101" t="str">
        <v>-23.93</v>
      </c>
      <c r="N101" t="str">
        <v>-18.34</v>
      </c>
      <c r="O101" t="str">
        <v>6.98</v>
      </c>
      <c r="P101">
        <v>1.19</v>
      </c>
      <c r="Q101" t="str">
        <v>3.04</v>
      </c>
      <c r="R101">
        <v>1.45</v>
      </c>
      <c r="S101" t="str">
        <v>23.47</v>
      </c>
      <c r="T101" t="str">
        <v>上櫃電機機械</v>
      </c>
      <c r="U101">
        <f t="array" ref="U101:Z101">[1]!'8027.TW-PreTotalVolume,ChipsField25,ChipsField27,DateofMeetingofShareHolders,CompanyPos,TradingDate'</f>
        <v>5850</v>
      </c>
      <c r="V101" t="str">
        <v>2021/04/08</v>
      </c>
      <c r="W101" t="str">
        <v>--</v>
      </c>
      <c r="X101" t="str">
        <v>2021/08/04</v>
      </c>
      <c r="Y101" t="str">
        <v>專業於半導體、主機板、高階基板材料等設備廠商</v>
      </c>
      <c r="Z101" t="str">
        <v>2022/01/03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2022-01-03T05:37:52Z</dcterms:created>
  <dcterms:modified xsi:type="dcterms:W3CDTF">2022-01-03T05:39:38Z</dcterms:modified>
</cp:coreProperties>
</file>