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kaan/Desktop/"/>
    </mc:Choice>
  </mc:AlternateContent>
  <xr:revisionPtr revIDLastSave="0" documentId="13_ncr:1_{D3ABF24F-498F-5344-A074-0EE3548935C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yf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2" l="1"/>
  <c r="G66" i="2"/>
  <c r="F66" i="2"/>
  <c r="I41" i="2"/>
  <c r="N45" i="2"/>
  <c r="C45" i="2"/>
  <c r="D45" i="2"/>
  <c r="E45" i="2"/>
  <c r="F45" i="2"/>
  <c r="G45" i="2"/>
  <c r="H45" i="2"/>
  <c r="I45" i="2"/>
  <c r="J45" i="2"/>
  <c r="K45" i="2"/>
  <c r="L45" i="2"/>
  <c r="M45" i="2"/>
  <c r="B45" i="2"/>
  <c r="N64" i="2"/>
  <c r="B59" i="2" s="1"/>
  <c r="I6" i="2" l="1"/>
  <c r="C18" i="2"/>
  <c r="C19" i="2" s="1"/>
  <c r="C22" i="2" s="1"/>
  <c r="D18" i="2"/>
  <c r="E18" i="2"/>
  <c r="E21" i="2" s="1"/>
  <c r="F18" i="2"/>
  <c r="F20" i="2" s="1"/>
  <c r="F23" i="2" s="1"/>
  <c r="G18" i="2"/>
  <c r="G19" i="2" s="1"/>
  <c r="G22" i="2" s="1"/>
  <c r="H18" i="2"/>
  <c r="H20" i="2" s="1"/>
  <c r="H23" i="2" s="1"/>
  <c r="I18" i="2"/>
  <c r="I20" i="2" s="1"/>
  <c r="I23" i="2" s="1"/>
  <c r="J18" i="2"/>
  <c r="J20" i="2" s="1"/>
  <c r="J23" i="2" s="1"/>
  <c r="K18" i="2"/>
  <c r="K19" i="2" s="1"/>
  <c r="K22" i="2" s="1"/>
  <c r="L18" i="2"/>
  <c r="L20" i="2" s="1"/>
  <c r="L23" i="2" s="1"/>
  <c r="M18" i="2"/>
  <c r="M20" i="2" s="1"/>
  <c r="M23" i="2" s="1"/>
  <c r="B18" i="2"/>
  <c r="B7" i="2"/>
  <c r="M12" i="2" s="1"/>
  <c r="D21" i="2" l="1"/>
  <c r="D20" i="2"/>
  <c r="B19" i="2"/>
  <c r="B22" i="2" s="1"/>
  <c r="B21" i="2"/>
  <c r="M25" i="2"/>
  <c r="E12" i="2"/>
  <c r="C12" i="2"/>
  <c r="D12" i="2"/>
  <c r="F12" i="2"/>
  <c r="M26" i="2"/>
  <c r="M27" i="2"/>
  <c r="L12" i="2"/>
  <c r="J12" i="2"/>
  <c r="I12" i="2"/>
  <c r="L54" i="2"/>
  <c r="L56" i="2" s="1"/>
  <c r="M54" i="2"/>
  <c r="M56" i="2" s="1"/>
  <c r="B54" i="2"/>
  <c r="B56" i="2" s="1"/>
  <c r="C54" i="2"/>
  <c r="C56" i="2" s="1"/>
  <c r="D54" i="2"/>
  <c r="D56" i="2" s="1"/>
  <c r="B33" i="2"/>
  <c r="E54" i="2"/>
  <c r="E56" i="2" s="1"/>
  <c r="H54" i="2"/>
  <c r="H56" i="2" s="1"/>
  <c r="F54" i="2"/>
  <c r="F56" i="2" s="1"/>
  <c r="G54" i="2"/>
  <c r="G56" i="2" s="1"/>
  <c r="I54" i="2"/>
  <c r="I56" i="2" s="1"/>
  <c r="J54" i="2"/>
  <c r="J56" i="2" s="1"/>
  <c r="K54" i="2"/>
  <c r="K56" i="2" s="1"/>
  <c r="B12" i="2"/>
  <c r="K12" i="2"/>
  <c r="H12" i="2"/>
  <c r="G12" i="2"/>
  <c r="N18" i="2"/>
  <c r="J33" i="2"/>
  <c r="K33" i="2"/>
  <c r="L33" i="2"/>
  <c r="D33" i="2"/>
  <c r="M33" i="2"/>
  <c r="E33" i="2"/>
  <c r="H33" i="2"/>
  <c r="C33" i="2"/>
  <c r="I33" i="2"/>
  <c r="F33" i="2"/>
  <c r="G33" i="2"/>
  <c r="E20" i="2"/>
  <c r="E23" i="2" s="1"/>
  <c r="B20" i="2"/>
  <c r="D19" i="2"/>
  <c r="E19" i="2"/>
  <c r="E22" i="2" s="1"/>
  <c r="E32" i="2" s="1"/>
  <c r="F21" i="2"/>
  <c r="K21" i="2"/>
  <c r="H21" i="2"/>
  <c r="G21" i="2"/>
  <c r="K20" i="2"/>
  <c r="K23" i="2" s="1"/>
  <c r="J21" i="2"/>
  <c r="I21" i="2"/>
  <c r="I32" i="2" s="1"/>
  <c r="C20" i="2"/>
  <c r="C23" i="2" s="1"/>
  <c r="D23" i="2"/>
  <c r="C21" i="2"/>
  <c r="M21" i="2"/>
  <c r="L21" i="2"/>
  <c r="L19" i="2"/>
  <c r="L22" i="2" s="1"/>
  <c r="J19" i="2"/>
  <c r="J22" i="2" s="1"/>
  <c r="H19" i="2"/>
  <c r="H22" i="2" s="1"/>
  <c r="F19" i="2"/>
  <c r="F22" i="2" s="1"/>
  <c r="I19" i="2"/>
  <c r="I22" i="2" s="1"/>
  <c r="M19" i="2"/>
  <c r="M22" i="2" s="1"/>
  <c r="G20" i="2"/>
  <c r="G23" i="2" s="1"/>
  <c r="I15" i="2"/>
  <c r="E15" i="2"/>
  <c r="D15" i="2"/>
  <c r="B15" i="2"/>
  <c r="M28" i="2"/>
  <c r="M14" i="2"/>
  <c r="L14" i="2"/>
  <c r="H15" i="2"/>
  <c r="G15" i="2"/>
  <c r="F15" i="2"/>
  <c r="K14" i="2"/>
  <c r="J14" i="2"/>
  <c r="I14" i="2"/>
  <c r="H14" i="2"/>
  <c r="F14" i="2"/>
  <c r="D14" i="2"/>
  <c r="C14" i="2"/>
  <c r="B14" i="2"/>
  <c r="N10" i="2"/>
  <c r="F25" i="2" l="1"/>
  <c r="F26" i="2" s="1"/>
  <c r="G25" i="2"/>
  <c r="C25" i="2"/>
  <c r="C26" i="2" s="1"/>
  <c r="H25" i="2"/>
  <c r="H28" i="2" s="1"/>
  <c r="E25" i="2"/>
  <c r="E27" i="2" s="1"/>
  <c r="K25" i="2"/>
  <c r="K26" i="2" s="1"/>
  <c r="K29" i="2" s="1"/>
  <c r="B25" i="2"/>
  <c r="I25" i="2"/>
  <c r="J25" i="2"/>
  <c r="D25" i="2"/>
  <c r="D26" i="2" s="1"/>
  <c r="L25" i="2"/>
  <c r="L26" i="2" s="1"/>
  <c r="L29" i="2" s="1"/>
  <c r="D27" i="2"/>
  <c r="D28" i="2"/>
  <c r="F27" i="2"/>
  <c r="C32" i="2"/>
  <c r="C34" i="2" s="1"/>
  <c r="I34" i="2"/>
  <c r="J32" i="2"/>
  <c r="J34" i="2" s="1"/>
  <c r="L32" i="2"/>
  <c r="L34" i="2" s="1"/>
  <c r="E34" i="2"/>
  <c r="M32" i="2"/>
  <c r="M34" i="2" s="1"/>
  <c r="I26" i="2"/>
  <c r="I27" i="2"/>
  <c r="B23" i="2"/>
  <c r="N23" i="2" s="1"/>
  <c r="N20" i="2"/>
  <c r="E47" i="2"/>
  <c r="G26" i="2"/>
  <c r="G29" i="2" s="1"/>
  <c r="G27" i="2"/>
  <c r="C47" i="2"/>
  <c r="J27" i="2"/>
  <c r="J30" i="2" s="1"/>
  <c r="J26" i="2"/>
  <c r="J29" i="2" s="1"/>
  <c r="H26" i="2"/>
  <c r="D22" i="2"/>
  <c r="D32" i="2" s="1"/>
  <c r="N19" i="2"/>
  <c r="N56" i="2"/>
  <c r="N54" i="2"/>
  <c r="G32" i="2"/>
  <c r="B27" i="2"/>
  <c r="B26" i="2"/>
  <c r="J47" i="2"/>
  <c r="N21" i="2"/>
  <c r="H32" i="2"/>
  <c r="I47" i="2"/>
  <c r="K32" i="2"/>
  <c r="F32" i="2"/>
  <c r="N33" i="2"/>
  <c r="J28" i="2"/>
  <c r="C28" i="2"/>
  <c r="G28" i="2"/>
  <c r="F28" i="2"/>
  <c r="C29" i="2"/>
  <c r="G30" i="2"/>
  <c r="H29" i="2"/>
  <c r="F29" i="2"/>
  <c r="F30" i="2"/>
  <c r="D30" i="2"/>
  <c r="M30" i="2"/>
  <c r="M29" i="2"/>
  <c r="K15" i="2"/>
  <c r="K16" i="2" s="1"/>
  <c r="J15" i="2"/>
  <c r="J16" i="2" s="1"/>
  <c r="M15" i="2"/>
  <c r="M16" i="2" s="1"/>
  <c r="N11" i="2"/>
  <c r="L15" i="2"/>
  <c r="L16" i="2" s="1"/>
  <c r="B28" i="2"/>
  <c r="H16" i="2"/>
  <c r="B16" i="2"/>
  <c r="I28" i="2"/>
  <c r="C15" i="2"/>
  <c r="C16" i="2" s="1"/>
  <c r="D16" i="2"/>
  <c r="F16" i="2"/>
  <c r="I16" i="2"/>
  <c r="E14" i="2"/>
  <c r="E16" i="2" s="1"/>
  <c r="G14" i="2"/>
  <c r="G16" i="2" s="1"/>
  <c r="M47" i="2" l="1"/>
  <c r="H27" i="2"/>
  <c r="H30" i="2" s="1"/>
  <c r="N25" i="2"/>
  <c r="E28" i="2"/>
  <c r="K28" i="2"/>
  <c r="K38" i="2"/>
  <c r="K39" i="2"/>
  <c r="K27" i="2"/>
  <c r="K30" i="2" s="1"/>
  <c r="E26" i="2"/>
  <c r="E29" i="2" s="1"/>
  <c r="L28" i="2"/>
  <c r="L35" i="2" s="1"/>
  <c r="L47" i="2"/>
  <c r="L27" i="2"/>
  <c r="L30" i="2" s="1"/>
  <c r="F35" i="2"/>
  <c r="C27" i="2"/>
  <c r="C30" i="2" s="1"/>
  <c r="C35" i="2" s="1"/>
  <c r="D29" i="2"/>
  <c r="D35" i="2" s="1"/>
  <c r="N22" i="2"/>
  <c r="B32" i="2"/>
  <c r="B44" i="2" s="1"/>
  <c r="K34" i="2"/>
  <c r="K47" i="2"/>
  <c r="H34" i="2"/>
  <c r="H47" i="2"/>
  <c r="F34" i="2"/>
  <c r="F47" i="2"/>
  <c r="M35" i="2"/>
  <c r="D34" i="2"/>
  <c r="D47" i="2"/>
  <c r="G34" i="2"/>
  <c r="G47" i="2"/>
  <c r="J35" i="2"/>
  <c r="H35" i="2"/>
  <c r="G35" i="2"/>
  <c r="K35" i="2"/>
  <c r="N28" i="2"/>
  <c r="E39" i="2"/>
  <c r="E44" i="2"/>
  <c r="E48" i="2" s="1"/>
  <c r="E38" i="2"/>
  <c r="D39" i="2"/>
  <c r="C39" i="2"/>
  <c r="D38" i="2"/>
  <c r="C44" i="2"/>
  <c r="C48" i="2" s="1"/>
  <c r="D44" i="2"/>
  <c r="D48" i="2" s="1"/>
  <c r="C38" i="2"/>
  <c r="H39" i="2"/>
  <c r="G39" i="2"/>
  <c r="I39" i="2"/>
  <c r="I44" i="2"/>
  <c r="I48" i="2" s="1"/>
  <c r="I38" i="2"/>
  <c r="H38" i="2"/>
  <c r="H44" i="2"/>
  <c r="H48" i="2" s="1"/>
  <c r="G38" i="2"/>
  <c r="G44" i="2"/>
  <c r="G48" i="2" s="1"/>
  <c r="L38" i="2"/>
  <c r="L39" i="2"/>
  <c r="L44" i="2"/>
  <c r="L48" i="2" s="1"/>
  <c r="K44" i="2"/>
  <c r="K48" i="2" s="1"/>
  <c r="J39" i="2"/>
  <c r="J44" i="2"/>
  <c r="J48" i="2" s="1"/>
  <c r="J38" i="2"/>
  <c r="M44" i="2"/>
  <c r="M48" i="2" s="1"/>
  <c r="M39" i="2"/>
  <c r="M38" i="2"/>
  <c r="F39" i="2"/>
  <c r="F44" i="2"/>
  <c r="F48" i="2" s="1"/>
  <c r="F38" i="2"/>
  <c r="I30" i="2"/>
  <c r="I29" i="2"/>
  <c r="E30" i="2"/>
  <c r="N12" i="2"/>
  <c r="N14" i="2"/>
  <c r="N15" i="2"/>
  <c r="N16" i="2"/>
  <c r="L41" i="2" l="1"/>
  <c r="L42" i="2"/>
  <c r="L40" i="2"/>
  <c r="L49" i="2"/>
  <c r="C40" i="2"/>
  <c r="C42" i="2"/>
  <c r="C41" i="2"/>
  <c r="C49" i="2"/>
  <c r="K41" i="2"/>
  <c r="K42" i="2"/>
  <c r="K40" i="2"/>
  <c r="K49" i="2"/>
  <c r="G42" i="2"/>
  <c r="G41" i="2"/>
  <c r="G49" i="2"/>
  <c r="G50" i="2" s="1"/>
  <c r="G52" i="2" s="1"/>
  <c r="G62" i="2" s="1"/>
  <c r="M42" i="2"/>
  <c r="M41" i="2"/>
  <c r="M49" i="2"/>
  <c r="M50" i="2" s="1"/>
  <c r="M52" i="2" s="1"/>
  <c r="M62" i="2" s="1"/>
  <c r="D42" i="2"/>
  <c r="D41" i="2"/>
  <c r="D49" i="2"/>
  <c r="H41" i="2"/>
  <c r="H42" i="2"/>
  <c r="H49" i="2"/>
  <c r="H50" i="2" s="1"/>
  <c r="H52" i="2" s="1"/>
  <c r="H62" i="2" s="1"/>
  <c r="J41" i="2"/>
  <c r="J42" i="2"/>
  <c r="J49" i="2"/>
  <c r="F41" i="2"/>
  <c r="F42" i="2"/>
  <c r="F49" i="2"/>
  <c r="N32" i="2"/>
  <c r="B47" i="2"/>
  <c r="N47" i="2" s="1"/>
  <c r="B38" i="2"/>
  <c r="B39" i="2"/>
  <c r="B34" i="2"/>
  <c r="B48" i="2"/>
  <c r="N48" i="2" s="1"/>
  <c r="C36" i="2"/>
  <c r="H36" i="2"/>
  <c r="H40" i="2"/>
  <c r="M36" i="2"/>
  <c r="M40" i="2"/>
  <c r="J36" i="2"/>
  <c r="J40" i="2"/>
  <c r="D36" i="2"/>
  <c r="D40" i="2"/>
  <c r="K36" i="2"/>
  <c r="F36" i="2"/>
  <c r="F40" i="2"/>
  <c r="L36" i="2"/>
  <c r="I35" i="2"/>
  <c r="G36" i="2"/>
  <c r="G40" i="2"/>
  <c r="E35" i="2"/>
  <c r="B29" i="2"/>
  <c r="N26" i="2"/>
  <c r="B30" i="2"/>
  <c r="N30" i="2" s="1"/>
  <c r="N27" i="2"/>
  <c r="K50" i="2"/>
  <c r="K52" i="2" s="1"/>
  <c r="K62" i="2" s="1"/>
  <c r="D50" i="2"/>
  <c r="D52" i="2" s="1"/>
  <c r="D62" i="2" s="1"/>
  <c r="L50" i="2"/>
  <c r="L52" i="2" s="1"/>
  <c r="L62" i="2" s="1"/>
  <c r="C50" i="2"/>
  <c r="C52" i="2" s="1"/>
  <c r="C62" i="2" s="1"/>
  <c r="F50" i="2"/>
  <c r="F52" i="2" s="1"/>
  <c r="F62" i="2" s="1"/>
  <c r="J50" i="2"/>
  <c r="J52" i="2" s="1"/>
  <c r="J62" i="2" s="1"/>
  <c r="N44" i="2"/>
  <c r="E42" i="2" l="1"/>
  <c r="E41" i="2"/>
  <c r="E49" i="2"/>
  <c r="I42" i="2"/>
  <c r="I49" i="2"/>
  <c r="N39" i="2"/>
  <c r="N38" i="2"/>
  <c r="B35" i="2"/>
  <c r="B49" i="2" s="1"/>
  <c r="E36" i="2"/>
  <c r="E40" i="2"/>
  <c r="I36" i="2"/>
  <c r="I40" i="2"/>
  <c r="N29" i="2"/>
  <c r="I50" i="2"/>
  <c r="I52" i="2" s="1"/>
  <c r="I62" i="2" s="1"/>
  <c r="E50" i="2"/>
  <c r="E52" i="2" s="1"/>
  <c r="E62" i="2" s="1"/>
  <c r="B42" i="2" l="1"/>
  <c r="B41" i="2"/>
  <c r="B40" i="2"/>
  <c r="B36" i="2"/>
  <c r="N36" i="2" s="1"/>
  <c r="N49" i="2"/>
  <c r="B50" i="2"/>
  <c r="N34" i="2"/>
  <c r="N35" i="2"/>
  <c r="N40" i="2" l="1"/>
  <c r="N41" i="2"/>
  <c r="N42" i="2"/>
  <c r="N50" i="2"/>
  <c r="B52" i="2"/>
  <c r="N52" i="2" l="1"/>
  <c r="B62" i="2"/>
  <c r="N62" i="2" s="1"/>
  <c r="N66" i="2" l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</calcChain>
</file>

<file path=xl/sharedStrings.xml><?xml version="1.0" encoding="utf-8"?>
<sst xmlns="http://schemas.openxmlformats.org/spreadsheetml/2006/main" count="71" uniqueCount="71">
  <si>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</si>
  <si>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</si>
  <si>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</si>
  <si>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</si>
  <si>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</si>
  <si>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</si>
  <si>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</si>
  <si>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</si>
  <si>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</si>
  <si>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</si>
  <si>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</si>
  <si>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</si>
  <si>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</si>
  <si>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Electricity Cost (TL/Month)</t>
  </si>
  <si>
    <t>Natural Gas Cost (TL/Month)</t>
  </si>
  <si>
    <t>Total Energy Cost (TL/Month)</t>
  </si>
  <si>
    <t>Natural Gas Consumption (m3/Month)</t>
  </si>
  <si>
    <t>Max. Power can be obtained from Co-Gen btwn 22-06 Hrs (kW)</t>
  </si>
  <si>
    <t>Max. Power can be obtained from Co-Gen btwn 06-17 Hrs (kW)</t>
  </si>
  <si>
    <t>Max. Power can be obtained from Co-Gen btwn 17-22 Hrs (kW)</t>
  </si>
  <si>
    <t>Average Power Taken at 06-17 Hours (kW)</t>
  </si>
  <si>
    <t>Average Power Taken at 17-22 Hours (kW)</t>
  </si>
  <si>
    <t>Average Power Taken at 22-06 Hours (kW)</t>
  </si>
  <si>
    <t>Natural Gas Unit Price (TL/m3)</t>
  </si>
  <si>
    <t>Electrik Unit Price (TL/kWh)</t>
  </si>
  <si>
    <t>Calorific Value of Natural Gas (kcal/m3)</t>
  </si>
  <si>
    <t>Average Heating Need in 06-17 Hours (kW)</t>
  </si>
  <si>
    <t>Max. Heating Pow. (kW)  from Co-Gen between 06-17 Hours</t>
  </si>
  <si>
    <t>Max. Heating Pow. (kW)  from Co-Gen between 17-22 Hours</t>
  </si>
  <si>
    <t>Max. Heating Pow. (kW)  from Co-Gen between 22-06 Hours</t>
  </si>
  <si>
    <t>Average Heating Need in 22-06 Hours (kW)</t>
  </si>
  <si>
    <t>Average Heating Need in 17-22 Hours (kW)</t>
  </si>
  <si>
    <t>Heating Energy Demand (kWh/Month)</t>
  </si>
  <si>
    <t>Max. Amount of Electricity That Can Be Produced (kWh/month)</t>
  </si>
  <si>
    <t>Natural Gas Savings to Be Achieved by Heating (kWh/month)</t>
  </si>
  <si>
    <t>Natural Gas Savings to Be Achieved by Heating (TL/month)</t>
  </si>
  <si>
    <t>Co-Gen capacity utilization rate (%)</t>
  </si>
  <si>
    <t>Percentage of Meeting Electricity Needs (%)</t>
  </si>
  <si>
    <t>Percentage of Meeting Heating Needs (%)</t>
  </si>
  <si>
    <t>Evaluation Rate of Produced Heat (%)</t>
  </si>
  <si>
    <t>Cumulative Efficiency(%)</t>
  </si>
  <si>
    <t>Electric Consumption (kWh/Month)</t>
  </si>
  <si>
    <t>Electrical Capacity (kW)</t>
  </si>
  <si>
    <t>Thermal Energy Capacity (kW)</t>
  </si>
  <si>
    <t>Fuel Consumption (kW)</t>
  </si>
  <si>
    <t>Electricity Produced by the Co-Gen Unit (kWh/month)</t>
  </si>
  <si>
    <t>Correction Factor for Natural Gas</t>
  </si>
  <si>
    <t>Co-Gen Unit Consumption Cost (TL/month)</t>
  </si>
  <si>
    <t>CK Electricity Cost (TL/month)</t>
  </si>
  <si>
    <t>Additional Natural Gas Cost (TL/month)</t>
  </si>
  <si>
    <t>Total Energy Cost (TL/month)</t>
  </si>
  <si>
    <t>TOTAL GROSS SAVINGS (TL/MONTH)</t>
  </si>
  <si>
    <t>Working Hours of the Co-Gen Unit</t>
  </si>
  <si>
    <t>Working Hour</t>
  </si>
  <si>
    <t>Working Hour Periods</t>
  </si>
  <si>
    <t>T1 (06-17)</t>
  </si>
  <si>
    <t>T2 (17-22)</t>
  </si>
  <si>
    <t>T3 (22-06)</t>
  </si>
  <si>
    <t>Amount of Thermal Energy Can Be Produced (kWh/month)</t>
  </si>
  <si>
    <t>TOTAL NET SAVINGS (TL/MONTH)</t>
  </si>
  <si>
    <t>Exchange Rate (USD/TL)</t>
  </si>
  <si>
    <t>Operating and Maintenance Expenses (TL/Month)</t>
  </si>
  <si>
    <t>TOTAL INVESTMENT AMOUNT (TL)</t>
  </si>
  <si>
    <t>Years</t>
  </si>
  <si>
    <t>Depreciation (TL)</t>
  </si>
  <si>
    <t>INVESTMENT REFUND PERIOD (YEAR)</t>
  </si>
  <si>
    <t>Amount of Additona Natural Gas Received IGDAS (m3/month)</t>
  </si>
  <si>
    <t>Amount of Electricity Received from TEDAS (kWh/month)</t>
  </si>
  <si>
    <r>
      <t>𝑃𝐸𝑆</t>
    </r>
    <r>
      <rPr>
        <b/>
        <sz val="11"/>
        <color theme="1"/>
        <rFont val="Verdana"/>
        <family val="2"/>
      </rPr>
      <t>=(1−(1/((</t>
    </r>
    <r>
      <rPr>
        <sz val="11"/>
        <color theme="1"/>
        <rFont val="Cambria"/>
        <family val="1"/>
      </rPr>
      <t>𝐶𝐻𝑃𝐻𝑛</t>
    </r>
    <r>
      <rPr>
        <b/>
        <sz val="11"/>
        <color theme="1"/>
        <rFont val="Verdana"/>
        <family val="2"/>
      </rPr>
      <t>/(</t>
    </r>
    <r>
      <rPr>
        <sz val="11"/>
        <color theme="1"/>
        <rFont val="Cambria"/>
        <family val="1"/>
      </rPr>
      <t>𝑅𝐸𝐹 𝐻𝑛</t>
    </r>
    <r>
      <rPr>
        <b/>
        <sz val="11"/>
        <color theme="1"/>
        <rFont val="Verdana"/>
        <family val="2"/>
      </rPr>
      <t>))+(</t>
    </r>
    <r>
      <rPr>
        <sz val="11"/>
        <color theme="1"/>
        <rFont val="Cambria"/>
        <family val="1"/>
      </rPr>
      <t>𝐶𝐻𝑃𝐸𝑛</t>
    </r>
    <r>
      <rPr>
        <b/>
        <sz val="11"/>
        <color theme="1"/>
        <rFont val="Verdana"/>
        <family val="2"/>
      </rPr>
      <t>/(</t>
    </r>
    <r>
      <rPr>
        <sz val="11"/>
        <color theme="1"/>
        <rFont val="Cambria"/>
        <family val="1"/>
      </rPr>
      <t>𝑅𝐸𝐹 𝐸𝑛</t>
    </r>
    <r>
      <rPr>
        <b/>
        <sz val="11"/>
        <color theme="1"/>
        <rFont val="Verdana"/>
        <family val="2"/>
      </rPr>
      <t>)) )))</t>
    </r>
    <r>
      <rPr>
        <sz val="11"/>
        <color theme="1"/>
        <rFont val="Cambria"/>
        <family val="1"/>
      </rPr>
      <t>𝑥</t>
    </r>
    <r>
      <rPr>
        <b/>
        <sz val="11"/>
        <color theme="1"/>
        <rFont val="Verdana"/>
        <family val="2"/>
      </rPr>
      <t xml:space="preserve">100% </t>
    </r>
  </si>
  <si>
    <r>
      <t>𝑃𝐸𝑆</t>
    </r>
    <r>
      <rPr>
        <b/>
        <sz val="11"/>
        <color theme="1"/>
        <rFont val="Verdana"/>
        <family val="2"/>
      </rPr>
      <t>=</t>
    </r>
  </si>
  <si>
    <t>COGENERATION SYSTEM ANNUAL SAVINGS ANALYSIS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</si>
</sst>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u/>
      <sz val="14"/>
      <color theme="1"/>
      <name val="Calibri"/>
      <family val="2"/>
      <charset val="162"/>
      <scheme val="minor"/>
    </font>
    <font>
      <b/>
      <i/>
      <u/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2"/>
      <color rgb="FF000000"/>
      <name val="Arial"/>
      <family val="2"/>
    </font>
    <font>
      <sz val="11"/>
      <color theme="1"/>
      <name val="Cambria"/>
      <family val="1"/>
      <charset val="162"/>
    </font>
    <font>
      <b/>
      <sz val="11"/>
      <color theme="1"/>
      <name val="Verdana"/>
      <family val="2"/>
    </font>
    <font>
      <sz val="11"/>
      <color theme="1"/>
      <name val="Cambria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3" fontId="0" fillId="0" borderId="0" xfId="0" applyNumberFormat="1"/>
    <xf numFmtId="1" fontId="0" fillId="0" borderId="0" xfId="0" applyNumberFormat="1"/>
    <xf numFmtId="0" fontId="7" fillId="0" borderId="0" xfId="0" applyFont="1"/>
    <xf numFmtId="0" fontId="8" fillId="0" borderId="1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4" xfId="0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/>
    </xf>
    <xf numFmtId="3" fontId="2" fillId="0" borderId="4" xfId="0" applyNumberFormat="1" applyFont="1" applyBorder="1"/>
    <xf numFmtId="3" fontId="3" fillId="0" borderId="4" xfId="0" applyNumberFormat="1" applyFont="1" applyBorder="1"/>
    <xf numFmtId="3" fontId="0" fillId="0" borderId="4" xfId="0" applyNumberFormat="1" applyBorder="1"/>
    <xf numFmtId="0" fontId="0" fillId="0" borderId="4" xfId="0" applyBorder="1" applyAlignment="1">
      <alignment horizontal="left" vertical="center"/>
    </xf>
    <xf numFmtId="0" fontId="3" fillId="0" borderId="4" xfId="0" applyFont="1" applyBorder="1"/>
    <xf numFmtId="0" fontId="0" fillId="2" borderId="4" xfId="0" applyFill="1" applyBorder="1"/>
    <xf numFmtId="3" fontId="0" fillId="2" borderId="4" xfId="0" applyNumberFormat="1" applyFill="1" applyBorder="1"/>
    <xf numFmtId="3" fontId="3" fillId="2" borderId="4" xfId="0" applyNumberFormat="1" applyFont="1" applyFill="1" applyBorder="1"/>
    <xf numFmtId="0" fontId="0" fillId="3" borderId="4" xfId="0" applyFill="1" applyBorder="1"/>
    <xf numFmtId="3" fontId="0" fillId="3" borderId="4" xfId="0" applyNumberFormat="1" applyFill="1" applyBorder="1"/>
    <xf numFmtId="3" fontId="3" fillId="3" borderId="4" xfId="0" applyNumberFormat="1" applyFont="1" applyFill="1" applyBorder="1"/>
    <xf numFmtId="0" fontId="0" fillId="4" borderId="4" xfId="0" applyFill="1" applyBorder="1"/>
    <xf numFmtId="3" fontId="0" fillId="4" borderId="4" xfId="0" applyNumberFormat="1" applyFill="1" applyBorder="1"/>
    <xf numFmtId="3" fontId="3" fillId="4" borderId="4" xfId="0" applyNumberFormat="1" applyFont="1" applyFill="1" applyBorder="1"/>
    <xf numFmtId="3" fontId="2" fillId="4" borderId="4" xfId="0" applyNumberFormat="1" applyFont="1" applyFill="1" applyBorder="1"/>
    <xf numFmtId="0" fontId="3" fillId="4" borderId="4" xfId="0" applyFont="1" applyFill="1" applyBorder="1"/>
    <xf numFmtId="0" fontId="12" fillId="0" borderId="4" xfId="0" applyFont="1" applyBorder="1"/>
    <xf numFmtId="0" fontId="0" fillId="5" borderId="4" xfId="0" applyFill="1" applyBorder="1"/>
    <xf numFmtId="3" fontId="0" fillId="5" borderId="4" xfId="0" applyNumberFormat="1" applyFill="1" applyBorder="1"/>
    <xf numFmtId="3" fontId="3" fillId="5" borderId="4" xfId="0" applyNumberFormat="1" applyFont="1" applyFill="1" applyBorder="1"/>
    <xf numFmtId="0" fontId="3" fillId="5" borderId="4" xfId="0" applyFont="1" applyFill="1" applyBorder="1"/>
    <xf numFmtId="0" fontId="12" fillId="4" borderId="4" xfId="0" applyFont="1" applyFill="1" applyBorder="1"/>
    <xf numFmtId="3" fontId="12" fillId="4" borderId="4" xfId="0" applyNumberFormat="1" applyFont="1" applyFill="1" applyBorder="1"/>
    <xf numFmtId="164" fontId="3" fillId="4" borderId="4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2C08-95A7-40A8-8D19-328C6CF1D6BC}">
  <sheetPr>
    <pageSetUpPr fitToPage="1"/>
  </sheetPr>
  <dimension ref="A1:P66"/>
  <sheetViews>
    <sheetView tabSelected="1" zoomScale="62" zoomScaleNormal="62" workbookViewId="0">
      <selection activeCell="S24" sqref="S24"/>
    </sheetView>
  </sheetViews>
  <sheetFormatPr baseColWidth="10" defaultColWidth="8.83203125" defaultRowHeight="15" x14ac:dyDescent="0.2"/>
  <cols>
    <col min="1" max="1" width="56.5" customWidth="1"/>
    <col min="2" max="13" width="10.6640625" customWidth="1"/>
    <col min="14" max="14" width="12.6640625" style="1" customWidth="1"/>
  </cols>
  <sheetData>
    <row r="1" spans="1:14" ht="15" customHeight="1" x14ac:dyDescent="0.25">
      <c r="A1" s="13" t="s">
        <v>70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">
      <c r="A3" s="45" t="s">
        <v>23</v>
      </c>
      <c r="B3">
        <v>10.17</v>
      </c>
      <c r="D3" s="46" t="s">
        <v>42</v>
      </c>
      <c r="E3" s="46"/>
      <c r="F3" s="46"/>
      <c r="G3" s="46"/>
      <c r="H3" s="46"/>
      <c r="I3">
        <v>206</v>
      </c>
      <c r="K3" s="47" t="s">
        <v>54</v>
      </c>
      <c r="L3" s="47"/>
    </row>
    <row r="4" spans="1:14" x14ac:dyDescent="0.2">
      <c r="A4" s="45" t="s">
        <v>24</v>
      </c>
      <c r="B4">
        <v>3.78</v>
      </c>
      <c r="D4" s="46" t="s">
        <v>43</v>
      </c>
      <c r="E4" s="46"/>
      <c r="F4" s="46"/>
      <c r="G4" s="46"/>
      <c r="H4" s="46"/>
      <c r="I4">
        <v>246</v>
      </c>
      <c r="K4" s="45" t="s">
        <v>55</v>
      </c>
      <c r="L4">
        <v>320</v>
      </c>
    </row>
    <row r="5" spans="1:14" x14ac:dyDescent="0.2">
      <c r="A5" s="45" t="s">
        <v>60</v>
      </c>
      <c r="B5">
        <v>20</v>
      </c>
      <c r="D5" s="46" t="s">
        <v>44</v>
      </c>
      <c r="E5" s="46"/>
      <c r="F5" s="46"/>
      <c r="G5" s="46"/>
      <c r="H5" s="46"/>
      <c r="I5">
        <v>495</v>
      </c>
      <c r="K5" s="45" t="s">
        <v>56</v>
      </c>
      <c r="L5">
        <v>140</v>
      </c>
    </row>
    <row r="6" spans="1:14" x14ac:dyDescent="0.2">
      <c r="A6" s="45" t="s">
        <v>25</v>
      </c>
      <c r="B6">
        <v>8250</v>
      </c>
      <c r="D6" s="46" t="s">
        <v>53</v>
      </c>
      <c r="E6" s="46"/>
      <c r="F6" s="46"/>
      <c r="G6" s="46"/>
      <c r="H6" s="46"/>
      <c r="I6">
        <f>SUM(L4:L6)</f>
        <v>690</v>
      </c>
      <c r="K6" s="45" t="s">
        <v>57</v>
      </c>
      <c r="L6">
        <v>230</v>
      </c>
    </row>
    <row r="7" spans="1:14" x14ac:dyDescent="0.2">
      <c r="A7" s="45" t="s">
        <v>46</v>
      </c>
      <c r="B7">
        <f>1/860</f>
        <v>1.1627906976744186E-3</v>
      </c>
    </row>
    <row r="9" spans="1:14" ht="15" customHeight="1" x14ac:dyDescent="0.2">
      <c r="A9" s="17"/>
      <c r="B9" s="18" t="s">
        <v>0</v>
      </c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</row>
    <row r="10" spans="1:14" x14ac:dyDescent="0.2">
      <c r="A10" s="20" t="s">
        <v>41</v>
      </c>
      <c r="B10" s="21">
        <v>127929.8891367347</v>
      </c>
      <c r="C10" s="21">
        <v>102663.28338957712</v>
      </c>
      <c r="D10" s="21">
        <v>131908</v>
      </c>
      <c r="E10" s="21">
        <v>116119.38128517494</v>
      </c>
      <c r="F10" s="21">
        <v>123625.53259846274</v>
      </c>
      <c r="G10" s="21">
        <v>143692.7854593122</v>
      </c>
      <c r="H10" s="21">
        <v>138567.74170616371</v>
      </c>
      <c r="I10" s="21">
        <v>154249.5410420718</v>
      </c>
      <c r="J10" s="21">
        <v>145153.03137698863</v>
      </c>
      <c r="K10" s="21">
        <v>134998.6168796347</v>
      </c>
      <c r="L10" s="21">
        <v>132984.83937100854</v>
      </c>
      <c r="M10" s="21">
        <v>104899.98829768218</v>
      </c>
      <c r="N10" s="22">
        <f>SUM(B10:M10)</f>
        <v>1556792.6305428115</v>
      </c>
    </row>
    <row r="11" spans="1:14" x14ac:dyDescent="0.2">
      <c r="A11" s="17" t="s">
        <v>16</v>
      </c>
      <c r="B11" s="21">
        <v>17564</v>
      </c>
      <c r="C11" s="21">
        <v>15501.593457581608</v>
      </c>
      <c r="D11" s="21">
        <v>14590.447563120544</v>
      </c>
      <c r="E11" s="21">
        <v>13560.677812827744</v>
      </c>
      <c r="F11" s="21">
        <v>8503.7894281505178</v>
      </c>
      <c r="G11" s="21">
        <v>5155.8730039543434</v>
      </c>
      <c r="H11" s="21">
        <v>4489.4291299220149</v>
      </c>
      <c r="I11" s="21">
        <v>4980.1233396042389</v>
      </c>
      <c r="J11" s="21">
        <v>6566.7442898709232</v>
      </c>
      <c r="K11" s="21">
        <v>6990.3497206658321</v>
      </c>
      <c r="L11" s="21">
        <v>9313.9437740515095</v>
      </c>
      <c r="M11" s="21">
        <v>9607.528857729334</v>
      </c>
      <c r="N11" s="22">
        <f t="shared" ref="N11:N16" si="0">SUM(B11:M11)</f>
        <v>116824.50037747863</v>
      </c>
    </row>
    <row r="12" spans="1:14" x14ac:dyDescent="0.2">
      <c r="A12" s="17" t="s">
        <v>32</v>
      </c>
      <c r="B12" s="23">
        <f t="shared" ref="B12:M12" si="1">B11*$B$6*$B$7</f>
        <v>168491.86046511628</v>
      </c>
      <c r="C12" s="23">
        <f t="shared" si="1"/>
        <v>148707.14654075381</v>
      </c>
      <c r="D12" s="23">
        <f t="shared" si="1"/>
        <v>139966.50278574941</v>
      </c>
      <c r="E12" s="23">
        <f t="shared" si="1"/>
        <v>130087.89762305685</v>
      </c>
      <c r="F12" s="23">
        <f t="shared" si="1"/>
        <v>81577.049746792763</v>
      </c>
      <c r="G12" s="23">
        <f t="shared" si="1"/>
        <v>49460.409630957365</v>
      </c>
      <c r="H12" s="23">
        <f t="shared" si="1"/>
        <v>43067.198048670492</v>
      </c>
      <c r="I12" s="23">
        <f t="shared" si="1"/>
        <v>47774.439013645315</v>
      </c>
      <c r="J12" s="23">
        <f t="shared" si="1"/>
        <v>62994.930687715248</v>
      </c>
      <c r="K12" s="23">
        <f t="shared" si="1"/>
        <v>67058.587436619899</v>
      </c>
      <c r="L12" s="23">
        <f t="shared" si="1"/>
        <v>89348.879227819707</v>
      </c>
      <c r="M12" s="23">
        <f t="shared" si="1"/>
        <v>92165.247763101172</v>
      </c>
      <c r="N12" s="22">
        <f t="shared" si="0"/>
        <v>1120700.1489699986</v>
      </c>
    </row>
    <row r="13" spans="1:14" x14ac:dyDescent="0.2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2"/>
    </row>
    <row r="14" spans="1:14" x14ac:dyDescent="0.2">
      <c r="A14" s="32" t="s">
        <v>13</v>
      </c>
      <c r="B14" s="33">
        <f>B10*$B$4</f>
        <v>483574.98093685712</v>
      </c>
      <c r="C14" s="33">
        <f t="shared" ref="C14:M14" si="2">C10*$B$4</f>
        <v>388067.21121260151</v>
      </c>
      <c r="D14" s="33">
        <f t="shared" si="2"/>
        <v>498612.24</v>
      </c>
      <c r="E14" s="33">
        <f t="shared" si="2"/>
        <v>438931.26125796122</v>
      </c>
      <c r="F14" s="33">
        <f t="shared" si="2"/>
        <v>467304.51322218915</v>
      </c>
      <c r="G14" s="33">
        <f t="shared" si="2"/>
        <v>543158.72903620009</v>
      </c>
      <c r="H14" s="33">
        <f t="shared" si="2"/>
        <v>523786.0636492988</v>
      </c>
      <c r="I14" s="33">
        <f t="shared" si="2"/>
        <v>583063.26513903134</v>
      </c>
      <c r="J14" s="33">
        <f t="shared" si="2"/>
        <v>548678.45860501693</v>
      </c>
      <c r="K14" s="33">
        <f t="shared" si="2"/>
        <v>510294.77180501918</v>
      </c>
      <c r="L14" s="33">
        <f t="shared" si="2"/>
        <v>502682.69282241224</v>
      </c>
      <c r="M14" s="33">
        <f t="shared" si="2"/>
        <v>396521.95576523861</v>
      </c>
      <c r="N14" s="34">
        <f t="shared" si="0"/>
        <v>5884676.1434518257</v>
      </c>
    </row>
    <row r="15" spans="1:14" x14ac:dyDescent="0.2">
      <c r="A15" s="32" t="s">
        <v>14</v>
      </c>
      <c r="B15" s="35">
        <f>B11*$B$3</f>
        <v>178625.88</v>
      </c>
      <c r="C15" s="35">
        <f t="shared" ref="C15:M15" si="3">C11*$B$3</f>
        <v>157651.20546360494</v>
      </c>
      <c r="D15" s="35">
        <f t="shared" si="3"/>
        <v>148384.85171693593</v>
      </c>
      <c r="E15" s="35">
        <f t="shared" si="3"/>
        <v>137912.09335645815</v>
      </c>
      <c r="F15" s="35">
        <f t="shared" si="3"/>
        <v>86483.538484290766</v>
      </c>
      <c r="G15" s="35">
        <f t="shared" si="3"/>
        <v>52435.228450215669</v>
      </c>
      <c r="H15" s="35">
        <f t="shared" si="3"/>
        <v>45657.494251306889</v>
      </c>
      <c r="I15" s="35">
        <f t="shared" si="3"/>
        <v>50647.854363775106</v>
      </c>
      <c r="J15" s="35">
        <f t="shared" si="3"/>
        <v>66783.789427987285</v>
      </c>
      <c r="K15" s="35">
        <f t="shared" si="3"/>
        <v>71091.856659171506</v>
      </c>
      <c r="L15" s="35">
        <f t="shared" si="3"/>
        <v>94722.80818210385</v>
      </c>
      <c r="M15" s="35">
        <f t="shared" si="3"/>
        <v>97708.56848310733</v>
      </c>
      <c r="N15" s="34">
        <f t="shared" si="0"/>
        <v>1188105.1688389573</v>
      </c>
    </row>
    <row r="16" spans="1:14" x14ac:dyDescent="0.2">
      <c r="A16" s="36" t="s">
        <v>15</v>
      </c>
      <c r="B16" s="34">
        <f>B14+B15</f>
        <v>662200.86093685706</v>
      </c>
      <c r="C16" s="34">
        <f t="shared" ref="C16:M16" si="4">C14+C15</f>
        <v>545718.41667620651</v>
      </c>
      <c r="D16" s="34">
        <f t="shared" si="4"/>
        <v>646997.09171693586</v>
      </c>
      <c r="E16" s="34">
        <f t="shared" si="4"/>
        <v>576843.3546144194</v>
      </c>
      <c r="F16" s="34">
        <f t="shared" si="4"/>
        <v>553788.05170647986</v>
      </c>
      <c r="G16" s="34">
        <f t="shared" si="4"/>
        <v>595593.95748641575</v>
      </c>
      <c r="H16" s="34">
        <f t="shared" si="4"/>
        <v>569443.55790060572</v>
      </c>
      <c r="I16" s="34">
        <f t="shared" si="4"/>
        <v>633711.11950280645</v>
      </c>
      <c r="J16" s="34">
        <f t="shared" si="4"/>
        <v>615462.24803300423</v>
      </c>
      <c r="K16" s="34">
        <f t="shared" si="4"/>
        <v>581386.62846419064</v>
      </c>
      <c r="L16" s="34">
        <f t="shared" si="4"/>
        <v>597405.50100451615</v>
      </c>
      <c r="M16" s="34">
        <f t="shared" si="4"/>
        <v>494230.52424834593</v>
      </c>
      <c r="N16" s="34">
        <f t="shared" si="0"/>
        <v>7072781.312290783</v>
      </c>
    </row>
    <row r="17" spans="1:16" x14ac:dyDescent="0.2">
      <c r="A17" s="1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2"/>
    </row>
    <row r="18" spans="1:16" x14ac:dyDescent="0.2">
      <c r="A18" s="26" t="s">
        <v>20</v>
      </c>
      <c r="B18" s="27">
        <f t="shared" ref="B18:M18" si="5">B10/($L$4*1+$L$5*0.85+$L$6*0.65)</f>
        <v>217.38298918731468</v>
      </c>
      <c r="C18" s="27">
        <f t="shared" si="5"/>
        <v>174.44907967642672</v>
      </c>
      <c r="D18" s="27">
        <f t="shared" si="5"/>
        <v>224.142735768904</v>
      </c>
      <c r="E18" s="27">
        <f t="shared" si="5"/>
        <v>197.31415681423098</v>
      </c>
      <c r="F18" s="27">
        <f t="shared" si="5"/>
        <v>210.06887442389592</v>
      </c>
      <c r="G18" s="27">
        <f t="shared" si="5"/>
        <v>244.16785974394597</v>
      </c>
      <c r="H18" s="27">
        <f t="shared" si="5"/>
        <v>235.45920425856195</v>
      </c>
      <c r="I18" s="27">
        <f t="shared" si="5"/>
        <v>262.10627194914491</v>
      </c>
      <c r="J18" s="27">
        <f t="shared" si="5"/>
        <v>246.64916121833241</v>
      </c>
      <c r="K18" s="27">
        <f t="shared" si="5"/>
        <v>229.39442120583638</v>
      </c>
      <c r="L18" s="27">
        <f t="shared" si="5"/>
        <v>225.97253928803491</v>
      </c>
      <c r="M18" s="27">
        <f t="shared" si="5"/>
        <v>178.24976771058994</v>
      </c>
      <c r="N18" s="28">
        <f>SUM(B18:M18)*$L$4</f>
        <v>846514.25959846994</v>
      </c>
      <c r="P18" s="2"/>
    </row>
    <row r="19" spans="1:16" x14ac:dyDescent="0.2">
      <c r="A19" s="26" t="s">
        <v>21</v>
      </c>
      <c r="B19" s="27">
        <f>B18*0.85</f>
        <v>184.77554080921746</v>
      </c>
      <c r="C19" s="27">
        <f t="shared" ref="C19:M19" si="6">C18*0.85</f>
        <v>148.2817177249627</v>
      </c>
      <c r="D19" s="27">
        <f t="shared" si="6"/>
        <v>190.5213254035684</v>
      </c>
      <c r="E19" s="27">
        <f t="shared" si="6"/>
        <v>167.71703329209632</v>
      </c>
      <c r="F19" s="27">
        <f t="shared" si="6"/>
        <v>178.55854326031152</v>
      </c>
      <c r="G19" s="27">
        <f t="shared" si="6"/>
        <v>207.54268078235407</v>
      </c>
      <c r="H19" s="27">
        <f t="shared" si="6"/>
        <v>200.14032361977766</v>
      </c>
      <c r="I19" s="27">
        <f t="shared" si="6"/>
        <v>222.79033115677316</v>
      </c>
      <c r="J19" s="27">
        <f t="shared" si="6"/>
        <v>209.65178703558254</v>
      </c>
      <c r="K19" s="27">
        <f t="shared" si="6"/>
        <v>194.98525802496093</v>
      </c>
      <c r="L19" s="27">
        <f t="shared" si="6"/>
        <v>192.07665839482968</v>
      </c>
      <c r="M19" s="27">
        <f t="shared" si="6"/>
        <v>151.51230255400145</v>
      </c>
      <c r="N19" s="28">
        <f>SUM(B19:M19)*$L$5</f>
        <v>314797.49028818106</v>
      </c>
      <c r="O19" s="3"/>
    </row>
    <row r="20" spans="1:16" x14ac:dyDescent="0.2">
      <c r="A20" s="26" t="s">
        <v>22</v>
      </c>
      <c r="B20" s="27">
        <f>B18*0.65</f>
        <v>141.29894297175454</v>
      </c>
      <c r="C20" s="27">
        <f t="shared" ref="C20:M20" si="7">C18*0.65</f>
        <v>113.39190178967738</v>
      </c>
      <c r="D20" s="27">
        <f>D18*0.65</f>
        <v>145.69277824978761</v>
      </c>
      <c r="E20" s="27">
        <f t="shared" si="7"/>
        <v>128.25420192925014</v>
      </c>
      <c r="F20" s="27">
        <f t="shared" si="7"/>
        <v>136.54476837553236</v>
      </c>
      <c r="G20" s="27">
        <f t="shared" si="7"/>
        <v>158.7091088335649</v>
      </c>
      <c r="H20" s="27">
        <f t="shared" si="7"/>
        <v>153.04848276806527</v>
      </c>
      <c r="I20" s="27">
        <f t="shared" si="7"/>
        <v>170.3690767669442</v>
      </c>
      <c r="J20" s="27">
        <f t="shared" si="7"/>
        <v>160.32195479191608</v>
      </c>
      <c r="K20" s="27">
        <f t="shared" si="7"/>
        <v>149.10637378379366</v>
      </c>
      <c r="L20" s="27">
        <f t="shared" si="7"/>
        <v>146.88215053722269</v>
      </c>
      <c r="M20" s="27">
        <f t="shared" si="7"/>
        <v>115.86234901188347</v>
      </c>
      <c r="N20" s="28">
        <f>SUM(B20:M20)*$L$6</f>
        <v>395480.8806561603</v>
      </c>
    </row>
    <row r="21" spans="1:16" x14ac:dyDescent="0.2">
      <c r="A21" s="26" t="s">
        <v>18</v>
      </c>
      <c r="B21" s="27">
        <f>IF(B18&gt;$I$3, $I$3,B18*0.93)</f>
        <v>206</v>
      </c>
      <c r="C21" s="27">
        <f t="shared" ref="C21:M21" si="8">IF(C18&gt;$I$3, $I$3,C18*0.93)</f>
        <v>162.23764409907685</v>
      </c>
      <c r="D21" s="27">
        <f t="shared" si="8"/>
        <v>206</v>
      </c>
      <c r="E21" s="27">
        <f t="shared" si="8"/>
        <v>183.50216583723483</v>
      </c>
      <c r="F21" s="27">
        <f t="shared" si="8"/>
        <v>206</v>
      </c>
      <c r="G21" s="27">
        <f t="shared" si="8"/>
        <v>206</v>
      </c>
      <c r="H21" s="27">
        <f t="shared" si="8"/>
        <v>206</v>
      </c>
      <c r="I21" s="27">
        <f t="shared" si="8"/>
        <v>206</v>
      </c>
      <c r="J21" s="27">
        <f t="shared" si="8"/>
        <v>206</v>
      </c>
      <c r="K21" s="27">
        <f t="shared" si="8"/>
        <v>206</v>
      </c>
      <c r="L21" s="27">
        <f t="shared" si="8"/>
        <v>206</v>
      </c>
      <c r="M21" s="27">
        <f t="shared" si="8"/>
        <v>165.77228397084866</v>
      </c>
      <c r="N21" s="28">
        <f>SUM(B21:M21)*$L$4</f>
        <v>756963.8700502913</v>
      </c>
    </row>
    <row r="22" spans="1:16" x14ac:dyDescent="0.2">
      <c r="A22" s="26" t="s">
        <v>19</v>
      </c>
      <c r="B22" s="27">
        <f>IF(B19&gt;$I$3, $I$3,B19*0.93)</f>
        <v>171.84125295257223</v>
      </c>
      <c r="C22" s="27">
        <f t="shared" ref="C22:M22" si="9">IF(C19&gt;$I$3, $I$3,C19*0.93)</f>
        <v>137.90199748421531</v>
      </c>
      <c r="D22" s="27">
        <f t="shared" si="9"/>
        <v>177.18483262531862</v>
      </c>
      <c r="E22" s="27">
        <f t="shared" si="9"/>
        <v>155.97684096164957</v>
      </c>
      <c r="F22" s="27">
        <f t="shared" si="9"/>
        <v>166.05944523208973</v>
      </c>
      <c r="G22" s="27">
        <f t="shared" si="9"/>
        <v>206</v>
      </c>
      <c r="H22" s="27">
        <f t="shared" si="9"/>
        <v>186.13050096639324</v>
      </c>
      <c r="I22" s="27">
        <f t="shared" si="9"/>
        <v>206</v>
      </c>
      <c r="J22" s="27">
        <f t="shared" si="9"/>
        <v>206</v>
      </c>
      <c r="K22" s="27">
        <f t="shared" si="9"/>
        <v>181.33628996321366</v>
      </c>
      <c r="L22" s="27">
        <f t="shared" si="9"/>
        <v>178.63129230719161</v>
      </c>
      <c r="M22" s="27">
        <f t="shared" si="9"/>
        <v>140.90644137522136</v>
      </c>
      <c r="N22" s="28">
        <f>SUM(B22:M22)*$L$5</f>
        <v>295955.6451415011</v>
      </c>
      <c r="O22" s="2"/>
    </row>
    <row r="23" spans="1:16" x14ac:dyDescent="0.2">
      <c r="A23" s="26" t="s">
        <v>17</v>
      </c>
      <c r="B23" s="27">
        <f>IF(B20&gt;$I$3, $I$3,B20*0.93)</f>
        <v>131.40801696373174</v>
      </c>
      <c r="C23" s="27">
        <f t="shared" ref="C23:M23" si="10">IF(C20&gt;$I$3, $I$3,C20*0.93)</f>
        <v>105.45446866439997</v>
      </c>
      <c r="D23" s="27">
        <f t="shared" si="10"/>
        <v>135.49428377230248</v>
      </c>
      <c r="E23" s="27">
        <f t="shared" si="10"/>
        <v>119.27640779420264</v>
      </c>
      <c r="F23" s="27">
        <f t="shared" si="10"/>
        <v>126.9866345892451</v>
      </c>
      <c r="G23" s="27">
        <f t="shared" si="10"/>
        <v>147.59947121521537</v>
      </c>
      <c r="H23" s="27">
        <f t="shared" si="10"/>
        <v>142.3350889743007</v>
      </c>
      <c r="I23" s="27">
        <f t="shared" si="10"/>
        <v>158.44324139325812</v>
      </c>
      <c r="J23" s="27">
        <f t="shared" si="10"/>
        <v>149.09941795648197</v>
      </c>
      <c r="K23" s="27">
        <f t="shared" si="10"/>
        <v>138.66892761892811</v>
      </c>
      <c r="L23" s="27">
        <f t="shared" si="10"/>
        <v>136.60039999961711</v>
      </c>
      <c r="M23" s="27">
        <f t="shared" si="10"/>
        <v>107.75198458105163</v>
      </c>
      <c r="N23" s="28">
        <f>SUM(B23:M23)*$L$6</f>
        <v>367797.21901022905</v>
      </c>
    </row>
    <row r="24" spans="1:16" x14ac:dyDescent="0.2">
      <c r="A24" s="17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2"/>
    </row>
    <row r="25" spans="1:16" x14ac:dyDescent="0.2">
      <c r="A25" s="29" t="s">
        <v>26</v>
      </c>
      <c r="B25" s="30">
        <f t="shared" ref="B25:M25" si="11">B12/((1*$L$4)+(0.845*$L$5)+(0.692*$L$6))</f>
        <v>282.01362512154162</v>
      </c>
      <c r="C25" s="30">
        <f t="shared" si="11"/>
        <v>248.89891631365077</v>
      </c>
      <c r="D25" s="30">
        <f t="shared" si="11"/>
        <v>234.26924444439695</v>
      </c>
      <c r="E25" s="30">
        <f t="shared" si="11"/>
        <v>217.73490714534336</v>
      </c>
      <c r="F25" s="30">
        <f t="shared" si="11"/>
        <v>136.53976792888687</v>
      </c>
      <c r="G25" s="30">
        <f t="shared" si="11"/>
        <v>82.784470309238046</v>
      </c>
      <c r="H25" s="30">
        <f t="shared" si="11"/>
        <v>72.083818245021405</v>
      </c>
      <c r="I25" s="30">
        <f t="shared" si="11"/>
        <v>79.962573249498391</v>
      </c>
      <c r="J25" s="30">
        <f t="shared" si="11"/>
        <v>105.43790494378744</v>
      </c>
      <c r="K25" s="30">
        <f t="shared" si="11"/>
        <v>112.23945943932631</v>
      </c>
      <c r="L25" s="30">
        <f t="shared" si="11"/>
        <v>149.54788475851052</v>
      </c>
      <c r="M25" s="30">
        <f t="shared" si="11"/>
        <v>154.26178784035946</v>
      </c>
      <c r="N25" s="31">
        <f>SUM(B25:M25)*$L$4</f>
        <v>600247.79511665949</v>
      </c>
    </row>
    <row r="26" spans="1:16" x14ac:dyDescent="0.2">
      <c r="A26" s="29" t="s">
        <v>31</v>
      </c>
      <c r="B26" s="30">
        <f>B25*0.845</f>
        <v>238.30151322770266</v>
      </c>
      <c r="C26" s="30">
        <f t="shared" ref="C26:M26" si="12">C25*0.845</f>
        <v>210.31958428503489</v>
      </c>
      <c r="D26" s="30">
        <f t="shared" si="12"/>
        <v>197.95751155551542</v>
      </c>
      <c r="E26" s="30">
        <f t="shared" si="12"/>
        <v>183.98599653781514</v>
      </c>
      <c r="F26" s="30">
        <f t="shared" si="12"/>
        <v>115.37610389990941</v>
      </c>
      <c r="G26" s="30">
        <f t="shared" si="12"/>
        <v>69.952877411306147</v>
      </c>
      <c r="H26" s="30">
        <f t="shared" si="12"/>
        <v>60.910826417043083</v>
      </c>
      <c r="I26" s="30">
        <f t="shared" si="12"/>
        <v>67.56837439582614</v>
      </c>
      <c r="J26" s="30">
        <f t="shared" si="12"/>
        <v>89.095029677500392</v>
      </c>
      <c r="K26" s="30">
        <f t="shared" si="12"/>
        <v>94.842343226230724</v>
      </c>
      <c r="L26" s="30">
        <f t="shared" si="12"/>
        <v>126.36796262094138</v>
      </c>
      <c r="M26" s="30">
        <f t="shared" si="12"/>
        <v>130.35121072510373</v>
      </c>
      <c r="N26" s="31">
        <f>SUM(B26:M26)*$L$5</f>
        <v>221904.10675719008</v>
      </c>
      <c r="O26" s="2"/>
    </row>
    <row r="27" spans="1:16" x14ac:dyDescent="0.2">
      <c r="A27" s="29" t="s">
        <v>30</v>
      </c>
      <c r="B27" s="30">
        <f>B25*0.692</f>
        <v>195.15342858410679</v>
      </c>
      <c r="C27" s="30">
        <f t="shared" ref="C27:M27" si="13">C25*0.692</f>
        <v>172.23805008904631</v>
      </c>
      <c r="D27" s="30">
        <f t="shared" si="13"/>
        <v>162.11431715552268</v>
      </c>
      <c r="E27" s="30">
        <f t="shared" si="13"/>
        <v>150.67255574457758</v>
      </c>
      <c r="F27" s="30">
        <f t="shared" si="13"/>
        <v>94.485519406789706</v>
      </c>
      <c r="G27" s="30">
        <f t="shared" si="13"/>
        <v>57.286853453992727</v>
      </c>
      <c r="H27" s="30">
        <f t="shared" si="13"/>
        <v>49.882002225554807</v>
      </c>
      <c r="I27" s="30">
        <f t="shared" si="13"/>
        <v>55.334100688652882</v>
      </c>
      <c r="J27" s="30">
        <f t="shared" si="13"/>
        <v>72.963030221100908</v>
      </c>
      <c r="K27" s="30">
        <f t="shared" si="13"/>
        <v>77.669705932013798</v>
      </c>
      <c r="L27" s="30">
        <f t="shared" si="13"/>
        <v>103.48713625288927</v>
      </c>
      <c r="M27" s="30">
        <f t="shared" si="13"/>
        <v>106.74915718552874</v>
      </c>
      <c r="N27" s="31">
        <f>SUM(B27:M27)*$L$6</f>
        <v>298548.24709614855</v>
      </c>
    </row>
    <row r="28" spans="1:16" x14ac:dyDescent="0.2">
      <c r="A28" s="29" t="s">
        <v>27</v>
      </c>
      <c r="B28" s="30">
        <f>IF(B25&gt;$I$4,B21*($I$4/$I$3),IF(B21*($I$4/$I$3)&gt;B25,B25,(B21*($I$4/$I$3))))</f>
        <v>245.99999999999997</v>
      </c>
      <c r="C28" s="30">
        <f t="shared" ref="C28:M28" si="14">IF(C25&gt;$I$4,C21*($I$4/$I$3),IF(C21*($I$4/$I$3)&gt;C25,C25,(C21*($I$4/$I$3))))</f>
        <v>193.74009926394612</v>
      </c>
      <c r="D28" s="30">
        <f t="shared" si="14"/>
        <v>234.26924444439695</v>
      </c>
      <c r="E28" s="30">
        <f t="shared" si="14"/>
        <v>217.73490714534336</v>
      </c>
      <c r="F28" s="30">
        <f t="shared" si="14"/>
        <v>136.53976792888687</v>
      </c>
      <c r="G28" s="30">
        <f t="shared" si="14"/>
        <v>82.784470309238046</v>
      </c>
      <c r="H28" s="30">
        <f t="shared" si="14"/>
        <v>72.083818245021405</v>
      </c>
      <c r="I28" s="30">
        <f t="shared" si="14"/>
        <v>79.962573249498391</v>
      </c>
      <c r="J28" s="30">
        <f t="shared" si="14"/>
        <v>105.43790494378744</v>
      </c>
      <c r="K28" s="30">
        <f t="shared" si="14"/>
        <v>112.23945943932631</v>
      </c>
      <c r="L28" s="30">
        <f t="shared" si="14"/>
        <v>149.54788475851052</v>
      </c>
      <c r="M28" s="30">
        <f t="shared" si="14"/>
        <v>154.26178784035946</v>
      </c>
      <c r="N28" s="31">
        <f>SUM(B28:M28)*$L$4</f>
        <v>571072.61362186074</v>
      </c>
    </row>
    <row r="29" spans="1:16" x14ac:dyDescent="0.2">
      <c r="A29" s="29" t="s">
        <v>28</v>
      </c>
      <c r="B29" s="30">
        <f>IF(B26&gt;$I$4,B22*($I$4/$I$3),IF(B22*($I$4/$I$3)&gt;B26,B26,(B22*($I$4/$I$3))))</f>
        <v>205.20848653559597</v>
      </c>
      <c r="C29" s="30">
        <f t="shared" ref="C29:M29" si="15">IF(C26&gt;$I$4,C22*($I$4/$I$3),IF(C22*($I$4/$I$3)&gt;C26,C26,(C22*($I$4/$I$3))))</f>
        <v>164.6790843743542</v>
      </c>
      <c r="D29" s="30">
        <f t="shared" si="15"/>
        <v>197.95751155551542</v>
      </c>
      <c r="E29" s="30">
        <f t="shared" si="15"/>
        <v>183.98599653781514</v>
      </c>
      <c r="F29" s="30">
        <f t="shared" si="15"/>
        <v>115.37610389990941</v>
      </c>
      <c r="G29" s="30">
        <f t="shared" si="15"/>
        <v>69.952877411306147</v>
      </c>
      <c r="H29" s="30">
        <f t="shared" si="15"/>
        <v>60.910826417043083</v>
      </c>
      <c r="I29" s="30">
        <f t="shared" si="15"/>
        <v>67.56837439582614</v>
      </c>
      <c r="J29" s="30">
        <f t="shared" si="15"/>
        <v>89.095029677500392</v>
      </c>
      <c r="K29" s="30">
        <f t="shared" si="15"/>
        <v>94.842343226230724</v>
      </c>
      <c r="L29" s="30">
        <f t="shared" si="15"/>
        <v>126.36796262094138</v>
      </c>
      <c r="M29" s="30">
        <f t="shared" si="15"/>
        <v>130.35121072510373</v>
      </c>
      <c r="N29" s="31">
        <f>SUM(B29:M29)*$L$5</f>
        <v>210881.41303279984</v>
      </c>
      <c r="O29" s="2"/>
    </row>
    <row r="30" spans="1:16" x14ac:dyDescent="0.2">
      <c r="A30" s="29" t="s">
        <v>29</v>
      </c>
      <c r="B30" s="30">
        <f>IF(B27&gt;$I$4,B23*($I$4/$I$3),IF(B23*($I$4/$I$3)&gt;B27,B27,(B23*($I$4/$I$3))))</f>
        <v>156.92413676251459</v>
      </c>
      <c r="C30" s="30">
        <f t="shared" ref="C30:M30" si="16">IF(C27&gt;$I$4,C23*($I$4/$I$3),IF(C23*($I$4/$I$3)&gt;C27,C27,(C23*($I$4/$I$3))))</f>
        <v>125.93106452156501</v>
      </c>
      <c r="D30" s="30">
        <f t="shared" si="16"/>
        <v>161.80385343682721</v>
      </c>
      <c r="E30" s="30">
        <f t="shared" si="16"/>
        <v>142.43687532705752</v>
      </c>
      <c r="F30" s="30">
        <f t="shared" si="16"/>
        <v>94.485519406789706</v>
      </c>
      <c r="G30" s="30">
        <f t="shared" si="16"/>
        <v>57.286853453992727</v>
      </c>
      <c r="H30" s="30">
        <f t="shared" si="16"/>
        <v>49.882002225554807</v>
      </c>
      <c r="I30" s="30">
        <f t="shared" si="16"/>
        <v>55.334100688652882</v>
      </c>
      <c r="J30" s="30">
        <f t="shared" si="16"/>
        <v>72.963030221100908</v>
      </c>
      <c r="K30" s="30">
        <f t="shared" si="16"/>
        <v>77.669705932013798</v>
      </c>
      <c r="L30" s="30">
        <f t="shared" si="16"/>
        <v>103.48713625288927</v>
      </c>
      <c r="M30" s="30">
        <f t="shared" si="16"/>
        <v>106.74915718552874</v>
      </c>
      <c r="N30" s="31">
        <f>SUM(B30:M30)*$L$6</f>
        <v>277139.29014533211</v>
      </c>
    </row>
    <row r="31" spans="1:16" x14ac:dyDescent="0.2">
      <c r="A31" s="1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2"/>
    </row>
    <row r="32" spans="1:16" x14ac:dyDescent="0.2">
      <c r="A32" s="17" t="s">
        <v>45</v>
      </c>
      <c r="B32" s="23">
        <f t="shared" ref="B32:M32" si="17">B21*$L$4+B22*$L$5+B23*$L$6</f>
        <v>120201.61931501841</v>
      </c>
      <c r="C32" s="23">
        <f t="shared" si="17"/>
        <v>95476.853552306726</v>
      </c>
      <c r="D32" s="23">
        <f t="shared" si="17"/>
        <v>121889.56183517417</v>
      </c>
      <c r="E32" s="23">
        <f t="shared" si="17"/>
        <v>107991.02459521269</v>
      </c>
      <c r="F32" s="23">
        <f t="shared" si="17"/>
        <v>118375.24828801893</v>
      </c>
      <c r="G32" s="23">
        <f t="shared" si="17"/>
        <v>128707.87837949954</v>
      </c>
      <c r="H32" s="23">
        <f t="shared" si="17"/>
        <v>124715.34059938422</v>
      </c>
      <c r="I32" s="23">
        <f t="shared" si="17"/>
        <v>131201.94552044937</v>
      </c>
      <c r="J32" s="23">
        <f t="shared" si="17"/>
        <v>129052.86612999086</v>
      </c>
      <c r="K32" s="23">
        <f t="shared" si="17"/>
        <v>123200.93394720339</v>
      </c>
      <c r="L32" s="23">
        <f t="shared" si="17"/>
        <v>122346.47292291877</v>
      </c>
      <c r="M32" s="23">
        <f t="shared" si="17"/>
        <v>97556.98911684443</v>
      </c>
      <c r="N32" s="22">
        <f>SUM(B32:M32)</f>
        <v>1420716.7342020217</v>
      </c>
    </row>
    <row r="33" spans="1:14" x14ac:dyDescent="0.2">
      <c r="A33" s="17" t="s">
        <v>33</v>
      </c>
      <c r="B33" s="23">
        <f t="shared" ref="B33:M33" si="18">$I$3*$I$6</f>
        <v>142140</v>
      </c>
      <c r="C33" s="23">
        <f t="shared" si="18"/>
        <v>142140</v>
      </c>
      <c r="D33" s="23">
        <f t="shared" si="18"/>
        <v>142140</v>
      </c>
      <c r="E33" s="23">
        <f t="shared" si="18"/>
        <v>142140</v>
      </c>
      <c r="F33" s="23">
        <f t="shared" si="18"/>
        <v>142140</v>
      </c>
      <c r="G33" s="23">
        <f t="shared" si="18"/>
        <v>142140</v>
      </c>
      <c r="H33" s="23">
        <f t="shared" si="18"/>
        <v>142140</v>
      </c>
      <c r="I33" s="23">
        <f t="shared" si="18"/>
        <v>142140</v>
      </c>
      <c r="J33" s="23">
        <f t="shared" si="18"/>
        <v>142140</v>
      </c>
      <c r="K33" s="23">
        <f t="shared" si="18"/>
        <v>142140</v>
      </c>
      <c r="L33" s="23">
        <f t="shared" si="18"/>
        <v>142140</v>
      </c>
      <c r="M33" s="23">
        <f t="shared" si="18"/>
        <v>142140</v>
      </c>
      <c r="N33" s="22">
        <f>SUM(B33:M33)</f>
        <v>1705680</v>
      </c>
    </row>
    <row r="34" spans="1:14" x14ac:dyDescent="0.2">
      <c r="A34" s="17" t="s">
        <v>58</v>
      </c>
      <c r="B34" s="23">
        <f t="shared" ref="B34:M34" si="19">($I$4*$L$4+$I$4*$L$5+$I$4*$L$6)*(B32/B33)</f>
        <v>143541.73957036179</v>
      </c>
      <c r="C34" s="23">
        <f t="shared" si="19"/>
        <v>114016.0484168323</v>
      </c>
      <c r="D34" s="23">
        <f t="shared" si="19"/>
        <v>145557.43791967403</v>
      </c>
      <c r="E34" s="23">
        <f t="shared" si="19"/>
        <v>128960.15558457437</v>
      </c>
      <c r="F34" s="23">
        <f t="shared" si="19"/>
        <v>141360.73339248862</v>
      </c>
      <c r="G34" s="23">
        <f t="shared" si="19"/>
        <v>153699.69942406256</v>
      </c>
      <c r="H34" s="23">
        <f t="shared" si="19"/>
        <v>148931.91158955591</v>
      </c>
      <c r="I34" s="23">
        <f t="shared" si="19"/>
        <v>156678.05144675024</v>
      </c>
      <c r="J34" s="23">
        <f t="shared" si="19"/>
        <v>154111.67508727062</v>
      </c>
      <c r="K34" s="23">
        <f t="shared" si="19"/>
        <v>147123.44539326229</v>
      </c>
      <c r="L34" s="23">
        <f t="shared" si="19"/>
        <v>146103.06960698066</v>
      </c>
      <c r="M34" s="23">
        <f t="shared" si="19"/>
        <v>116500.09379972683</v>
      </c>
      <c r="N34" s="22">
        <f>SUM(B34:M34)</f>
        <v>1696584.0612315403</v>
      </c>
    </row>
    <row r="35" spans="1:14" x14ac:dyDescent="0.2">
      <c r="A35" s="17" t="s">
        <v>34</v>
      </c>
      <c r="B35" s="23">
        <f t="shared" ref="B35:M35" si="20">B28*$L$4+B29*$L$5+B30*$L$6</f>
        <v>143541.73957036179</v>
      </c>
      <c r="C35" s="23">
        <f t="shared" si="20"/>
        <v>114016.04841683229</v>
      </c>
      <c r="D35" s="23">
        <f t="shared" si="20"/>
        <v>139895.09613044944</v>
      </c>
      <c r="E35" s="23">
        <f t="shared" si="20"/>
        <v>128193.69112702722</v>
      </c>
      <c r="F35" s="23">
        <f t="shared" si="20"/>
        <v>81577.049746792749</v>
      </c>
      <c r="G35" s="23">
        <f t="shared" si="20"/>
        <v>49460.409630957365</v>
      </c>
      <c r="H35" s="23">
        <f t="shared" si="20"/>
        <v>43067.198048670485</v>
      </c>
      <c r="I35" s="23">
        <f t="shared" si="20"/>
        <v>47774.439013645308</v>
      </c>
      <c r="J35" s="23">
        <f t="shared" si="20"/>
        <v>62994.930687715248</v>
      </c>
      <c r="K35" s="23">
        <f t="shared" si="20"/>
        <v>67058.587436619899</v>
      </c>
      <c r="L35" s="23">
        <f t="shared" si="20"/>
        <v>89348.879227819692</v>
      </c>
      <c r="M35" s="23">
        <f t="shared" si="20"/>
        <v>92165.247763101157</v>
      </c>
      <c r="N35" s="22">
        <f t="shared" ref="N35:N36" si="21">SUM(B35:M35)</f>
        <v>1059093.3167999927</v>
      </c>
    </row>
    <row r="36" spans="1:14" x14ac:dyDescent="0.2">
      <c r="A36" s="25" t="s">
        <v>35</v>
      </c>
      <c r="B36" s="22">
        <f t="shared" ref="B36:M36" si="22">((B35/$B$6)/$B$7)*$B$3</f>
        <v>152175.12274306649</v>
      </c>
      <c r="C36" s="22">
        <f t="shared" si="22"/>
        <v>120873.59547433921</v>
      </c>
      <c r="D36" s="22">
        <f t="shared" si="22"/>
        <v>148309.1502758954</v>
      </c>
      <c r="E36" s="22">
        <f t="shared" si="22"/>
        <v>135903.95894972188</v>
      </c>
      <c r="F36" s="22">
        <f t="shared" si="22"/>
        <v>86483.538484290752</v>
      </c>
      <c r="G36" s="22">
        <f t="shared" si="22"/>
        <v>52435.228450215684</v>
      </c>
      <c r="H36" s="22">
        <f t="shared" si="22"/>
        <v>45657.494251306889</v>
      </c>
      <c r="I36" s="22">
        <f t="shared" si="22"/>
        <v>50647.854363775099</v>
      </c>
      <c r="J36" s="22">
        <f t="shared" si="22"/>
        <v>66783.789427987285</v>
      </c>
      <c r="K36" s="22">
        <f t="shared" si="22"/>
        <v>71091.856659171506</v>
      </c>
      <c r="L36" s="22">
        <f t="shared" si="22"/>
        <v>94722.808182103836</v>
      </c>
      <c r="M36" s="22">
        <f t="shared" si="22"/>
        <v>97708.568483107301</v>
      </c>
      <c r="N36" s="22">
        <f t="shared" si="21"/>
        <v>1122792.9657449813</v>
      </c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</row>
    <row r="38" spans="1:14" x14ac:dyDescent="0.2">
      <c r="A38" s="37" t="s">
        <v>36</v>
      </c>
      <c r="B38" s="23">
        <f>(B32/B33)*100</f>
        <v>84.565653099070232</v>
      </c>
      <c r="C38" s="23">
        <f t="shared" ref="C38:N38" si="23">(C32/C33)*100</f>
        <v>67.170995885962242</v>
      </c>
      <c r="D38" s="23">
        <f t="shared" si="23"/>
        <v>85.753174219202322</v>
      </c>
      <c r="E38" s="23">
        <f t="shared" si="23"/>
        <v>75.97511228029596</v>
      </c>
      <c r="F38" s="23">
        <f t="shared" si="23"/>
        <v>83.280743132136578</v>
      </c>
      <c r="G38" s="23">
        <f t="shared" si="23"/>
        <v>90.55007624841673</v>
      </c>
      <c r="H38" s="23">
        <f t="shared" si="23"/>
        <v>87.741199239752504</v>
      </c>
      <c r="I38" s="23">
        <f t="shared" si="23"/>
        <v>92.304731617032061</v>
      </c>
      <c r="J38" s="23">
        <f t="shared" si="23"/>
        <v>90.792786077100644</v>
      </c>
      <c r="K38" s="23">
        <f>(K32/K33)*100</f>
        <v>86.675766108909087</v>
      </c>
      <c r="L38" s="23">
        <f t="shared" si="23"/>
        <v>86.074625666890924</v>
      </c>
      <c r="M38" s="23">
        <f t="shared" si="23"/>
        <v>68.634437256820334</v>
      </c>
      <c r="N38" s="23">
        <f t="shared" si="23"/>
        <v>83.293275069299142</v>
      </c>
    </row>
    <row r="39" spans="1:14" x14ac:dyDescent="0.2">
      <c r="A39" s="37" t="s">
        <v>37</v>
      </c>
      <c r="B39" s="23">
        <f>(B32/B10)*100</f>
        <v>93.958980286885023</v>
      </c>
      <c r="C39" s="23">
        <f t="shared" ref="C39:N39" si="24">(C32/C10)*100</f>
        <v>93</v>
      </c>
      <c r="D39" s="23">
        <f t="shared" si="24"/>
        <v>92.404980619199875</v>
      </c>
      <c r="E39" s="23">
        <f t="shared" si="24"/>
        <v>93</v>
      </c>
      <c r="F39" s="23">
        <f t="shared" si="24"/>
        <v>95.753074466019257</v>
      </c>
      <c r="G39" s="23">
        <f t="shared" si="24"/>
        <v>89.571566149327822</v>
      </c>
      <c r="H39" s="23">
        <f t="shared" si="24"/>
        <v>90.003155903230464</v>
      </c>
      <c r="I39" s="23">
        <f t="shared" si="24"/>
        <v>85.058240455097263</v>
      </c>
      <c r="J39" s="23">
        <f t="shared" si="24"/>
        <v>88.908143981380078</v>
      </c>
      <c r="K39" s="23">
        <f>(K32/K10)*100</f>
        <v>91.26088607044754</v>
      </c>
      <c r="L39" s="23">
        <f t="shared" si="24"/>
        <v>92.000316353046628</v>
      </c>
      <c r="M39" s="23">
        <f t="shared" si="24"/>
        <v>93</v>
      </c>
      <c r="N39" s="23">
        <f t="shared" si="24"/>
        <v>91.259215025103003</v>
      </c>
    </row>
    <row r="40" spans="1:14" x14ac:dyDescent="0.2">
      <c r="A40" s="37" t="s">
        <v>38</v>
      </c>
      <c r="B40" s="23">
        <f>(B35/B12)*100</f>
        <v>85.192091282106759</v>
      </c>
      <c r="C40" s="23">
        <f t="shared" ref="C40:N40" si="25">(C35/C12)*100</f>
        <v>76.671532652659508</v>
      </c>
      <c r="D40" s="23">
        <f t="shared" si="25"/>
        <v>99.948983039599639</v>
      </c>
      <c r="E40" s="23">
        <f t="shared" si="25"/>
        <v>98.543902599211592</v>
      </c>
      <c r="F40" s="23">
        <f t="shared" si="25"/>
        <v>99.999999999999972</v>
      </c>
      <c r="G40" s="23">
        <f t="shared" si="25"/>
        <v>100</v>
      </c>
      <c r="H40" s="23">
        <f t="shared" si="25"/>
        <v>99.999999999999972</v>
      </c>
      <c r="I40" s="23">
        <f t="shared" si="25"/>
        <v>99.999999999999986</v>
      </c>
      <c r="J40" s="23">
        <f t="shared" si="25"/>
        <v>100</v>
      </c>
      <c r="K40" s="23">
        <f>(K35/K12)*100</f>
        <v>100</v>
      </c>
      <c r="L40" s="23">
        <f>(L35/L12)*100</f>
        <v>99.999999999999986</v>
      </c>
      <c r="M40" s="23">
        <f t="shared" si="25"/>
        <v>99.999999999999986</v>
      </c>
      <c r="N40" s="23">
        <f t="shared" si="25"/>
        <v>94.502826449463157</v>
      </c>
    </row>
    <row r="41" spans="1:14" x14ac:dyDescent="0.2">
      <c r="A41" s="37" t="s">
        <v>39</v>
      </c>
      <c r="B41" s="23">
        <f>B35/B34*100</f>
        <v>100</v>
      </c>
      <c r="C41" s="23">
        <f t="shared" ref="C41:N41" si="26">C35/C34*100</f>
        <v>99.999999999999986</v>
      </c>
      <c r="D41" s="23">
        <f t="shared" si="26"/>
        <v>96.109891826792563</v>
      </c>
      <c r="E41" s="23">
        <f t="shared" si="26"/>
        <v>99.405657930488076</v>
      </c>
      <c r="F41" s="23">
        <f t="shared" si="26"/>
        <v>57.708422833584031</v>
      </c>
      <c r="G41" s="23">
        <f t="shared" si="26"/>
        <v>32.179900036430425</v>
      </c>
      <c r="H41" s="23">
        <f t="shared" si="26"/>
        <v>28.917374113454031</v>
      </c>
      <c r="I41" s="23">
        <f>I35/I34*100</f>
        <v>30.492106949569948</v>
      </c>
      <c r="J41" s="23">
        <f t="shared" si="26"/>
        <v>40.876157274938691</v>
      </c>
      <c r="K41" s="23">
        <f t="shared" si="26"/>
        <v>45.579810381256159</v>
      </c>
      <c r="L41" s="23">
        <f t="shared" si="26"/>
        <v>61.154689951531779</v>
      </c>
      <c r="M41" s="23">
        <f t="shared" si="26"/>
        <v>79.111736958375971</v>
      </c>
      <c r="N41" s="23">
        <f t="shared" si="26"/>
        <v>62.425042236410214</v>
      </c>
    </row>
    <row r="42" spans="1:14" x14ac:dyDescent="0.2">
      <c r="A42" s="37" t="s">
        <v>40</v>
      </c>
      <c r="B42" s="23">
        <f t="shared" ref="B42:N42" si="27">((((B35/B34)*$I$4)+$I$3)/$I$5)*100</f>
        <v>91.313131313131308</v>
      </c>
      <c r="C42" s="23">
        <f t="shared" si="27"/>
        <v>91.313131313131308</v>
      </c>
      <c r="D42" s="23">
        <f t="shared" si="27"/>
        <v>89.379865433113082</v>
      </c>
      <c r="E42" s="23">
        <f t="shared" si="27"/>
        <v>91.017761314949624</v>
      </c>
      <c r="F42" s="23">
        <f t="shared" si="27"/>
        <v>70.295499024367018</v>
      </c>
      <c r="G42" s="23">
        <f t="shared" si="27"/>
        <v>57.608596785781593</v>
      </c>
      <c r="H42" s="23">
        <f t="shared" si="27"/>
        <v>55.987220266484229</v>
      </c>
      <c r="I42" s="23">
        <f t="shared" si="27"/>
        <v>56.769814766856982</v>
      </c>
      <c r="J42" s="23">
        <f t="shared" si="27"/>
        <v>61.930373110373573</v>
      </c>
      <c r="K42" s="23">
        <f t="shared" si="27"/>
        <v>64.267946169270743</v>
      </c>
      <c r="L42" s="23">
        <f t="shared" si="27"/>
        <v>72.008189349650138</v>
      </c>
      <c r="M42" s="23">
        <f t="shared" si="27"/>
        <v>80.932297559112101</v>
      </c>
      <c r="N42" s="23">
        <f t="shared" si="27"/>
        <v>72.639515939710947</v>
      </c>
    </row>
    <row r="43" spans="1:14" x14ac:dyDescent="0.2">
      <c r="A43" s="17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2"/>
    </row>
    <row r="44" spans="1:14" x14ac:dyDescent="0.2">
      <c r="A44" s="17" t="s">
        <v>67</v>
      </c>
      <c r="B44" s="23">
        <f>B10-B32</f>
        <v>7728.2698217162833</v>
      </c>
      <c r="C44" s="23">
        <f t="shared" ref="C44:M44" si="28">C10-C32</f>
        <v>7186.4298372703925</v>
      </c>
      <c r="D44" s="23">
        <f t="shared" si="28"/>
        <v>10018.438164825828</v>
      </c>
      <c r="E44" s="23">
        <f t="shared" si="28"/>
        <v>8128.3566899622529</v>
      </c>
      <c r="F44" s="23">
        <f t="shared" si="28"/>
        <v>5250.284310443807</v>
      </c>
      <c r="G44" s="23">
        <f t="shared" si="28"/>
        <v>14984.907079812663</v>
      </c>
      <c r="H44" s="23">
        <f t="shared" si="28"/>
        <v>13852.401106779493</v>
      </c>
      <c r="I44" s="23">
        <f t="shared" si="28"/>
        <v>23047.595521622425</v>
      </c>
      <c r="J44" s="23">
        <f t="shared" si="28"/>
        <v>16100.165246997771</v>
      </c>
      <c r="K44" s="23">
        <f t="shared" si="28"/>
        <v>11797.682932431315</v>
      </c>
      <c r="L44" s="23">
        <f t="shared" si="28"/>
        <v>10638.366448089771</v>
      </c>
      <c r="M44" s="23">
        <f t="shared" si="28"/>
        <v>7342.9991808377526</v>
      </c>
      <c r="N44" s="22">
        <f>SUM(B44:M44)</f>
        <v>136075.89634078974</v>
      </c>
    </row>
    <row r="45" spans="1:14" x14ac:dyDescent="0.2">
      <c r="A45" s="17" t="s">
        <v>66</v>
      </c>
      <c r="B45" s="23">
        <f>(((B12-B35)/$B$6)/$B$7)</f>
        <v>2600.8610872107702</v>
      </c>
      <c r="C45" s="23">
        <f t="shared" ref="C45:M45" si="29">(((C12-C35)/$B$6)/$B$7)</f>
        <v>3616.2841680693946</v>
      </c>
      <c r="D45" s="23">
        <f t="shared" si="29"/>
        <v>7.4436028555122364</v>
      </c>
      <c r="E45" s="23">
        <f t="shared" si="29"/>
        <v>197.45667716187623</v>
      </c>
      <c r="F45" s="23">
        <f t="shared" si="29"/>
        <v>1.5169269207752113E-12</v>
      </c>
      <c r="G45" s="23">
        <f t="shared" si="29"/>
        <v>0</v>
      </c>
      <c r="H45" s="23">
        <f t="shared" si="29"/>
        <v>7.5846346038760565E-13</v>
      </c>
      <c r="I45" s="23">
        <f t="shared" si="29"/>
        <v>7.5846346038760565E-13</v>
      </c>
      <c r="J45" s="23">
        <f t="shared" si="29"/>
        <v>0</v>
      </c>
      <c r="K45" s="23">
        <f t="shared" si="29"/>
        <v>0</v>
      </c>
      <c r="L45" s="23">
        <f t="shared" si="29"/>
        <v>1.5169269207752113E-12</v>
      </c>
      <c r="M45" s="23">
        <f t="shared" si="29"/>
        <v>1.5169269207752113E-12</v>
      </c>
      <c r="N45" s="22">
        <f>SUM(B45:M45)</f>
        <v>6422.0455352975605</v>
      </c>
    </row>
    <row r="46" spans="1:14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2"/>
    </row>
    <row r="47" spans="1:14" x14ac:dyDescent="0.2">
      <c r="A47" s="38" t="s">
        <v>47</v>
      </c>
      <c r="B47" s="39">
        <f t="shared" ref="B47:M47" si="30">($I$5/$B$7/$B$6)*$L$4*$B$3*(B32/B33)+($I$5/$B$7/$B$6)*$L$5*$B$3*(B32/B33)+($I$5/$B$7/$B$6)*$L$6*$B$3*(B32/B33)</f>
        <v>306206.03966592642</v>
      </c>
      <c r="C47" s="39">
        <f t="shared" si="30"/>
        <v>243221.25918617041</v>
      </c>
      <c r="D47" s="39">
        <f t="shared" si="30"/>
        <v>310505.9667153788</v>
      </c>
      <c r="E47" s="39">
        <f t="shared" si="30"/>
        <v>275100.32018873282</v>
      </c>
      <c r="F47" s="39">
        <f t="shared" si="30"/>
        <v>301553.47473106929</v>
      </c>
      <c r="G47" s="39">
        <f t="shared" si="30"/>
        <v>327875.19782993558</v>
      </c>
      <c r="H47" s="39">
        <f t="shared" si="30"/>
        <v>317704.45979135949</v>
      </c>
      <c r="I47" s="39">
        <f t="shared" si="30"/>
        <v>334228.67647891876</v>
      </c>
      <c r="J47" s="39">
        <f t="shared" si="30"/>
        <v>328754.03235324059</v>
      </c>
      <c r="K47" s="39">
        <f t="shared" si="30"/>
        <v>313846.60441428062</v>
      </c>
      <c r="L47" s="39">
        <f t="shared" si="30"/>
        <v>311669.91887721326</v>
      </c>
      <c r="M47" s="39">
        <f t="shared" si="30"/>
        <v>248520.27326613921</v>
      </c>
      <c r="N47" s="40">
        <f t="shared" ref="N47:N56" si="31">SUM(B47:M47)</f>
        <v>3619186.2234983649</v>
      </c>
    </row>
    <row r="48" spans="1:14" x14ac:dyDescent="0.2">
      <c r="A48" s="38" t="s">
        <v>48</v>
      </c>
      <c r="B48" s="39">
        <f>B44*$B$4</f>
        <v>29212.859926087549</v>
      </c>
      <c r="C48" s="39">
        <f t="shared" ref="C48:M48" si="32">C44*$B$4</f>
        <v>27164.70478488208</v>
      </c>
      <c r="D48" s="39">
        <f t="shared" si="32"/>
        <v>37869.696263041624</v>
      </c>
      <c r="E48" s="39">
        <f t="shared" si="32"/>
        <v>30725.188288057314</v>
      </c>
      <c r="F48" s="39">
        <f t="shared" si="32"/>
        <v>19846.074693477589</v>
      </c>
      <c r="G48" s="39">
        <f t="shared" si="32"/>
        <v>56642.948761691863</v>
      </c>
      <c r="H48" s="39">
        <f t="shared" si="32"/>
        <v>52362.076183626479</v>
      </c>
      <c r="I48" s="39">
        <f t="shared" si="32"/>
        <v>87119.911071732757</v>
      </c>
      <c r="J48" s="39">
        <f t="shared" si="32"/>
        <v>60858.624633651569</v>
      </c>
      <c r="K48" s="39">
        <f t="shared" si="32"/>
        <v>44595.24148459037</v>
      </c>
      <c r="L48" s="39">
        <f t="shared" si="32"/>
        <v>40213.025173779337</v>
      </c>
      <c r="M48" s="39">
        <f t="shared" si="32"/>
        <v>27756.536903566703</v>
      </c>
      <c r="N48" s="40">
        <f t="shared" si="31"/>
        <v>514366.88816818525</v>
      </c>
    </row>
    <row r="49" spans="1:14" x14ac:dyDescent="0.2">
      <c r="A49" s="38" t="s">
        <v>49</v>
      </c>
      <c r="B49" s="39">
        <f>(((B12-B35)/$B$6)/$B$7)*$B$3</f>
        <v>26450.757256933532</v>
      </c>
      <c r="C49" s="39">
        <f>(((C12-C35)/$B$6)/$B$7)*$B$3</f>
        <v>36777.609989265744</v>
      </c>
      <c r="D49" s="39">
        <f t="shared" ref="D49:M49" si="33">(((D12-D35)/$B$6)/$B$7)*$B$3</f>
        <v>75.701441040559445</v>
      </c>
      <c r="E49" s="39">
        <f t="shared" si="33"/>
        <v>2008.1344067362813</v>
      </c>
      <c r="F49" s="39">
        <f t="shared" si="33"/>
        <v>1.5427146784283897E-11</v>
      </c>
      <c r="G49" s="39">
        <f t="shared" si="33"/>
        <v>0</v>
      </c>
      <c r="H49" s="39">
        <f t="shared" si="33"/>
        <v>7.7135733921419487E-12</v>
      </c>
      <c r="I49" s="39">
        <f t="shared" si="33"/>
        <v>7.7135733921419487E-12</v>
      </c>
      <c r="J49" s="39">
        <f t="shared" si="33"/>
        <v>0</v>
      </c>
      <c r="K49" s="39">
        <f t="shared" si="33"/>
        <v>0</v>
      </c>
      <c r="L49" s="39">
        <f t="shared" si="33"/>
        <v>1.5427146784283897E-11</v>
      </c>
      <c r="M49" s="39">
        <f t="shared" si="33"/>
        <v>1.5427146784283897E-11</v>
      </c>
      <c r="N49" s="40">
        <f t="shared" si="31"/>
        <v>65312.203093976175</v>
      </c>
    </row>
    <row r="50" spans="1:14" x14ac:dyDescent="0.2">
      <c r="A50" s="41" t="s">
        <v>50</v>
      </c>
      <c r="B50" s="40">
        <f>SUM(B47:B49)</f>
        <v>361869.65684894752</v>
      </c>
      <c r="C50" s="40">
        <f t="shared" ref="C50:M50" si="34">SUM(C47:C49)</f>
        <v>307163.57396031823</v>
      </c>
      <c r="D50" s="40">
        <f t="shared" si="34"/>
        <v>348451.364419461</v>
      </c>
      <c r="E50" s="40">
        <f t="shared" si="34"/>
        <v>307833.64288352645</v>
      </c>
      <c r="F50" s="40">
        <f t="shared" si="34"/>
        <v>321399.54942454689</v>
      </c>
      <c r="G50" s="40">
        <f t="shared" si="34"/>
        <v>384518.14659162745</v>
      </c>
      <c r="H50" s="40">
        <f t="shared" si="34"/>
        <v>370066.53597498598</v>
      </c>
      <c r="I50" s="40">
        <f t="shared" si="34"/>
        <v>421348.58755065151</v>
      </c>
      <c r="J50" s="40">
        <f t="shared" si="34"/>
        <v>389612.65698689217</v>
      </c>
      <c r="K50" s="40">
        <f t="shared" si="34"/>
        <v>358441.84589887096</v>
      </c>
      <c r="L50" s="40">
        <f t="shared" si="34"/>
        <v>351882.94405099261</v>
      </c>
      <c r="M50" s="40">
        <f t="shared" si="34"/>
        <v>276276.81016970589</v>
      </c>
      <c r="N50" s="40">
        <f t="shared" si="31"/>
        <v>4198865.3147605266</v>
      </c>
    </row>
    <row r="51" spans="1:14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2"/>
    </row>
    <row r="52" spans="1:14" x14ac:dyDescent="0.2">
      <c r="A52" s="42" t="s">
        <v>51</v>
      </c>
      <c r="B52" s="43">
        <f>B16-B50</f>
        <v>300331.20408790954</v>
      </c>
      <c r="C52" s="43">
        <f t="shared" ref="C52:M52" si="35">C16-C50</f>
        <v>238554.84271588828</v>
      </c>
      <c r="D52" s="43">
        <f t="shared" si="35"/>
        <v>298545.72729747486</v>
      </c>
      <c r="E52" s="43">
        <f t="shared" si="35"/>
        <v>269009.71173089294</v>
      </c>
      <c r="F52" s="43">
        <f t="shared" si="35"/>
        <v>232388.50228193298</v>
      </c>
      <c r="G52" s="43">
        <f t="shared" si="35"/>
        <v>211075.8108947883</v>
      </c>
      <c r="H52" s="43">
        <f t="shared" si="35"/>
        <v>199377.02192561975</v>
      </c>
      <c r="I52" s="43">
        <f t="shared" si="35"/>
        <v>212362.53195215494</v>
      </c>
      <c r="J52" s="43">
        <f t="shared" si="35"/>
        <v>225849.59104611207</v>
      </c>
      <c r="K52" s="43">
        <f t="shared" si="35"/>
        <v>222944.78256531968</v>
      </c>
      <c r="L52" s="43">
        <f t="shared" si="35"/>
        <v>245522.55695352354</v>
      </c>
      <c r="M52" s="43">
        <f t="shared" si="35"/>
        <v>217953.71407864004</v>
      </c>
      <c r="N52" s="43">
        <f t="shared" si="31"/>
        <v>2873915.9975302569</v>
      </c>
    </row>
    <row r="53" spans="1:14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22"/>
    </row>
    <row r="54" spans="1:14" x14ac:dyDescent="0.2">
      <c r="A54" s="17" t="s">
        <v>52</v>
      </c>
      <c r="B54" s="17">
        <f>$I$6</f>
        <v>690</v>
      </c>
      <c r="C54" s="17">
        <f t="shared" ref="C54:M54" si="36">$I$6</f>
        <v>690</v>
      </c>
      <c r="D54" s="17">
        <f t="shared" si="36"/>
        <v>690</v>
      </c>
      <c r="E54" s="17">
        <f t="shared" si="36"/>
        <v>690</v>
      </c>
      <c r="F54" s="17">
        <f t="shared" si="36"/>
        <v>690</v>
      </c>
      <c r="G54" s="17">
        <f t="shared" si="36"/>
        <v>690</v>
      </c>
      <c r="H54" s="17">
        <f t="shared" si="36"/>
        <v>690</v>
      </c>
      <c r="I54" s="17">
        <f t="shared" si="36"/>
        <v>690</v>
      </c>
      <c r="J54" s="17">
        <f t="shared" si="36"/>
        <v>690</v>
      </c>
      <c r="K54" s="17">
        <f t="shared" si="36"/>
        <v>690</v>
      </c>
      <c r="L54" s="17">
        <f t="shared" si="36"/>
        <v>690</v>
      </c>
      <c r="M54" s="17">
        <f t="shared" si="36"/>
        <v>690</v>
      </c>
      <c r="N54" s="22">
        <f t="shared" si="31"/>
        <v>8280</v>
      </c>
    </row>
    <row r="55" spans="1:1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2"/>
    </row>
    <row r="56" spans="1:14" x14ac:dyDescent="0.2">
      <c r="A56" s="17" t="s">
        <v>61</v>
      </c>
      <c r="B56" s="23">
        <f>(0.0088*$I$3+0.9064)*B54*$B$5</f>
        <v>37524.960000000006</v>
      </c>
      <c r="C56" s="23">
        <f t="shared" ref="C56:M56" si="37">(0.0088*$I$3+0.9064)*C54*$B$5</f>
        <v>37524.960000000006</v>
      </c>
      <c r="D56" s="23">
        <f t="shared" si="37"/>
        <v>37524.960000000006</v>
      </c>
      <c r="E56" s="23">
        <f t="shared" si="37"/>
        <v>37524.960000000006</v>
      </c>
      <c r="F56" s="23">
        <f t="shared" si="37"/>
        <v>37524.960000000006</v>
      </c>
      <c r="G56" s="23">
        <f t="shared" si="37"/>
        <v>37524.960000000006</v>
      </c>
      <c r="H56" s="23">
        <f t="shared" si="37"/>
        <v>37524.960000000006</v>
      </c>
      <c r="I56" s="23">
        <f t="shared" si="37"/>
        <v>37524.960000000006</v>
      </c>
      <c r="J56" s="23">
        <f t="shared" si="37"/>
        <v>37524.960000000006</v>
      </c>
      <c r="K56" s="23">
        <f t="shared" si="37"/>
        <v>37524.960000000006</v>
      </c>
      <c r="L56" s="23">
        <f t="shared" si="37"/>
        <v>37524.960000000006</v>
      </c>
      <c r="M56" s="23">
        <f t="shared" si="37"/>
        <v>37524.960000000006</v>
      </c>
      <c r="N56" s="22">
        <f t="shared" si="31"/>
        <v>450299.52000000019</v>
      </c>
    </row>
    <row r="57" spans="1:1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2"/>
    </row>
    <row r="58" spans="1:14" x14ac:dyDescent="0.2">
      <c r="A58" s="17" t="s">
        <v>63</v>
      </c>
      <c r="B58" s="17">
        <v>0</v>
      </c>
      <c r="C58" s="17">
        <v>1</v>
      </c>
      <c r="D58" s="17">
        <v>2</v>
      </c>
      <c r="E58" s="17">
        <v>3</v>
      </c>
      <c r="F58" s="17">
        <v>4</v>
      </c>
      <c r="G58" s="17">
        <v>5</v>
      </c>
      <c r="H58" s="17">
        <v>6</v>
      </c>
      <c r="I58" s="17">
        <v>7</v>
      </c>
      <c r="J58" s="17">
        <v>8</v>
      </c>
      <c r="K58" s="17">
        <v>9</v>
      </c>
      <c r="L58" s="17">
        <v>10</v>
      </c>
      <c r="M58" s="17">
        <v>11</v>
      </c>
      <c r="N58" s="25"/>
    </row>
    <row r="59" spans="1:14" x14ac:dyDescent="0.2">
      <c r="A59" s="17" t="s">
        <v>64</v>
      </c>
      <c r="B59" s="23">
        <f>-$N$64</f>
        <v>-4417338.1928163217</v>
      </c>
      <c r="C59" s="23">
        <f>B59+$N$62</f>
        <v>-1993721.7152860649</v>
      </c>
      <c r="D59" s="23">
        <f t="shared" ref="D59:M59" si="38">C59+$N$62</f>
        <v>429894.76224419195</v>
      </c>
      <c r="E59" s="23">
        <f t="shared" si="38"/>
        <v>2853511.2397744488</v>
      </c>
      <c r="F59" s="23">
        <f t="shared" si="38"/>
        <v>5277127.7173047056</v>
      </c>
      <c r="G59" s="23">
        <f t="shared" si="38"/>
        <v>7700744.1948349625</v>
      </c>
      <c r="H59" s="23">
        <f t="shared" si="38"/>
        <v>10124360.672365218</v>
      </c>
      <c r="I59" s="23">
        <f t="shared" si="38"/>
        <v>12547977.149895474</v>
      </c>
      <c r="J59" s="23">
        <f t="shared" si="38"/>
        <v>14971593.62742573</v>
      </c>
      <c r="K59" s="23">
        <f t="shared" si="38"/>
        <v>17395210.104955986</v>
      </c>
      <c r="L59" s="23">
        <f t="shared" si="38"/>
        <v>19818826.582486242</v>
      </c>
      <c r="M59" s="23">
        <f t="shared" si="38"/>
        <v>22242443.060016498</v>
      </c>
      <c r="N59" s="25"/>
    </row>
    <row r="60" spans="1:1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</row>
    <row r="61" spans="1:1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</row>
    <row r="62" spans="1:14" x14ac:dyDescent="0.2">
      <c r="A62" s="36" t="s">
        <v>59</v>
      </c>
      <c r="B62" s="34">
        <f t="shared" ref="B62:M62" si="39">B52-B56</f>
        <v>262806.24408790952</v>
      </c>
      <c r="C62" s="34">
        <f t="shared" si="39"/>
        <v>201029.88271588826</v>
      </c>
      <c r="D62" s="34">
        <f t="shared" si="39"/>
        <v>261020.76729747484</v>
      </c>
      <c r="E62" s="34">
        <f t="shared" si="39"/>
        <v>231484.75173089292</v>
      </c>
      <c r="F62" s="34">
        <f t="shared" si="39"/>
        <v>194863.54228193295</v>
      </c>
      <c r="G62" s="34">
        <f t="shared" si="39"/>
        <v>173550.85089478828</v>
      </c>
      <c r="H62" s="34">
        <f t="shared" si="39"/>
        <v>161852.06192561972</v>
      </c>
      <c r="I62" s="34">
        <f t="shared" si="39"/>
        <v>174837.57195215492</v>
      </c>
      <c r="J62" s="34">
        <f t="shared" si="39"/>
        <v>188324.63104611204</v>
      </c>
      <c r="K62" s="34">
        <f t="shared" si="39"/>
        <v>185419.82256531966</v>
      </c>
      <c r="L62" s="34">
        <f t="shared" si="39"/>
        <v>207997.59695352352</v>
      </c>
      <c r="M62" s="34">
        <f t="shared" si="39"/>
        <v>180428.75407864002</v>
      </c>
      <c r="N62" s="34">
        <f>SUM(B62:M62)</f>
        <v>2423616.4775302568</v>
      </c>
    </row>
    <row r="64" spans="1:14" x14ac:dyDescent="0.2">
      <c r="A64" s="36" t="s">
        <v>62</v>
      </c>
      <c r="B64" s="1"/>
      <c r="C64" s="1"/>
      <c r="D64" s="10" t="s">
        <v>68</v>
      </c>
      <c r="E64" s="11"/>
      <c r="F64" s="11"/>
      <c r="G64" s="11"/>
      <c r="H64" s="11"/>
      <c r="I64" s="11"/>
      <c r="J64" s="11"/>
      <c r="K64" s="12"/>
      <c r="L64" s="1"/>
      <c r="M64" s="1"/>
      <c r="N64" s="34">
        <f>3388.9*POWER($I$3,-0.216)*$I$3*$B$5</f>
        <v>4417338.1928163217</v>
      </c>
    </row>
    <row r="65" spans="1:14" ht="16" x14ac:dyDescent="0.2">
      <c r="C65" s="4"/>
    </row>
    <row r="66" spans="1:14" x14ac:dyDescent="0.2">
      <c r="A66" s="36" t="s">
        <v>65</v>
      </c>
      <c r="E66" s="5" t="s">
        <v>69</v>
      </c>
      <c r="F66" s="6">
        <f>(1-(1/((($I$4/$I$5*100)*0.95/90) +(($I$3/$I$5*100)/48.5625) )))*100</f>
        <v>27.617006140834576</v>
      </c>
      <c r="G66" s="9" t="str">
        <f>IF($F$66&gt;10,"&gt;10","&lt;10")</f>
        <v>&gt;10</v>
      </c>
      <c r="H66" s="7" t="str">
        <f>IF($F$66&gt;10, "(High Efficiency Co-Gen Application)", "(Low Efficiency Co-Gen Application)")</f>
        <v>(High Efficiency Co-Gen Application)</v>
      </c>
      <c r="I66" s="7"/>
      <c r="J66" s="8"/>
      <c r="N66" s="44">
        <f>N64/N62</f>
        <v>1.8226226111970205</v>
      </c>
    </row>
  </sheetData>
  <mergeCells count="7">
    <mergeCell ref="D64:K64"/>
    <mergeCell ref="A1:N1"/>
    <mergeCell ref="D3:H3"/>
    <mergeCell ref="D4:H4"/>
    <mergeCell ref="D5:H5"/>
    <mergeCell ref="D6:H6"/>
    <mergeCell ref="K3:L3"/>
  </mergeCells>
  <pageMargins left="0.25" right="0.25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Toprak</dc:creator>
  <cp:lastModifiedBy>Kaan Mehmet TOPRAK</cp:lastModifiedBy>
  <cp:lastPrinted>2023-05-31T15:13:53Z</cp:lastPrinted>
  <dcterms:created xsi:type="dcterms:W3CDTF">2015-06-05T18:19:34Z</dcterms:created>
  <dcterms:modified xsi:type="dcterms:W3CDTF">2023-05-31T15:21:52Z</dcterms:modified>
</cp:coreProperties>
</file>