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10.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drawings/drawing10.xml" ContentType="application/vnd.openxmlformats-officedocument.drawing+xml"/>
  <Override PartName="/xl/tables/table7.xml" ContentType="application/vnd.openxmlformats-officedocument.spreadsheetml.table+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aile\OneDrive\Desktop\"/>
    </mc:Choice>
  </mc:AlternateContent>
  <xr:revisionPtr revIDLastSave="0" documentId="8_{3811EE5C-5791-4F1D-BA36-DC65FFB822EE}" xr6:coauthVersionLast="47" xr6:coauthVersionMax="47" xr10:uidLastSave="{00000000-0000-0000-0000-000000000000}"/>
  <bookViews>
    <workbookView xWindow="-108" yWindow="-108" windowWidth="23256" windowHeight="12456" firstSheet="1" activeTab="11" xr2:uid="{3F396370-2144-4D01-B693-F4E0D3CB5C02}"/>
  </bookViews>
  <sheets>
    <sheet name="Master Data WIP" sheetId="13" r:id="rId1"/>
    <sheet name="Master" sheetId="1" r:id="rId2"/>
    <sheet name="1" sheetId="2" r:id="rId3"/>
    <sheet name="2.a" sheetId="3" r:id="rId4"/>
    <sheet name="2.b" sheetId="4" r:id="rId5"/>
    <sheet name="3.a" sheetId="5" r:id="rId6"/>
    <sheet name="3.b" sheetId="6" r:id="rId7"/>
    <sheet name="4.a" sheetId="7" r:id="rId8"/>
    <sheet name="4.b" sheetId="8" r:id="rId9"/>
    <sheet name="5" sheetId="10" r:id="rId10"/>
    <sheet name="Sheet1" sheetId="18" r:id="rId11"/>
    <sheet name="6" sheetId="11" r:id="rId12"/>
  </sheets>
  <definedNames>
    <definedName name="Slicer_Country">#N/A</definedName>
    <definedName name="Slicer_Country1">#N/A</definedName>
    <definedName name="Slicer_Department">#N/A</definedName>
    <definedName name="Slicer_Department1">#N/A</definedName>
    <definedName name="Slicer_Employee">#N/A</definedName>
    <definedName name="Slicer_Yearly_Sal">#N/A</definedName>
  </definedNames>
  <calcPr calcId="191029"/>
  <pivotCaches>
    <pivotCache cacheId="0" r:id="rId13"/>
    <pivotCache cacheId="1" r:id="rId14"/>
    <pivotCache cacheId="8"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5" i="11" l="1" a="1"/>
  <c r="R55" i="11" s="1"/>
  <c r="S55" i="11" s="1"/>
  <c r="R54" i="11"/>
  <c r="S54" i="11" s="1"/>
  <c r="R54" i="11" a="1"/>
  <c r="R53" i="11"/>
  <c r="S53" i="11" s="1"/>
  <c r="R53" i="11" a="1"/>
  <c r="R52" i="11"/>
  <c r="S52" i="11" s="1"/>
  <c r="R52" i="11" a="1"/>
  <c r="S51" i="11"/>
  <c r="R51" i="11"/>
  <c r="R51" i="11" a="1"/>
  <c r="S50" i="11"/>
  <c r="R50" i="11"/>
  <c r="R50" i="11" a="1"/>
  <c r="R49" i="11" a="1"/>
  <c r="R49" i="11" s="1"/>
  <c r="S49" i="11" s="1"/>
  <c r="R48" i="11" a="1"/>
  <c r="R48" i="11" s="1"/>
  <c r="S48" i="11" s="1"/>
  <c r="R47" i="11" a="1"/>
  <c r="R47" i="11" s="1"/>
  <c r="S47" i="11" s="1"/>
  <c r="R46" i="11"/>
  <c r="S46" i="11" s="1"/>
  <c r="R46" i="11" a="1"/>
  <c r="R45" i="11"/>
  <c r="S45" i="11" s="1"/>
  <c r="R45" i="11" a="1"/>
  <c r="R44" i="11"/>
  <c r="S44" i="11" s="1"/>
  <c r="R44" i="11" a="1"/>
  <c r="S43" i="11"/>
  <c r="R43" i="11"/>
  <c r="R43" i="11" a="1"/>
  <c r="S42" i="11"/>
  <c r="R42" i="11"/>
  <c r="R42" i="11" a="1"/>
  <c r="R41" i="11" a="1"/>
  <c r="R41" i="11" s="1"/>
  <c r="S41" i="11" s="1"/>
  <c r="R40" i="11" a="1"/>
  <c r="R40" i="11" s="1"/>
  <c r="S40" i="11" s="1"/>
  <c r="R39" i="11" a="1"/>
  <c r="R39" i="11" s="1"/>
  <c r="S39" i="11" s="1"/>
  <c r="R38" i="11"/>
  <c r="S38" i="11" s="1"/>
  <c r="R38" i="11" a="1"/>
  <c r="R37" i="11"/>
  <c r="S37" i="11" s="1"/>
  <c r="R37" i="11" a="1"/>
  <c r="R36" i="11"/>
  <c r="S36" i="11" s="1"/>
  <c r="R36" i="11" a="1"/>
  <c r="S35" i="11"/>
  <c r="R35" i="11"/>
  <c r="R35" i="11" a="1"/>
  <c r="S34" i="11"/>
  <c r="R34" i="11"/>
  <c r="R34" i="11" a="1"/>
  <c r="R33" i="11" a="1"/>
  <c r="R33" i="11" s="1"/>
  <c r="S33" i="11" s="1"/>
  <c r="R32" i="11" a="1"/>
  <c r="R32" i="11" s="1"/>
  <c r="S32" i="11" s="1"/>
  <c r="R31" i="11" a="1"/>
  <c r="R31" i="11" s="1"/>
  <c r="S31" i="11" s="1"/>
  <c r="R30" i="11"/>
  <c r="S30" i="11" s="1"/>
  <c r="R30" i="11" a="1"/>
  <c r="R29" i="11"/>
  <c r="S29" i="11" s="1"/>
  <c r="R29" i="11" a="1"/>
  <c r="R28" i="11"/>
  <c r="S28" i="11" s="1"/>
  <c r="R28" i="11" a="1"/>
  <c r="S27" i="11"/>
  <c r="R27" i="11"/>
  <c r="R27" i="11" a="1"/>
  <c r="S26" i="11"/>
  <c r="R26" i="11"/>
  <c r="R26" i="11" a="1"/>
  <c r="R25" i="11" a="1"/>
  <c r="R25" i="11" s="1"/>
  <c r="S25" i="11" s="1"/>
  <c r="R24" i="11" a="1"/>
  <c r="R24" i="11" s="1"/>
  <c r="S24" i="11" s="1"/>
  <c r="R23" i="11" a="1"/>
  <c r="R23" i="11" s="1"/>
  <c r="S23" i="11" s="1"/>
  <c r="R22" i="11"/>
  <c r="S22" i="11" s="1"/>
  <c r="R22" i="11" a="1"/>
  <c r="R21" i="11"/>
  <c r="S21" i="11" s="1"/>
  <c r="R21" i="11" a="1"/>
  <c r="R20" i="11"/>
  <c r="S20" i="11" s="1"/>
  <c r="R20" i="11" a="1"/>
  <c r="R19" i="11" a="1"/>
  <c r="R19" i="11" s="1"/>
  <c r="S19" i="11" s="1"/>
  <c r="R18" i="11" a="1"/>
  <c r="R18" i="11" s="1"/>
  <c r="S18" i="11" s="1"/>
  <c r="R17" i="11" a="1"/>
  <c r="R17" i="11" s="1"/>
  <c r="S17" i="11" s="1"/>
  <c r="R16" i="11" a="1"/>
  <c r="R16" i="11" s="1"/>
  <c r="S16" i="11" s="1"/>
  <c r="R15" i="11" a="1"/>
  <c r="R15" i="11" s="1"/>
  <c r="S15" i="11" s="1"/>
  <c r="R14" i="11"/>
  <c r="S14" i="11" s="1"/>
  <c r="R14" i="11" a="1"/>
  <c r="R13" i="11"/>
  <c r="S13" i="11" s="1"/>
  <c r="R13" i="11" a="1"/>
  <c r="R12" i="11"/>
  <c r="S12" i="11" s="1"/>
  <c r="R12" i="11" a="1"/>
  <c r="R11" i="11" a="1"/>
  <c r="R11" i="11" s="1"/>
  <c r="S11" i="11" s="1"/>
  <c r="S10" i="11"/>
  <c r="R10" i="11"/>
  <c r="R10" i="11" a="1"/>
  <c r="R9" i="11" a="1"/>
  <c r="R9" i="11" s="1"/>
  <c r="S9" i="11" s="1"/>
  <c r="R8" i="11" a="1"/>
  <c r="R8" i="11" s="1"/>
  <c r="S8" i="11" s="1"/>
  <c r="R7" i="11" a="1"/>
  <c r="R7" i="11" s="1"/>
  <c r="S7" i="11" s="1"/>
  <c r="R6" i="11"/>
  <c r="S6" i="11" s="1"/>
  <c r="R6" i="11" a="1"/>
  <c r="H17" i="10"/>
  <c r="G17" i="10" a="1"/>
  <c r="G17" i="10" s="1"/>
  <c r="H16" i="10"/>
  <c r="G16" i="10" a="1"/>
  <c r="G16" i="10" s="1"/>
  <c r="H15" i="10"/>
  <c r="G15" i="10" a="1"/>
  <c r="G15" i="10" s="1"/>
  <c r="H14" i="10"/>
  <c r="G14" i="10"/>
  <c r="G14" i="10" a="1"/>
  <c r="H13" i="10"/>
  <c r="G13" i="10"/>
  <c r="G13" i="10" a="1"/>
  <c r="H12" i="10"/>
  <c r="G12" i="10" a="1"/>
  <c r="G12" i="10" s="1"/>
  <c r="H11" i="10"/>
  <c r="G11" i="10"/>
  <c r="G11" i="10" a="1"/>
  <c r="H10" i="10"/>
  <c r="G10" i="10" a="1"/>
  <c r="G10" i="10" s="1"/>
  <c r="H9" i="10"/>
  <c r="G9" i="10" a="1"/>
  <c r="G9" i="10" s="1"/>
  <c r="H8" i="10"/>
  <c r="G8" i="10" a="1"/>
  <c r="G8" i="10" s="1"/>
  <c r="H7" i="10"/>
  <c r="G7" i="10" a="1"/>
  <c r="G7" i="10" s="1"/>
  <c r="H6" i="10"/>
  <c r="G6" i="10"/>
  <c r="G6" i="10" a="1"/>
  <c r="H5" i="10"/>
  <c r="G5" i="10"/>
  <c r="G5" i="10" a="1"/>
  <c r="H4" i="10"/>
  <c r="G4" i="10" a="1"/>
  <c r="G4" i="10" s="1"/>
  <c r="R35" i="10" a="1"/>
  <c r="R35" i="10" s="1"/>
  <c r="S35" i="10" s="1"/>
  <c r="R25" i="10" a="1"/>
  <c r="R25" i="10" s="1"/>
  <c r="S25" i="10" s="1"/>
  <c r="R44" i="10" a="1"/>
  <c r="R44" i="10" s="1"/>
  <c r="S44" i="10" s="1"/>
  <c r="R45" i="10" a="1"/>
  <c r="R45" i="10" s="1"/>
  <c r="S45" i="10" s="1"/>
  <c r="R21" i="10" a="1"/>
  <c r="R21" i="10" s="1"/>
  <c r="S21" i="10" s="1"/>
  <c r="R27" i="10" a="1"/>
  <c r="R27" i="10" s="1"/>
  <c r="S27" i="10" s="1"/>
  <c r="R36" i="10" a="1"/>
  <c r="R36" i="10" s="1"/>
  <c r="S36" i="10" s="1"/>
  <c r="R50" i="10" a="1"/>
  <c r="R50" i="10" s="1"/>
  <c r="S50" i="10" s="1"/>
  <c r="R49" i="10" a="1"/>
  <c r="R49" i="10" s="1"/>
  <c r="S49" i="10" s="1"/>
  <c r="R38" i="10" a="1"/>
  <c r="R38" i="10" s="1"/>
  <c r="S38" i="10" s="1"/>
  <c r="R39" i="10" a="1"/>
  <c r="R39" i="10" s="1"/>
  <c r="S39" i="10" s="1"/>
  <c r="R13" i="10" a="1"/>
  <c r="R13" i="10" s="1"/>
  <c r="S13" i="10" s="1"/>
  <c r="R10" i="10" a="1"/>
  <c r="R10" i="10" s="1"/>
  <c r="S10" i="10" s="1"/>
  <c r="R51" i="10" a="1"/>
  <c r="R51" i="10" s="1"/>
  <c r="S51" i="10" s="1"/>
  <c r="R29" i="10" a="1"/>
  <c r="R29" i="10" s="1"/>
  <c r="S29" i="10" s="1"/>
  <c r="R18" i="10" a="1"/>
  <c r="R18" i="10" s="1"/>
  <c r="S18" i="10" s="1"/>
  <c r="R5" i="10" a="1"/>
  <c r="R5" i="10" s="1"/>
  <c r="S5" i="10" s="1"/>
  <c r="R47" i="10" a="1"/>
  <c r="R47" i="10" s="1"/>
  <c r="S47" i="10" s="1"/>
  <c r="R32" i="10" a="1"/>
  <c r="R32" i="10" s="1"/>
  <c r="S32" i="10" s="1"/>
  <c r="R30" i="10" a="1"/>
  <c r="R30" i="10" s="1"/>
  <c r="S30" i="10" s="1"/>
  <c r="R46" i="10" a="1"/>
  <c r="R46" i="10" s="1"/>
  <c r="S46" i="10" s="1"/>
  <c r="R9" i="10" a="1"/>
  <c r="R9" i="10" s="1"/>
  <c r="S9" i="10" s="1"/>
  <c r="R17" i="10" a="1"/>
  <c r="R17" i="10" s="1"/>
  <c r="S17" i="10" s="1"/>
  <c r="R41" i="10" a="1"/>
  <c r="R41" i="10" s="1"/>
  <c r="S41" i="10" s="1"/>
  <c r="R26" i="10" a="1"/>
  <c r="R26" i="10" s="1"/>
  <c r="S26" i="10" s="1"/>
  <c r="R22" i="10" a="1"/>
  <c r="R22" i="10" s="1"/>
  <c r="S22" i="10" s="1"/>
  <c r="R48" i="10" a="1"/>
  <c r="R48" i="10" s="1"/>
  <c r="S48" i="10" s="1"/>
  <c r="R33" i="10" a="1"/>
  <c r="R33" i="10" s="1"/>
  <c r="S33" i="10" s="1"/>
  <c r="R28" i="10" a="1"/>
  <c r="R28" i="10" s="1"/>
  <c r="S28" i="10" s="1"/>
  <c r="R11" i="10" a="1"/>
  <c r="R11" i="10" s="1"/>
  <c r="S11" i="10" s="1"/>
  <c r="R52" i="10" a="1"/>
  <c r="R52" i="10" s="1"/>
  <c r="S52" i="10" s="1"/>
  <c r="R15" i="10" a="1"/>
  <c r="R15" i="10" s="1"/>
  <c r="S15" i="10" s="1"/>
  <c r="R19" i="10" a="1"/>
  <c r="R19" i="10" s="1"/>
  <c r="S19" i="10" s="1"/>
  <c r="R42" i="10" a="1"/>
  <c r="R42" i="10" s="1"/>
  <c r="S42" i="10" s="1"/>
  <c r="R40" i="10" a="1"/>
  <c r="R40" i="10" s="1"/>
  <c r="S40" i="10" s="1"/>
  <c r="R24" i="10" a="1"/>
  <c r="R24" i="10" s="1"/>
  <c r="S24" i="10" s="1"/>
  <c r="R54" i="10" a="1"/>
  <c r="R54" i="10" s="1"/>
  <c r="S54" i="10" s="1"/>
  <c r="R20" i="10" a="1"/>
  <c r="R20" i="10" s="1"/>
  <c r="S20" i="10" s="1"/>
  <c r="R53" i="10" a="1"/>
  <c r="R53" i="10" s="1"/>
  <c r="S53" i="10" s="1"/>
  <c r="R16" i="10" a="1"/>
  <c r="R16" i="10" s="1"/>
  <c r="S16" i="10" s="1"/>
  <c r="R12" i="10" a="1"/>
  <c r="R12" i="10" s="1"/>
  <c r="S12" i="10" s="1"/>
  <c r="R37" i="10" a="1"/>
  <c r="R37" i="10" s="1"/>
  <c r="S37" i="10" s="1"/>
  <c r="R34" i="10" a="1"/>
  <c r="R34" i="10" s="1"/>
  <c r="S34" i="10" s="1"/>
  <c r="R31" i="10" a="1"/>
  <c r="R31" i="10" s="1"/>
  <c r="S31" i="10" s="1"/>
  <c r="R14" i="10" a="1"/>
  <c r="R14" i="10" s="1"/>
  <c r="S14" i="10" s="1"/>
  <c r="R23" i="10" a="1"/>
  <c r="R23" i="10" s="1"/>
  <c r="S23" i="10" s="1"/>
  <c r="R43" i="10" a="1"/>
  <c r="R43" i="10" s="1"/>
  <c r="S43" i="10" s="1"/>
  <c r="R6" i="10" a="1"/>
  <c r="R6" i="10" s="1"/>
  <c r="S6" i="10" s="1"/>
  <c r="R8" i="10" a="1"/>
  <c r="R8" i="10" s="1"/>
  <c r="S8" i="10" s="1"/>
  <c r="R7" i="10" a="1"/>
  <c r="R7" i="10" s="1"/>
  <c r="S7" i="10" s="1"/>
  <c r="E5" i="3"/>
  <c r="E6" i="3"/>
  <c r="E4" i="3"/>
  <c r="D4" i="3"/>
  <c r="D5" i="3"/>
  <c r="D6" i="3"/>
  <c r="C4" i="3" a="1"/>
  <c r="C4" i="3" s="1"/>
  <c r="D6" i="2"/>
  <c r="D7" i="2"/>
  <c r="D8" i="2"/>
  <c r="D5" i="2"/>
  <c r="D4" i="2"/>
  <c r="D3" i="2"/>
  <c r="O29" i="13"/>
  <c r="O28" i="13"/>
  <c r="O27" i="13"/>
  <c r="O26" i="13"/>
  <c r="O25" i="13"/>
  <c r="O24" i="13"/>
  <c r="E54" i="13"/>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<sst xmlns="http://schemas.openxmlformats.org/spreadsheetml/2006/main" count="1375" uniqueCount="157">
  <si>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</si>
  <si>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</si>
  <si>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</si>
  <si>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</si>
  <si>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</si>
  <si>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</si>
  <si>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</si>
  <si>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</si>
  <si>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</si>
  <si>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</si>
  <si>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</si>
  <si>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</si>
  <si>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</si>
  <si>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</si>
  <si>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</si>
  <si>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</si>
  <si>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</si>
  <si>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</si>
  <si>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</si>
  <si>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</si>
  <si>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</si>
  <si>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</si>
  <si>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</si>
  <si>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</si>
  <si>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</si>
  <si>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</si>
  <si>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</si>
  <si>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</si>
  <si>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</si>
  <si>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</si>
  <si>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</si>
  <si>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</si>
  <si>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</si>
  <si>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</si>
  <si>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</si>
  <si>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</si>
  <si>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</si>
  <si>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</si>
  <si>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</si>
  <si>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</si>
  <si>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</si>
  <si>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</si>
  <si>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</si>
  <si>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</si>
  <si>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</si>
  <si>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</si>
  <si>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</si>
  <si>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</si>
  <si>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</si>
  <si>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</si>
  <si>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</si>
  <si>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</si>
  <si>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</si>
  <si>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</si>
  <si>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</si>
  <si>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</si>
  <si>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</si>
  <si>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</si>
  <si>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</si>
  <si>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</si>
  <si>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</si>
  <si>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</si>
  <si>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</si>
  <si>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</si>
  <si>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</si>
  <si>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</si>
  <si>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</si>
  <si>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</si>
  <si>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</si>
  <si>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</si>
  <si>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</si>
  <si>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</si>
  <si>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</si>
  <si>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</si>
  <si>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</si>
  <si>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</si>
  <si>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</si>
  <si>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</si>
  <si>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</si>
  <si>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</si>
  <si>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</si>
  <si>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</si>
  <si>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</si>
  <si>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</si>
  <si>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</si>
  <si>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</si>
  <si>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</si>
  <si>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</si>
  <si>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</si>
  <si>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</si>
  <si>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</si>
  <si>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</si>
  <si>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</si>
  <si>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</si>
  <si>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</si>
  <si>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</si>
  <si>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</si>
  <si>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</si>
  <si>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</si>
  <si>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</si>
  <si>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</si>
  <si>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</si>
  <si>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</si>
  <si>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</si>
  <si>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</si>
  <si>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</si>
  <si>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</si>
  <si>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</si>
  <si>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</si>
  <si>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</si>
  <si>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</si>
  <si>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</si>
  <si>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</si>
  <si>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</si>
  <si>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</si>
  <si>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</si>
  <si>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</si>
  <si>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</si>
  <si>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</si>
  <si>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</si>
  <si>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</si>
  <si>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</si>
  <si>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</si>
  <si>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</si>
  <si>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</si>
  <si>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</si>
  <si>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</si>
  <si>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</si>
  <si>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</si>
  <si>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</si>
  <si>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</si>
  <si>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</si>
  <si>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</si>
  <si>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</si>
  <si>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</si>
  <si>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</si>
  <si>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</si>
  <si>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</si>
  <si>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</si>
  <si>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</si>
  <si>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</si>
  <si>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</si>
  <si>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 xml:space="preserve"> </t>
  </si>
  <si>
    <t>Output should look like below</t>
  </si>
  <si>
    <t>Output should look like below.</t>
  </si>
  <si>
    <t>Statistical Methods - Emp Salary</t>
  </si>
  <si>
    <t>Tim Watson</t>
  </si>
  <si>
    <t>EMP Salary</t>
  </si>
  <si>
    <t>#</t>
  </si>
  <si>
    <t>Mode</t>
  </si>
  <si>
    <t>Sum of Salaries</t>
  </si>
  <si>
    <t>Sum of Yearly Sal</t>
  </si>
  <si>
    <t>Row Labels</t>
  </si>
  <si>
    <t>Grand Total</t>
  </si>
  <si>
    <t>Salary</t>
  </si>
  <si>
    <t>Bounus $</t>
  </si>
  <si>
    <t>Sum of Bounus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</si>
</sst>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sz val="11"/>
      <color theme="0"/>
      <name val="Calibri"/>
      <family val="2"/>
      <scheme val="minor"/>
    </font>
    <font>
      <sz val="11"/>
      <color rgb="FFFF0000"/>
      <name val="Calibri"/>
      <family val="2"/>
      <scheme val="minor"/>
    </font>
    <font>
      <b/>
      <sz val="11"/>
      <color theme="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0"/>
        <bgColor indexed="64"/>
      </patternFill>
    </fill>
    <fill>
      <patternFill patternType="solid">
        <fgColor rgb="FF0066FF"/>
        <bgColor indexed="64"/>
      </patternFill>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6">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0" fillId="4" borderId="0" xfId="0" applyFill="1" applyAlignment="1">
      <alignment horizontal="center"/>
    </xf>
    <xf numFmtId="0" fontId="0" fillId="4" borderId="1" xfId="0" applyFill="1" applyBorder="1" applyAlignment="1">
      <alignment horizontal="center"/>
    </xf>
    <xf numFmtId="0" fontId="0" fillId="0" borderId="1" xfId="0" applyBorder="1" applyAlignment="1">
      <alignment horizontal="center"/>
    </xf>
    <xf numFmtId="44" fontId="0" fillId="0" borderId="1" xfId="2" applyFont="1" applyBorder="1"/>
    <xf numFmtId="0" fontId="5" fillId="6" borderId="0" xfId="0" applyFont="1" applyFill="1" applyAlignment="1">
      <alignment horizontal="center"/>
    </xf>
    <xf numFmtId="0" fontId="5" fillId="5" borderId="0" xfId="0" applyFont="1" applyFill="1" applyAlignment="1">
      <alignment horizontal="center"/>
    </xf>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vertical="center"/>
    </xf>
    <xf numFmtId="0" fontId="4" fillId="3" borderId="0" xfId="0" applyFont="1" applyFill="1" applyAlignment="1">
      <alignment vertical="center"/>
    </xf>
    <xf numFmtId="44" fontId="0" fillId="0" borderId="0" xfId="2" applyFont="1" applyAlignment="1">
      <alignment vertical="center"/>
    </xf>
    <xf numFmtId="0" fontId="0" fillId="0" borderId="1" xfId="0" pivotButton="1" applyBorder="1"/>
    <xf numFmtId="0" fontId="0" fillId="0" borderId="1" xfId="0" applyBorder="1" applyAlignment="1">
      <alignment horizontal="center" vertical="center"/>
    </xf>
    <xf numFmtId="0" fontId="0" fillId="0" borderId="1" xfId="0" applyBorder="1" applyAlignment="1">
      <alignment horizontal="left"/>
    </xf>
    <xf numFmtId="44" fontId="0" fillId="0" borderId="1" xfId="0" applyNumberFormat="1" applyBorder="1" applyAlignment="1">
      <alignment vertical="center"/>
    </xf>
    <xf numFmtId="44" fontId="0" fillId="0" borderId="1" xfId="0" applyNumberFormat="1" applyBorder="1"/>
    <xf numFmtId="0" fontId="0" fillId="0" borderId="0" xfId="0" applyAlignment="1">
      <alignment horizontal="left" indent="1"/>
    </xf>
    <xf numFmtId="0" fontId="0" fillId="0" borderId="1" xfId="0" applyBorder="1" applyAlignment="1">
      <alignment horizontal="left" indent="1"/>
    </xf>
    <xf numFmtId="0" fontId="6" fillId="0" borderId="2" xfId="0" applyFont="1" applyBorder="1"/>
    <xf numFmtId="9" fontId="6" fillId="0" borderId="1" xfId="0" applyNumberFormat="1" applyFont="1" applyBorder="1"/>
    <xf numFmtId="0" fontId="6" fillId="0" borderId="3" xfId="0" applyFont="1" applyBorder="1"/>
    <xf numFmtId="0" fontId="0" fillId="4" borderId="0" xfId="0" applyFill="1" applyAlignment="1">
      <alignment horizontal="center"/>
    </xf>
    <xf numFmtId="0" fontId="0" fillId="4" borderId="1" xfId="0" applyFill="1" applyBorder="1" applyAlignment="1">
      <alignment horizontal="center"/>
    </xf>
    <xf numFmtId="0" fontId="5" fillId="5" borderId="0" xfId="0" applyFont="1" applyFill="1" applyAlignment="1">
      <alignment horizontal="center"/>
    </xf>
    <xf numFmtId="0" fontId="0" fillId="5" borderId="0" xfId="0" applyFill="1" applyAlignment="1">
      <alignment horizontal="center"/>
    </xf>
    <xf numFmtId="0" fontId="5" fillId="6" borderId="0" xfId="0" applyFont="1" applyFill="1" applyAlignment="1">
      <alignment horizontal="center"/>
    </xf>
    <xf numFmtId="0" fontId="0" fillId="6" borderId="0" xfId="0" applyFill="1" applyAlignment="1">
      <alignment horizontal="center"/>
    </xf>
    <xf numFmtId="0" fontId="7" fillId="7" borderId="11" xfId="0" applyFont="1" applyFill="1" applyBorder="1"/>
    <xf numFmtId="0" fontId="0" fillId="8" borderId="11" xfId="0" applyFont="1" applyFill="1" applyBorder="1"/>
    <xf numFmtId="0" fontId="0" fillId="0" borderId="11" xfId="0" applyFont="1" applyBorder="1"/>
    <xf numFmtId="9" fontId="0" fillId="0" borderId="0" xfId="3" applyFont="1" applyAlignment="1">
      <alignment horizontal="center"/>
    </xf>
    <xf numFmtId="9" fontId="0" fillId="0" borderId="0" xfId="3" applyFont="1" applyFill="1" applyAlignment="1">
      <alignment horizontal="center"/>
    </xf>
    <xf numFmtId="44" fontId="0" fillId="0" borderId="0" xfId="2" applyFont="1" applyFill="1"/>
    <xf numFmtId="0" fontId="7" fillId="7" borderId="10" xfId="0" applyFont="1" applyFill="1" applyBorder="1"/>
    <xf numFmtId="9" fontId="7" fillId="7" borderId="11" xfId="3" applyNumberFormat="1" applyFont="1" applyFill="1" applyBorder="1" applyAlignment="1">
      <alignment horizontal="center"/>
    </xf>
    <xf numFmtId="44" fontId="7" fillId="7" borderId="12" xfId="2" applyNumberFormat="1" applyFont="1" applyFill="1" applyBorder="1"/>
    <xf numFmtId="0" fontId="0" fillId="8" borderId="10" xfId="0" applyFont="1" applyFill="1" applyBorder="1"/>
    <xf numFmtId="44" fontId="0" fillId="8" borderId="12" xfId="2" applyNumberFormat="1" applyFont="1" applyFill="1" applyBorder="1"/>
    <xf numFmtId="0" fontId="0" fillId="0" borderId="10" xfId="0" applyFont="1" applyBorder="1"/>
    <xf numFmtId="44" fontId="0" fillId="0" borderId="12" xfId="2" applyNumberFormat="1" applyFont="1" applyBorder="1"/>
    <xf numFmtId="0" fontId="2" fillId="8" borderId="13" xfId="0" applyFont="1" applyFill="1" applyBorder="1"/>
    <xf numFmtId="44" fontId="2" fillId="8" borderId="13" xfId="2" applyNumberFormat="1" applyFont="1" applyFill="1" applyBorder="1"/>
  </cellXfs>
  <cellStyles count="4">
    <cellStyle name="Comma" xfId="1" builtinId="3"/>
    <cellStyle name="Currency" xfId="2" builtinId="4"/>
    <cellStyle name="Normal" xfId="0" builtinId="0"/>
    <cellStyle name="Percent" xfId="3" builtinId="5"/>
  </cellStyles>
  <dxfs count="94">
    <dxf>
      <alignment horizontal="center" vertical="bottom" textRotation="0" wrapText="0" indent="0" justifyLastLine="0" shrinkToFit="0" readingOrder="0"/>
    </dxf>
    <dxf>
      <border outline="0">
        <left style="thin">
          <color rgb="FF000000"/>
        </left>
      </border>
    </dxf>
    <dxf>
      <alignment horizontal="center" vertical="bottom" textRotation="0" wrapText="0" indent="0" justifyLastLine="0" shrinkToFit="0" readingOrder="0"/>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outline="0">
        <left style="thin">
          <color rgb="FF000000"/>
        </left>
      </border>
    </dxf>
    <dxf>
      <numFmt numFmtId="34" formatCode="_(&quot;$&quot;* #,##0.00_);_(&quot;$&quot;* \(#,##0.00\);_(&quot;$&quot;* &quot;-&quot;??_);_(@_)"/>
    </dxf>
    <dxf>
      <alignment horizontal="center"/>
    </dxf>
    <dxf>
      <alignment horizontal="center"/>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alignment horizontal="center"/>
    </dxf>
    <dxf>
      <alignment vertical="center"/>
    </dxf>
    <dxf>
      <alignment vertical="cent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8</xdr:col>
      <xdr:colOff>140601</xdr:colOff>
      <xdr:row>21</xdr:row>
      <xdr:rowOff>57882</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0" y="2276475"/>
          <a:ext cx="5125986" cy="18562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59404</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10</xdr:col>
      <xdr:colOff>206103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383899</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251460</xdr:colOff>
      <xdr:row>3</xdr:row>
      <xdr:rowOff>152401</xdr:rowOff>
    </xdr:from>
    <xdr:to>
      <xdr:col>6</xdr:col>
      <xdr:colOff>38100</xdr:colOff>
      <xdr:row>9</xdr:row>
      <xdr:rowOff>160020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BC91E5B6-217C-3872-91E7-D83CB45DFB3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545080" y="982981"/>
              <a:ext cx="1615440" cy="1104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106680</xdr:colOff>
      <xdr:row>9</xdr:row>
      <xdr:rowOff>45720</xdr:rowOff>
    </xdr:from>
    <xdr:to>
      <xdr:col>14</xdr:col>
      <xdr:colOff>7620</xdr:colOff>
      <xdr:row>22</xdr:row>
      <xdr:rowOff>135255</xdr:rowOff>
    </xdr:to>
    <mc:AlternateContent xmlns:mc="http://schemas.openxmlformats.org/markup-compatibility/2006" xmlns:a14="http://schemas.microsoft.com/office/drawing/2010/main">
      <mc:Choice Requires="a14">
        <xdr:graphicFrame macro="">
          <xdr:nvGraphicFramePr>
            <xdr:cNvPr id="5" name="Employee">
              <a:extLst>
                <a:ext uri="{FF2B5EF4-FFF2-40B4-BE49-F238E27FC236}">
                  <a16:creationId xmlns:a16="http://schemas.microsoft.com/office/drawing/2014/main" id="{6F2E34C9-64DC-E202-2D76-5E9CB7036601}"/>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7886700" y="19735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350520</xdr:colOff>
      <xdr:row>9</xdr:row>
      <xdr:rowOff>53340</xdr:rowOff>
    </xdr:from>
    <xdr:to>
      <xdr:col>17</xdr:col>
      <xdr:colOff>350520</xdr:colOff>
      <xdr:row>22</xdr:row>
      <xdr:rowOff>142875</xdr:rowOff>
    </xdr:to>
    <mc:AlternateContent xmlns:mc="http://schemas.openxmlformats.org/markup-compatibility/2006" xmlns:a14="http://schemas.microsoft.com/office/drawing/2010/main">
      <mc:Choice Requires="a14">
        <xdr:graphicFrame macro="">
          <xdr:nvGraphicFramePr>
            <xdr:cNvPr id="6" name="Yearly Sal">
              <a:extLst>
                <a:ext uri="{FF2B5EF4-FFF2-40B4-BE49-F238E27FC236}">
                  <a16:creationId xmlns:a16="http://schemas.microsoft.com/office/drawing/2014/main" id="{27A57D19-152F-CE90-58CC-BED3DE90D42C}"/>
                </a:ext>
              </a:extLst>
            </xdr:cNvPr>
            <xdr:cNvGraphicFramePr/>
          </xdr:nvGraphicFramePr>
          <xdr:xfrm>
            <a:off x="0" y="0"/>
            <a:ext cx="0" cy="0"/>
          </xdr:xfrm>
          <a:graphic>
            <a:graphicData uri="http://schemas.microsoft.com/office/drawing/2010/slicer">
              <sle:slicer xmlns:sle="http://schemas.microsoft.com/office/drawing/2010/slicer" name="Yearly Sal"/>
            </a:graphicData>
          </a:graphic>
        </xdr:graphicFrame>
      </mc:Choice>
      <mc:Fallback xmlns="">
        <xdr:sp macro="" textlink="">
          <xdr:nvSpPr>
            <xdr:cNvPr id="0" name=""/>
            <xdr:cNvSpPr>
              <a:spLocks noTextEdit="1"/>
            </xdr:cNvSpPr>
          </xdr:nvSpPr>
          <xdr:spPr>
            <a:xfrm>
              <a:off x="10058400" y="19812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316519</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439759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541020</xdr:colOff>
      <xdr:row>2</xdr:row>
      <xdr:rowOff>121921</xdr:rowOff>
    </xdr:from>
    <xdr:to>
      <xdr:col>6</xdr:col>
      <xdr:colOff>464820</xdr:colOff>
      <xdr:row>9</xdr:row>
      <xdr:rowOff>22860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69CA5E5-BB54-33BD-B8C3-85DE6D35F03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002280" y="769621"/>
              <a:ext cx="175260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147605</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8</xdr:col>
      <xdr:colOff>152767</xdr:colOff>
      <xdr:row>36</xdr:row>
      <xdr:rowOff>50982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3390900"/>
          <a:ext cx="7010767" cy="352570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449580</xdr:colOff>
      <xdr:row>5</xdr:row>
      <xdr:rowOff>121921</xdr:rowOff>
    </xdr:from>
    <xdr:to>
      <xdr:col>7</xdr:col>
      <xdr:colOff>449580</xdr:colOff>
      <xdr:row>12</xdr:row>
      <xdr:rowOff>114301</xdr:rowOff>
    </xdr:to>
    <mc:AlternateContent xmlns:mc="http://schemas.openxmlformats.org/markup-compatibility/2006">
      <mc:Choice xmlns:a14="http://schemas.microsoft.com/office/drawing/2010/main" Requires="a14">
        <xdr:graphicFrame macro="">
          <xdr:nvGraphicFramePr>
            <xdr:cNvPr id="2" name="Department 1">
              <a:extLst>
                <a:ext uri="{FF2B5EF4-FFF2-40B4-BE49-F238E27FC236}">
                  <a16:creationId xmlns:a16="http://schemas.microsoft.com/office/drawing/2014/main" id="{18790A67-B4A5-0560-48CD-4E162B01141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4274820" y="1036321"/>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541020</xdr:colOff>
      <xdr:row>5</xdr:row>
      <xdr:rowOff>114301</xdr:rowOff>
    </xdr:from>
    <xdr:to>
      <xdr:col>11</xdr:col>
      <xdr:colOff>541020</xdr:colOff>
      <xdr:row>12</xdr:row>
      <xdr:rowOff>129541</xdr:rowOff>
    </xdr:to>
    <mc:AlternateContent xmlns:mc="http://schemas.openxmlformats.org/markup-compatibility/2006">
      <mc:Choice xmlns:a14="http://schemas.microsoft.com/office/drawing/2010/main" Requires="a14">
        <xdr:graphicFrame macro="">
          <xdr:nvGraphicFramePr>
            <xdr:cNvPr id="3" name="Country 1">
              <a:extLst>
                <a:ext uri="{FF2B5EF4-FFF2-40B4-BE49-F238E27FC236}">
                  <a16:creationId xmlns:a16="http://schemas.microsoft.com/office/drawing/2014/main" id="{0A4538DD-A254-36E2-926C-840AF094836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804660" y="1028701"/>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162942</xdr:colOff>
      <xdr:row>32</xdr:row>
      <xdr:rowOff>25581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3</xdr:col>
      <xdr:colOff>480060</xdr:colOff>
      <xdr:row>2</xdr:row>
      <xdr:rowOff>22860</xdr:rowOff>
    </xdr:from>
    <xdr:to>
      <xdr:col>6</xdr:col>
      <xdr:colOff>480060</xdr:colOff>
      <xdr:row>9</xdr:row>
      <xdr:rowOff>15240</xdr:rowOff>
    </xdr:to>
    <mc:AlternateContent xmlns:mc="http://schemas.openxmlformats.org/markup-compatibility/2006">
      <mc:Choice xmlns:a14="http://schemas.microsoft.com/office/drawing/2010/main" Requires="a14">
        <xdr:graphicFrame macro="">
          <xdr:nvGraphicFramePr>
            <xdr:cNvPr id="2" name="Department 2">
              <a:extLst>
                <a:ext uri="{FF2B5EF4-FFF2-40B4-BE49-F238E27FC236}">
                  <a16:creationId xmlns:a16="http://schemas.microsoft.com/office/drawing/2014/main" id="{8377CF19-CA3D-4A51-8604-EA6DAD5E8871}"/>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3444240" y="670560"/>
              <a:ext cx="1828800" cy="1272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182880</xdr:colOff>
      <xdr:row>2</xdr:row>
      <xdr:rowOff>15240</xdr:rowOff>
    </xdr:from>
    <xdr:to>
      <xdr:col>10</xdr:col>
      <xdr:colOff>182880</xdr:colOff>
      <xdr:row>9</xdr:row>
      <xdr:rowOff>30480</xdr:rowOff>
    </xdr:to>
    <mc:AlternateContent xmlns:mc="http://schemas.openxmlformats.org/markup-compatibility/2006">
      <mc:Choice xmlns:a14="http://schemas.microsoft.com/office/drawing/2010/main" Requires="a14">
        <xdr:graphicFrame macro="">
          <xdr:nvGraphicFramePr>
            <xdr:cNvPr id="4" name="Country 2">
              <a:extLst>
                <a:ext uri="{FF2B5EF4-FFF2-40B4-BE49-F238E27FC236}">
                  <a16:creationId xmlns:a16="http://schemas.microsoft.com/office/drawing/2014/main" id="{879E295F-3D39-4DE5-8965-A4ED2BE21AEF}"/>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5585460" y="662940"/>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ta Analyst" refreshedDate="45404.813271643521" createdVersion="8" refreshedVersion="8" minRefreshableVersion="3" recordCount="50" xr:uid="{8D333FD6-C86D-44E6-B38A-84E875C78054}">
  <cacheSource type="worksheet">
    <worksheetSource name="EMPData7[[Department]:[Yearly Sal]]"/>
  </cacheSource>
  <cacheFields count="4">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ount="29">
        <n v="60270"/>
        <n v="39627"/>
        <n v="29726"/>
        <n v="93668"/>
        <n v="134000"/>
        <n v="34808"/>
        <n v="135000"/>
        <n v="45000"/>
        <n v="89500"/>
        <n v="21971"/>
        <n v="80000"/>
        <n v="45117"/>
        <n v="50545"/>
        <n v="140000"/>
        <n v="110000"/>
        <n v="68357"/>
        <n v="51800"/>
        <n v="97000"/>
        <n v="35971"/>
        <n v="55117"/>
        <n v="58445"/>
        <n v="120000"/>
        <n v="90000"/>
        <n v="88357"/>
        <n v="59200"/>
        <n v="45450"/>
        <n v="65971"/>
        <n v="60445"/>
        <n v="83117"/>
      </sharedItems>
    </cacheField>
  </cacheFields>
  <extLst>
    <ext xmlns:x14="http://schemas.microsoft.com/office/spreadsheetml/2009/9/main" uri="{725AE2AE-9491-48be-B2B4-4EB974FC3084}">
      <x14:pivotCacheDefinition pivotCacheId="10251324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ta Analyst" refreshedDate="45405.465322222219" createdVersion="8" refreshedVersion="8" minRefreshableVersion="3" recordCount="50" xr:uid="{E2540776-4C93-480D-8B46-046754FD1DF8}">
  <cacheSource type="worksheet">
    <worksheetSource name="EMPData7[[Employee]:[Yearly Sal]]"/>
  </cacheSource>
  <cacheFields count="3">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ta Analyst" refreshedDate="45407.386979282404" createdVersion="8" refreshedVersion="8" minRefreshableVersion="3" recordCount="50" xr:uid="{D8BABBA0-D088-4B4C-A6DF-876BC2821CD8}">
  <cacheSource type="worksheet">
    <worksheetSource name="Table36"/>
  </cacheSource>
  <cacheFields count="7">
    <cacheField name="Employee ID" numFmtId="0">
      <sharedItems count="50">
        <s v="ID18"/>
        <s v="ID23"/>
        <s v="ID17"/>
        <s v="ID5"/>
        <s v="ID13"/>
        <s v="ID22"/>
        <s v="ID24"/>
        <s v="ID50"/>
        <s v="ID47"/>
        <s v="ID42"/>
        <s v="ID19"/>
        <s v="ID48"/>
        <s v="ID49"/>
        <s v="ID41"/>
        <s v="ID9"/>
        <s v="ID8"/>
        <s v="ID10"/>
        <s v="ID21"/>
        <s v="ID7"/>
        <s v="ID30"/>
        <s v="ID14"/>
        <s v="ID44"/>
        <s v="ID45"/>
        <s v="ID3"/>
        <s v="ID38"/>
        <s v="ID40"/>
        <s v="ID43"/>
        <s v="ID39"/>
        <s v="ID27"/>
        <s v="ID46"/>
        <s v="ID29"/>
        <s v="ID16"/>
        <s v="ID37"/>
        <s v="ID28"/>
        <s v="ID2"/>
        <s v="ID6"/>
        <s v="ID31"/>
        <s v="ID12"/>
        <s v="ID33"/>
        <s v="ID32"/>
        <s v="ID15"/>
        <s v="ID36"/>
        <s v="ID35"/>
        <s v="ID34"/>
        <s v="ID11"/>
        <s v="ID1"/>
        <s v="ID4"/>
        <s v="ID25"/>
        <s v="ID20"/>
        <s v="ID26"/>
      </sharedItems>
    </cacheField>
    <cacheField name="Department" numFmtId="0">
      <sharedItems count="3">
        <s v="Sales"/>
        <s v="Procurement"/>
        <s v="Finance"/>
      </sharedItems>
    </cacheField>
    <cacheField name="Employee" numFmtId="0">
      <sharedItems count="50">
        <s v="James Willard"/>
        <s v="Tommy Lee"/>
        <s v="Wolfgang Ramjac"/>
        <s v="Walter Miller"/>
        <s v="Kim West"/>
        <s v="Ewan Thompson"/>
        <s v="Paul Garza"/>
        <s v="Ruth Joseph"/>
        <s v="Edward William"/>
        <s v="Stephen Hughes"/>
        <s v="Paul Wells"/>
        <s v="Rose Kuntum"/>
        <s v="Lenny Karwiz "/>
        <s v="Isaac Doantan"/>
        <s v="Peter Ramsy"/>
        <s v="Robert Spear"/>
        <s v="Brigitte Bond"/>
        <s v="Maria Tot"/>
        <s v="Stevie Bridge"/>
        <s v="Robert Musser"/>
        <s v="Ann Withers"/>
        <s v="Mahitha Nowman"/>
        <s v="Charles Paul"/>
        <s v="Natalie Porter"/>
        <s v="Hanna Morea"/>
        <s v="John Mylas"/>
        <s v="Stephen Hawkings "/>
        <s v="John Mark"/>
        <s v="Mike Saban"/>
        <s v="Sharon Rose"/>
        <s v="Andre Cooper"/>
        <s v="Corinna Schmidt"/>
        <s v="Sarah Gavlace"/>
        <s v="Daniel Garrett"/>
        <s v="Daniela Schreiber"/>
        <s v="Robert Blume"/>
        <s v="Lukas Hofer"/>
        <s v="Richard Elliot"/>
        <s v="Tim Watson"/>
        <s v="Ashley Lee"/>
        <s v="Betina Bauer"/>
        <s v="Joseph Vinod"/>
        <s v="John Baptist"/>
        <s v="Mercy Mayo"/>
        <s v="Dan Ziegler"/>
        <s v="Crystal Doyle"/>
        <s v="Gary Miller"/>
        <s v="Paul Hill"/>
        <s v="Roger Mun"/>
        <s v="Robert Richardson"/>
      </sharedItems>
    </cacheField>
    <cacheField name="Country" numFmtId="0">
      <sharedItems count="3">
        <s v="Australia"/>
        <s v="USA"/>
        <s v="Netherlands"/>
      </sharedItems>
    </cacheField>
    <cacheField name="Yearly Sal" numFmtId="0">
      <sharedItems containsSemiMixedTypes="0" containsString="0" containsNumber="1" containsInteger="1" minValue="21971" maxValue="140000"/>
    </cacheField>
    <cacheField name="Bonus %" numFmtId="9">
      <sharedItems containsMixedTypes="1" containsNumber="1" minValue="0.06" maxValue="0.27"/>
    </cacheField>
    <cacheField name="Bounus $" numFmtId="44">
      <sharedItems containsSemiMixedTypes="0" containsString="0" containsNumber="1" minValue="0" maxValue="28000"/>
    </cacheField>
  </cacheFields>
  <extLst>
    <ext xmlns:x14="http://schemas.microsoft.com/office/spreadsheetml/2009/9/main" uri="{725AE2AE-9491-48be-B2B4-4EB974FC3084}">
      <x14:pivotCacheDefinition pivotCacheId="1576371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r>
  <r>
    <x v="0"/>
    <x v="1"/>
    <x v="1"/>
    <x v="1"/>
  </r>
  <r>
    <x v="0"/>
    <x v="2"/>
    <x v="2"/>
    <x v="2"/>
  </r>
  <r>
    <x v="0"/>
    <x v="3"/>
    <x v="2"/>
    <x v="3"/>
  </r>
  <r>
    <x v="0"/>
    <x v="4"/>
    <x v="1"/>
    <x v="4"/>
  </r>
  <r>
    <x v="0"/>
    <x v="5"/>
    <x v="1"/>
    <x v="5"/>
  </r>
  <r>
    <x v="0"/>
    <x v="6"/>
    <x v="2"/>
    <x v="6"/>
  </r>
  <r>
    <x v="0"/>
    <x v="7"/>
    <x v="2"/>
    <x v="7"/>
  </r>
  <r>
    <x v="0"/>
    <x v="8"/>
    <x v="2"/>
    <x v="8"/>
  </r>
  <r>
    <x v="0"/>
    <x v="9"/>
    <x v="0"/>
    <x v="9"/>
  </r>
  <r>
    <x v="0"/>
    <x v="10"/>
    <x v="0"/>
    <x v="10"/>
  </r>
  <r>
    <x v="0"/>
    <x v="11"/>
    <x v="2"/>
    <x v="11"/>
  </r>
  <r>
    <x v="0"/>
    <x v="12"/>
    <x v="1"/>
    <x v="12"/>
  </r>
  <r>
    <x v="1"/>
    <x v="13"/>
    <x v="2"/>
    <x v="13"/>
  </r>
  <r>
    <x v="1"/>
    <x v="14"/>
    <x v="1"/>
    <x v="14"/>
  </r>
  <r>
    <x v="1"/>
    <x v="15"/>
    <x v="2"/>
    <x v="15"/>
  </r>
  <r>
    <x v="1"/>
    <x v="16"/>
    <x v="0"/>
    <x v="16"/>
  </r>
  <r>
    <x v="1"/>
    <x v="17"/>
    <x v="2"/>
    <x v="17"/>
  </r>
  <r>
    <x v="1"/>
    <x v="18"/>
    <x v="2"/>
    <x v="7"/>
  </r>
  <r>
    <x v="2"/>
    <x v="19"/>
    <x v="0"/>
    <x v="8"/>
  </r>
  <r>
    <x v="2"/>
    <x v="20"/>
    <x v="2"/>
    <x v="18"/>
  </r>
  <r>
    <x v="2"/>
    <x v="21"/>
    <x v="1"/>
    <x v="10"/>
  </r>
  <r>
    <x v="2"/>
    <x v="22"/>
    <x v="2"/>
    <x v="19"/>
  </r>
  <r>
    <x v="2"/>
    <x v="23"/>
    <x v="0"/>
    <x v="20"/>
  </r>
  <r>
    <x v="2"/>
    <x v="24"/>
    <x v="2"/>
    <x v="21"/>
  </r>
  <r>
    <x v="2"/>
    <x v="25"/>
    <x v="2"/>
    <x v="11"/>
  </r>
  <r>
    <x v="2"/>
    <x v="26"/>
    <x v="1"/>
    <x v="12"/>
  </r>
  <r>
    <x v="2"/>
    <x v="27"/>
    <x v="0"/>
    <x v="13"/>
  </r>
  <r>
    <x v="2"/>
    <x v="28"/>
    <x v="2"/>
    <x v="22"/>
  </r>
  <r>
    <x v="2"/>
    <x v="29"/>
    <x v="1"/>
    <x v="23"/>
  </r>
  <r>
    <x v="2"/>
    <x v="30"/>
    <x v="2"/>
    <x v="24"/>
  </r>
  <r>
    <x v="2"/>
    <x v="31"/>
    <x v="0"/>
    <x v="17"/>
  </r>
  <r>
    <x v="2"/>
    <x v="32"/>
    <x v="2"/>
    <x v="15"/>
  </r>
  <r>
    <x v="2"/>
    <x v="33"/>
    <x v="1"/>
    <x v="16"/>
  </r>
  <r>
    <x v="2"/>
    <x v="34"/>
    <x v="2"/>
    <x v="17"/>
  </r>
  <r>
    <x v="2"/>
    <x v="35"/>
    <x v="0"/>
    <x v="7"/>
  </r>
  <r>
    <x v="1"/>
    <x v="36"/>
    <x v="2"/>
    <x v="8"/>
  </r>
  <r>
    <x v="1"/>
    <x v="37"/>
    <x v="1"/>
    <x v="18"/>
  </r>
  <r>
    <x v="1"/>
    <x v="38"/>
    <x v="1"/>
    <x v="10"/>
  </r>
  <r>
    <x v="1"/>
    <x v="39"/>
    <x v="0"/>
    <x v="19"/>
  </r>
  <r>
    <x v="0"/>
    <x v="40"/>
    <x v="2"/>
    <x v="20"/>
  </r>
  <r>
    <x v="0"/>
    <x v="41"/>
    <x v="2"/>
    <x v="21"/>
  </r>
  <r>
    <x v="1"/>
    <x v="42"/>
    <x v="1"/>
    <x v="25"/>
  </r>
  <r>
    <x v="1"/>
    <x v="43"/>
    <x v="2"/>
    <x v="8"/>
  </r>
  <r>
    <x v="1"/>
    <x v="44"/>
    <x v="0"/>
    <x v="26"/>
  </r>
  <r>
    <x v="1"/>
    <x v="45"/>
    <x v="2"/>
    <x v="10"/>
  </r>
  <r>
    <x v="0"/>
    <x v="46"/>
    <x v="1"/>
    <x v="19"/>
  </r>
  <r>
    <x v="0"/>
    <x v="47"/>
    <x v="0"/>
    <x v="27"/>
  </r>
  <r>
    <x v="0"/>
    <x v="48"/>
    <x v="2"/>
    <x v="28"/>
  </r>
  <r>
    <x v="0"/>
    <x v="49"/>
    <x v="0"/>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s v="Australia"/>
    <n v="60270"/>
  </r>
  <r>
    <x v="1"/>
    <s v="Netherlands"/>
    <n v="39627"/>
  </r>
  <r>
    <x v="2"/>
    <s v="USA"/>
    <n v="29726"/>
  </r>
  <r>
    <x v="3"/>
    <s v="USA"/>
    <n v="93668"/>
  </r>
  <r>
    <x v="4"/>
    <s v="Netherlands"/>
    <n v="134000"/>
  </r>
  <r>
    <x v="5"/>
    <s v="Netherlands"/>
    <n v="34808"/>
  </r>
  <r>
    <x v="6"/>
    <s v="USA"/>
    <n v="135000"/>
  </r>
  <r>
    <x v="7"/>
    <s v="USA"/>
    <n v="45000"/>
  </r>
  <r>
    <x v="8"/>
    <s v="USA"/>
    <n v="89500"/>
  </r>
  <r>
    <x v="9"/>
    <s v="Australia"/>
    <n v="21971"/>
  </r>
  <r>
    <x v="10"/>
    <s v="Australia"/>
    <n v="80000"/>
  </r>
  <r>
    <x v="11"/>
    <s v="USA"/>
    <n v="45117"/>
  </r>
  <r>
    <x v="12"/>
    <s v="Netherlands"/>
    <n v="50545"/>
  </r>
  <r>
    <x v="13"/>
    <s v="USA"/>
    <n v="140000"/>
  </r>
  <r>
    <x v="14"/>
    <s v="Netherlands"/>
    <n v="110000"/>
  </r>
  <r>
    <x v="15"/>
    <s v="USA"/>
    <n v="68357"/>
  </r>
  <r>
    <x v="16"/>
    <s v="Australia"/>
    <n v="51800"/>
  </r>
  <r>
    <x v="17"/>
    <s v="USA"/>
    <n v="97000"/>
  </r>
  <r>
    <x v="18"/>
    <s v="USA"/>
    <n v="45000"/>
  </r>
  <r>
    <x v="19"/>
    <s v="Australia"/>
    <n v="89500"/>
  </r>
  <r>
    <x v="20"/>
    <s v="USA"/>
    <n v="35971"/>
  </r>
  <r>
    <x v="21"/>
    <s v="Netherlands"/>
    <n v="80000"/>
  </r>
  <r>
    <x v="22"/>
    <s v="USA"/>
    <n v="55117"/>
  </r>
  <r>
    <x v="23"/>
    <s v="Australia"/>
    <n v="58445"/>
  </r>
  <r>
    <x v="24"/>
    <s v="USA"/>
    <n v="120000"/>
  </r>
  <r>
    <x v="25"/>
    <s v="USA"/>
    <n v="45117"/>
  </r>
  <r>
    <x v="26"/>
    <s v="Netherlands"/>
    <n v="50545"/>
  </r>
  <r>
    <x v="27"/>
    <s v="Australia"/>
    <n v="140000"/>
  </r>
  <r>
    <x v="28"/>
    <s v="USA"/>
    <n v="90000"/>
  </r>
  <r>
    <x v="29"/>
    <s v="Netherlands"/>
    <n v="88357"/>
  </r>
  <r>
    <x v="30"/>
    <s v="USA"/>
    <n v="59200"/>
  </r>
  <r>
    <x v="31"/>
    <s v="Australia"/>
    <n v="97000"/>
  </r>
  <r>
    <x v="32"/>
    <s v="USA"/>
    <n v="68357"/>
  </r>
  <r>
    <x v="33"/>
    <s v="Netherlands"/>
    <n v="51800"/>
  </r>
  <r>
    <x v="34"/>
    <s v="USA"/>
    <n v="97000"/>
  </r>
  <r>
    <x v="35"/>
    <s v="Australia"/>
    <n v="45000"/>
  </r>
  <r>
    <x v="36"/>
    <s v="USA"/>
    <n v="89500"/>
  </r>
  <r>
    <x v="37"/>
    <s v="Netherlands"/>
    <n v="35971"/>
  </r>
  <r>
    <x v="38"/>
    <s v="Netherlands"/>
    <n v="80000"/>
  </r>
  <r>
    <x v="39"/>
    <s v="Australia"/>
    <n v="55117"/>
  </r>
  <r>
    <x v="40"/>
    <s v="USA"/>
    <n v="58445"/>
  </r>
  <r>
    <x v="41"/>
    <s v="USA"/>
    <n v="120000"/>
  </r>
  <r>
    <x v="42"/>
    <s v="Netherlands"/>
    <n v="45450"/>
  </r>
  <r>
    <x v="43"/>
    <s v="USA"/>
    <n v="89500"/>
  </r>
  <r>
    <x v="44"/>
    <s v="Australia"/>
    <n v="65971"/>
  </r>
  <r>
    <x v="45"/>
    <s v="USA"/>
    <n v="80000"/>
  </r>
  <r>
    <x v="46"/>
    <s v="Netherlands"/>
    <n v="55117"/>
  </r>
  <r>
    <x v="47"/>
    <s v="Australia"/>
    <n v="60445"/>
  </r>
  <r>
    <x v="48"/>
    <s v="USA"/>
    <n v="83117"/>
  </r>
  <r>
    <x v="49"/>
    <s v="Australia"/>
    <n v="5844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n v="60270"/>
    <s v="0%"/>
    <n v="0"/>
  </r>
  <r>
    <x v="1"/>
    <x v="0"/>
    <x v="1"/>
    <x v="1"/>
    <n v="93668"/>
    <s v="0%"/>
    <n v="0"/>
  </r>
  <r>
    <x v="2"/>
    <x v="0"/>
    <x v="2"/>
    <x v="0"/>
    <n v="80000"/>
    <n v="0.06"/>
    <n v="4800"/>
  </r>
  <r>
    <x v="3"/>
    <x v="0"/>
    <x v="3"/>
    <x v="1"/>
    <n v="89500"/>
    <n v="0.06"/>
    <n v="5370"/>
  </r>
  <r>
    <x v="4"/>
    <x v="0"/>
    <x v="4"/>
    <x v="2"/>
    <n v="134000"/>
    <n v="0.08"/>
    <n v="10720"/>
  </r>
  <r>
    <x v="5"/>
    <x v="0"/>
    <x v="5"/>
    <x v="1"/>
    <n v="45000"/>
    <n v="0.09"/>
    <n v="4050"/>
  </r>
  <r>
    <x v="6"/>
    <x v="0"/>
    <x v="6"/>
    <x v="1"/>
    <n v="29726"/>
    <n v="0.1"/>
    <n v="2972.6000000000004"/>
  </r>
  <r>
    <x v="7"/>
    <x v="0"/>
    <x v="7"/>
    <x v="0"/>
    <n v="58445"/>
    <n v="0.11"/>
    <n v="6428.95"/>
  </r>
  <r>
    <x v="8"/>
    <x v="0"/>
    <x v="8"/>
    <x v="2"/>
    <n v="55117"/>
    <n v="0.13"/>
    <n v="7165.21"/>
  </r>
  <r>
    <x v="9"/>
    <x v="0"/>
    <x v="9"/>
    <x v="1"/>
    <n v="120000"/>
    <n v="0.13"/>
    <n v="15600"/>
  </r>
  <r>
    <x v="10"/>
    <x v="0"/>
    <x v="10"/>
    <x v="1"/>
    <n v="135000"/>
    <n v="0.14000000000000001"/>
    <n v="18900"/>
  </r>
  <r>
    <x v="11"/>
    <x v="0"/>
    <x v="11"/>
    <x v="0"/>
    <n v="60445"/>
    <n v="0.19"/>
    <n v="11484.55"/>
  </r>
  <r>
    <x v="12"/>
    <x v="0"/>
    <x v="12"/>
    <x v="1"/>
    <n v="83117"/>
    <n v="0.2"/>
    <n v="16623.400000000001"/>
  </r>
  <r>
    <x v="13"/>
    <x v="0"/>
    <x v="13"/>
    <x v="1"/>
    <n v="58445"/>
    <n v="0.22"/>
    <n v="12857.9"/>
  </r>
  <r>
    <x v="14"/>
    <x v="0"/>
    <x v="14"/>
    <x v="0"/>
    <n v="21971"/>
    <n v="0.23"/>
    <n v="5053.33"/>
  </r>
  <r>
    <x v="15"/>
    <x v="0"/>
    <x v="15"/>
    <x v="2"/>
    <n v="39627"/>
    <n v="0.23"/>
    <n v="9114.2100000000009"/>
  </r>
  <r>
    <x v="16"/>
    <x v="0"/>
    <x v="16"/>
    <x v="1"/>
    <n v="45117"/>
    <n v="0.24"/>
    <n v="10828.08"/>
  </r>
  <r>
    <x v="17"/>
    <x v="0"/>
    <x v="17"/>
    <x v="2"/>
    <n v="50545"/>
    <n v="0.25"/>
    <n v="12636.25"/>
  </r>
  <r>
    <x v="18"/>
    <x v="0"/>
    <x v="18"/>
    <x v="2"/>
    <n v="34808"/>
    <n v="0.27"/>
    <n v="9398.16"/>
  </r>
  <r>
    <x v="19"/>
    <x v="1"/>
    <x v="19"/>
    <x v="1"/>
    <n v="68357"/>
    <s v="0%"/>
    <n v="0"/>
  </r>
  <r>
    <x v="20"/>
    <x v="1"/>
    <x v="20"/>
    <x v="0"/>
    <n v="51800"/>
    <n v="0.09"/>
    <n v="4662"/>
  </r>
  <r>
    <x v="21"/>
    <x v="1"/>
    <x v="21"/>
    <x v="1"/>
    <n v="89500"/>
    <n v="0.09"/>
    <n v="8055"/>
  </r>
  <r>
    <x v="22"/>
    <x v="1"/>
    <x v="22"/>
    <x v="0"/>
    <n v="65971"/>
    <n v="0.1"/>
    <n v="6597.1"/>
  </r>
  <r>
    <x v="23"/>
    <x v="1"/>
    <x v="23"/>
    <x v="1"/>
    <n v="140000"/>
    <n v="0.1"/>
    <n v="14000"/>
  </r>
  <r>
    <x v="24"/>
    <x v="1"/>
    <x v="24"/>
    <x v="2"/>
    <n v="35971"/>
    <n v="0.14000000000000001"/>
    <n v="5035.9400000000005"/>
  </r>
  <r>
    <x v="25"/>
    <x v="1"/>
    <x v="25"/>
    <x v="0"/>
    <n v="55117"/>
    <n v="0.14000000000000001"/>
    <n v="7716.380000000001"/>
  </r>
  <r>
    <x v="26"/>
    <x v="1"/>
    <x v="26"/>
    <x v="2"/>
    <n v="45450"/>
    <n v="0.16"/>
    <n v="7272"/>
  </r>
  <r>
    <x v="27"/>
    <x v="1"/>
    <x v="27"/>
    <x v="2"/>
    <n v="80000"/>
    <n v="0.16"/>
    <n v="12800"/>
  </r>
  <r>
    <x v="28"/>
    <x v="1"/>
    <x v="28"/>
    <x v="1"/>
    <n v="45000"/>
    <n v="0.18"/>
    <n v="8100"/>
  </r>
  <r>
    <x v="29"/>
    <x v="1"/>
    <x v="29"/>
    <x v="1"/>
    <n v="80000"/>
    <n v="0.18"/>
    <n v="14400"/>
  </r>
  <r>
    <x v="30"/>
    <x v="1"/>
    <x v="30"/>
    <x v="2"/>
    <n v="110000"/>
    <n v="0.18"/>
    <n v="19800"/>
  </r>
  <r>
    <x v="31"/>
    <x v="1"/>
    <x v="31"/>
    <x v="1"/>
    <n v="97000"/>
    <n v="0.19"/>
    <n v="18430"/>
  </r>
  <r>
    <x v="32"/>
    <x v="1"/>
    <x v="32"/>
    <x v="1"/>
    <n v="89500"/>
    <n v="0.21"/>
    <n v="18795"/>
  </r>
  <r>
    <x v="33"/>
    <x v="2"/>
    <x v="33"/>
    <x v="1"/>
    <n v="55117"/>
    <s v="0%"/>
    <n v="0"/>
  </r>
  <r>
    <x v="34"/>
    <x v="2"/>
    <x v="34"/>
    <x v="2"/>
    <n v="50545"/>
    <s v="0%"/>
    <n v="0"/>
  </r>
  <r>
    <x v="35"/>
    <x v="2"/>
    <x v="35"/>
    <x v="2"/>
    <n v="88357"/>
    <s v="0%"/>
    <n v="0"/>
  </r>
  <r>
    <x v="36"/>
    <x v="2"/>
    <x v="36"/>
    <x v="1"/>
    <n v="59200"/>
    <n v="0.06"/>
    <n v="3552"/>
  </r>
  <r>
    <x v="37"/>
    <x v="2"/>
    <x v="37"/>
    <x v="1"/>
    <n v="35971"/>
    <n v="0.14000000000000001"/>
    <n v="5035.9400000000005"/>
  </r>
  <r>
    <x v="38"/>
    <x v="2"/>
    <x v="38"/>
    <x v="1"/>
    <n v="68357"/>
    <n v="0.15"/>
    <n v="10253.549999999999"/>
  </r>
  <r>
    <x v="39"/>
    <x v="2"/>
    <x v="39"/>
    <x v="0"/>
    <n v="97000"/>
    <n v="0.15"/>
    <n v="14550"/>
  </r>
  <r>
    <x v="40"/>
    <x v="2"/>
    <x v="40"/>
    <x v="1"/>
    <n v="45117"/>
    <n v="0.17"/>
    <n v="7669.89"/>
  </r>
  <r>
    <x v="41"/>
    <x v="2"/>
    <x v="41"/>
    <x v="0"/>
    <n v="45000"/>
    <n v="0.18"/>
    <n v="8100"/>
  </r>
  <r>
    <x v="42"/>
    <x v="2"/>
    <x v="42"/>
    <x v="1"/>
    <n v="97000"/>
    <n v="0.18"/>
    <n v="17460"/>
  </r>
  <r>
    <x v="43"/>
    <x v="2"/>
    <x v="43"/>
    <x v="2"/>
    <n v="51800"/>
    <n v="0.19"/>
    <n v="9842"/>
  </r>
  <r>
    <x v="44"/>
    <x v="2"/>
    <x v="44"/>
    <x v="0"/>
    <n v="140000"/>
    <n v="0.2"/>
    <n v="28000"/>
  </r>
  <r>
    <x v="45"/>
    <x v="2"/>
    <x v="45"/>
    <x v="1"/>
    <n v="120000"/>
    <n v="0.21"/>
    <n v="25200"/>
  </r>
  <r>
    <x v="46"/>
    <x v="2"/>
    <x v="46"/>
    <x v="0"/>
    <n v="89500"/>
    <n v="0.24"/>
    <n v="21480"/>
  </r>
  <r>
    <x v="47"/>
    <x v="2"/>
    <x v="47"/>
    <x v="0"/>
    <n v="58445"/>
    <n v="0.25"/>
    <n v="14611.25"/>
  </r>
  <r>
    <x v="48"/>
    <x v="2"/>
    <x v="48"/>
    <x v="2"/>
    <n v="80000"/>
    <n v="0.25"/>
    <n v="20000"/>
  </r>
  <r>
    <x v="49"/>
    <x v="2"/>
    <x v="49"/>
    <x v="1"/>
    <n v="90000"/>
    <n v="0.25"/>
    <n v="22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FFB50B-31E0-4F98-964C-DC11B0CA70BD}"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3:C6" firstHeaderRow="1" firstDataRow="1" firstDataCol="1"/>
  <pivotFields count="4">
    <pivotField axis="axisRow" showAll="0">
      <items count="4">
        <item x="2"/>
        <item x="1"/>
        <item x="0"/>
        <item t="default"/>
      </items>
    </pivotField>
    <pivotField showAll="0"/>
    <pivotField showAll="0"/>
    <pivotField dataField="1" numFmtId="164" showAll="0"/>
  </pivotFields>
  <rowFields count="1">
    <field x="0"/>
  </rowFields>
  <rowItems count="3">
    <i>
      <x/>
    </i>
    <i>
      <x v="1"/>
    </i>
    <i>
      <x v="2"/>
    </i>
  </rowItems>
  <colItems count="1">
    <i/>
  </colItems>
  <dataFields count="1">
    <dataField name="Sum of Yearly Sal" fld="3" baseField="0" baseItem="0" numFmtId="44"/>
  </dataFields>
  <formats count="1">
    <format dxfId="51">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8F505E-9976-490A-9FB6-FE9CB636B7A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5:C7" firstHeaderRow="1" firstDataRow="1" firstDataCol="1"/>
  <pivotFields count="4">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items count="30">
        <item x="9"/>
        <item x="2"/>
        <item x="5"/>
        <item x="18"/>
        <item x="1"/>
        <item x="7"/>
        <item x="11"/>
        <item x="25"/>
        <item x="12"/>
        <item x="16"/>
        <item x="19"/>
        <item x="20"/>
        <item x="24"/>
        <item x="0"/>
        <item x="27"/>
        <item x="26"/>
        <item x="15"/>
        <item x="10"/>
        <item x="28"/>
        <item x="23"/>
        <item x="8"/>
        <item x="22"/>
        <item x="3"/>
        <item x="17"/>
        <item x="14"/>
        <item x="21"/>
        <item x="4"/>
        <item x="6"/>
        <item x="13"/>
        <item t="default"/>
      </items>
    </pivotField>
  </pivotFields>
  <rowFields count="1">
    <field x="1"/>
  </rowFields>
  <rowItems count="2">
    <i>
      <x v="21"/>
    </i>
    <i>
      <x v="41"/>
    </i>
  </rowItems>
  <colItems count="1">
    <i/>
  </colItems>
  <dataFields count="1">
    <dataField name="Salary" fld="3" baseField="1" baseItem="8" numFmtId="44"/>
  </dataFields>
  <formats count="14">
    <format dxfId="50">
      <pivotArea outline="0" collapsedLevelsAreSubtotals="1" fieldPosition="0"/>
    </format>
    <format dxfId="49">
      <pivotArea outline="0" collapsedLevelsAreSubtotals="1" fieldPosition="0"/>
    </format>
    <format dxfId="48">
      <pivotArea dataOnly="0" labelOnly="1" outline="0" axis="axisValues" fieldPosition="0"/>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1" type="button" dataOnly="0" labelOnly="1" outline="0" axis="axisRow" fieldPosition="0"/>
    </format>
    <format dxfId="43">
      <pivotArea dataOnly="0" labelOnly="1" fieldPosition="0">
        <references count="1">
          <reference field="1" count="2">
            <x v="21"/>
            <x v="41"/>
          </reference>
        </references>
      </pivotArea>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1" type="button" dataOnly="0" labelOnly="1" outline="0" axis="axisRow" fieldPosition="0"/>
    </format>
    <format dxfId="38">
      <pivotArea dataOnly="0" labelOnly="1" fieldPosition="0">
        <references count="1">
          <reference field="1" count="2">
            <x v="21"/>
            <x v="41"/>
          </reference>
        </references>
      </pivotArea>
    </format>
    <format dxfId="37">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B70274-F04A-49CB-BBF1-246E2ACE5E2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7" firstHeaderRow="1" firstDataRow="1" firstDataCol="1"/>
  <pivotFields count="4">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1"/>
  </rowFields>
  <rowItems count="3">
    <i>
      <x v="8"/>
    </i>
    <i>
      <x v="28"/>
    </i>
    <i t="grand">
      <x/>
    </i>
  </rowItems>
  <colItems count="1">
    <i/>
  </colItems>
  <dataFields count="1">
    <dataField name="Sum of Yearly Sal" fld="3" baseField="0" baseItem="0"/>
  </dataField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F3BF20-F9B4-483D-BA65-DBD1B721572C}"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10:C12" firstHeaderRow="1" firstDataRow="1" firstDataCol="1"/>
  <pivotFields count="3">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0"/>
  </rowFields>
  <rowItems count="2">
    <i>
      <x v="29"/>
    </i>
    <i>
      <x v="32"/>
    </i>
  </rowItems>
  <colItems count="1">
    <i/>
  </colItems>
  <dataFields count="1">
    <dataField name="Salary" fld="2" baseField="0" baseItem="29" numFmtId="44"/>
  </dataFields>
  <formats count="7">
    <format dxfId="29">
      <pivotArea outline="0" collapsedLevelsAreSubtotals="1" fieldPosition="0"/>
    </format>
    <format dxfId="28">
      <pivotArea type="all" dataOnly="0" outline="0" fieldPosition="0"/>
    </format>
    <format dxfId="27">
      <pivotArea outline="0" collapsedLevelsAreSubtotals="1" fieldPosition="0"/>
    </format>
    <format dxfId="26">
      <pivotArea field="0" type="button" dataOnly="0" labelOnly="1" outline="0" axis="axisRow" fieldPosition="0"/>
    </format>
    <format dxfId="25">
      <pivotArea dataOnly="0" labelOnly="1" fieldPosition="0">
        <references count="1">
          <reference field="0" count="2">
            <x v="29"/>
            <x v="32"/>
          </reference>
        </references>
      </pivotArea>
    </format>
    <format dxfId="24">
      <pivotArea dataOnly="0" labelOnly="1" grandRow="1" outline="0" fieldPosition="0"/>
    </format>
    <format dxfId="23">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D95E57-C4A0-4DDF-95F5-A85B56DE5C74}"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
  <location ref="J16:K19" firstHeaderRow="1" firstDataRow="1" firstDataCol="1"/>
  <pivotFields count="3">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0"/>
  </rowFields>
  <rowItems count="3">
    <i>
      <x v="29"/>
    </i>
    <i>
      <x v="32"/>
    </i>
    <i t="grand">
      <x/>
    </i>
  </rowItems>
  <colItems count="1">
    <i/>
  </colItems>
  <dataFields count="1">
    <dataField name="Salary" fld="2" baseField="0" baseItem="29" numFmtId="44"/>
  </dataFields>
  <formats count="7">
    <format dxfId="36">
      <pivotArea outline="0" collapsedLevelsAreSubtotals="1" fieldPosition="0"/>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2">
            <x v="29"/>
            <x v="32"/>
          </reference>
        </references>
      </pivotArea>
    </format>
    <format dxfId="31">
      <pivotArea dataOnly="0" labelOnly="1" grandRow="1" outline="0" fieldPosition="0"/>
    </format>
    <format dxfId="30">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38B5DC-CB1B-496D-AD00-DB2D8BE65AB0}"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8" firstHeaderRow="1" firstDataRow="1" firstDataCol="1"/>
  <pivotFields count="4">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Row" showAll="0">
      <items count="4">
        <item x="0"/>
        <item x="1"/>
        <item x="2"/>
        <item t="default"/>
      </items>
    </pivotField>
    <pivotField dataField="1" numFmtId="164" showAll="0"/>
  </pivotFields>
  <rowFields count="2">
    <field x="1"/>
    <field x="2"/>
  </rowFields>
  <rowItems count="4">
    <i>
      <x v="8"/>
    </i>
    <i r="1">
      <x/>
    </i>
    <i>
      <x v="28"/>
    </i>
    <i r="1">
      <x v="2"/>
    </i>
  </rowItems>
  <colItems count="1">
    <i/>
  </colItems>
  <dataFields count="1">
    <dataField name="Salary" fld="3" baseField="1" baseItem="8" numFmtId="44"/>
  </dataFields>
  <formats count="10">
    <format dxfId="22">
      <pivotArea type="all" dataOnly="0" outline="0" fieldPosition="0"/>
    </format>
    <format dxfId="21">
      <pivotArea outline="0" collapsedLevelsAreSubtotals="1" fieldPosition="0"/>
    </format>
    <format dxfId="20">
      <pivotArea field="1" type="button" dataOnly="0" labelOnly="1" outline="0" axis="axisRow" fieldPosition="0"/>
    </format>
    <format dxfId="19">
      <pivotArea dataOnly="0" labelOnly="1" fieldPosition="0">
        <references count="1">
          <reference field="1" count="2">
            <x v="8"/>
            <x v="28"/>
          </reference>
        </references>
      </pivotArea>
    </format>
    <format dxfId="18">
      <pivotArea dataOnly="0" labelOnly="1" grandRow="1" outline="0" fieldPosition="0"/>
    </format>
    <format dxfId="17">
      <pivotArea dataOnly="0" labelOnly="1" fieldPosition="0">
        <references count="2">
          <reference field="1" count="1" selected="0">
            <x v="8"/>
          </reference>
          <reference field="2" count="1">
            <x v="0"/>
          </reference>
        </references>
      </pivotArea>
    </format>
    <format dxfId="16">
      <pivotArea dataOnly="0" labelOnly="1" fieldPosition="0">
        <references count="2">
          <reference field="1" count="1" selected="0">
            <x v="28"/>
          </reference>
          <reference field="2" count="1">
            <x v="2"/>
          </reference>
        </references>
      </pivotArea>
    </format>
    <format dxfId="15">
      <pivotArea dataOnly="0" labelOnly="1" outline="0" axis="axisValues" fieldPosition="0"/>
    </format>
    <format dxfId="14">
      <pivotArea outline="0" collapsedLevelsAreSubtotals="1" fieldPosition="0"/>
    </format>
    <format dxfId="13">
      <pivotArea dataOnly="0" labelOnly="1" outline="0" axis="axisValues" fieldPosition="0"/>
    </format>
  </format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9C36AA-E471-48C6-91E2-B6DAB296806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7:N10" firstHeaderRow="1" firstDataRow="1" firstDataCol="1"/>
  <pivotFields count="4">
    <pivotField showAll="0"/>
    <pivotField axis="axisRow" showAll="0" measureFilter="1">
      <items count="51">
        <item x="14"/>
        <item x="16"/>
        <item x="31"/>
        <item x="25"/>
        <item x="11"/>
        <item x="44"/>
        <item x="17"/>
        <item x="24"/>
        <item sd="0" x="27"/>
        <item x="22"/>
        <item x="26"/>
        <item x="46"/>
        <item x="7"/>
        <item x="19"/>
        <item x="37"/>
        <item x="40"/>
        <item x="0"/>
        <item x="34"/>
        <item x="38"/>
        <item x="39"/>
        <item x="35"/>
        <item x="4"/>
        <item x="48"/>
        <item x="30"/>
        <item x="43"/>
        <item x="12"/>
        <item x="33"/>
        <item x="18"/>
        <item sd="0" x="13"/>
        <item x="2"/>
        <item x="23"/>
        <item x="6"/>
        <item x="9"/>
        <item x="20"/>
        <item x="29"/>
        <item x="15"/>
        <item x="28"/>
        <item x="1"/>
        <item x="21"/>
        <item x="47"/>
        <item x="49"/>
        <item x="36"/>
        <item x="45"/>
        <item x="42"/>
        <item x="41"/>
        <item x="5"/>
        <item x="32"/>
        <item x="3"/>
        <item x="8"/>
        <item x="10"/>
        <item t="default"/>
      </items>
    </pivotField>
    <pivotField axis="axisRow" showAll="0">
      <items count="4">
        <item x="0"/>
        <item x="1"/>
        <item x="2"/>
        <item t="default"/>
      </items>
    </pivotField>
    <pivotField dataField="1" numFmtId="164" showAll="0"/>
  </pivotFields>
  <rowFields count="2">
    <field x="1"/>
    <field x="2"/>
  </rowFields>
  <rowItems count="3">
    <i>
      <x v="8"/>
    </i>
    <i>
      <x v="28"/>
    </i>
    <i t="grand">
      <x/>
    </i>
  </rowItems>
  <colItems count="1">
    <i/>
  </colItems>
  <dataFields count="1">
    <dataField name="Sum of Yearly Sal" fld="3" baseField="0" baseItem="0"/>
  </dataField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4FEFAA-62DD-48A5-A87C-BF1AFE483775}"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8" firstHeaderRow="1" firstDataRow="1" firstDataCol="1"/>
  <pivotFields count="4">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Row" showAll="0">
      <items count="4">
        <item x="0"/>
        <item x="1"/>
        <item x="2"/>
        <item t="default"/>
      </items>
    </pivotField>
    <pivotField dataField="1" numFmtId="164" showAll="0"/>
  </pivotFields>
  <rowFields count="2">
    <field x="1"/>
    <field x="2"/>
  </rowFields>
  <rowItems count="4">
    <i>
      <x v="29"/>
    </i>
    <i r="1">
      <x v="2"/>
    </i>
    <i>
      <x v="32"/>
    </i>
    <i r="1">
      <x/>
    </i>
  </rowItems>
  <colItems count="1">
    <i/>
  </colItems>
  <dataFields count="1">
    <dataField name="Salary" fld="3" baseField="1" baseItem="29" numFmtId="44"/>
  </dataFields>
  <formats count="2">
    <format dxfId="12">
      <pivotArea dataOnly="0" labelOnly="1" outline="0" axis="axisValues" fieldPosition="0"/>
    </format>
    <format dxfId="11">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2BF880-C404-40D3-B69A-62E0D513AC0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8:M13" firstHeaderRow="1" firstDataRow="1" firstDataCol="1"/>
  <pivotFields count="4">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Row" showAll="0">
      <items count="4">
        <item x="0"/>
        <item x="1"/>
        <item x="2"/>
        <item t="default"/>
      </items>
    </pivotField>
    <pivotField dataField="1" numFmtId="164" showAll="0"/>
  </pivotFields>
  <rowFields count="2">
    <field x="1"/>
    <field x="2"/>
  </rowFields>
  <rowItems count="5">
    <i>
      <x v="29"/>
    </i>
    <i r="1">
      <x v="2"/>
    </i>
    <i>
      <x v="32"/>
    </i>
    <i r="1">
      <x/>
    </i>
    <i t="grand">
      <x/>
    </i>
  </rowItems>
  <colItems count="1">
    <i/>
  </colItems>
  <dataFields count="1">
    <dataField name="Sum of Yearly Sal" fld="3" baseField="0" baseItem="0"/>
  </dataFields>
  <pivotTableStyleInfo name="PivotStyleLight16" showRowHeaders="1" showColHeaders="1" showRowStripes="0" showColStripes="0" showLastColumn="1"/>
  <filters count="1">
    <filter fld="1"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871EC1-1F6D-411A-9DA3-CC3A20B97C5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mployee">
  <location ref="A3:B54" firstHeaderRow="1" firstDataRow="1" firstDataCol="1"/>
  <pivotFields count="7">
    <pivotField showAll="0">
      <items count="51">
        <item x="45"/>
        <item x="16"/>
        <item x="44"/>
        <item x="37"/>
        <item x="4"/>
        <item x="20"/>
        <item x="40"/>
        <item x="31"/>
        <item x="2"/>
        <item x="0"/>
        <item x="10"/>
        <item x="34"/>
        <item x="48"/>
        <item x="17"/>
        <item x="5"/>
        <item x="1"/>
        <item x="6"/>
        <item x="47"/>
        <item x="49"/>
        <item x="28"/>
        <item x="33"/>
        <item x="30"/>
        <item x="23"/>
        <item x="19"/>
        <item x="36"/>
        <item x="39"/>
        <item x="38"/>
        <item x="43"/>
        <item x="42"/>
        <item x="41"/>
        <item x="32"/>
        <item x="24"/>
        <item x="27"/>
        <item x="46"/>
        <item x="25"/>
        <item x="13"/>
        <item x="9"/>
        <item x="26"/>
        <item x="21"/>
        <item x="22"/>
        <item x="29"/>
        <item x="8"/>
        <item x="11"/>
        <item x="12"/>
        <item x="3"/>
        <item x="7"/>
        <item x="35"/>
        <item x="18"/>
        <item x="15"/>
        <item x="14"/>
        <item t="default"/>
      </items>
    </pivotField>
    <pivotField showAll="0">
      <items count="4">
        <item x="2"/>
        <item x="1"/>
        <item x="0"/>
        <item t="default"/>
      </items>
    </pivotField>
    <pivotField axis="axisRow" showAll="0">
      <items count="51">
        <item x="30"/>
        <item x="20"/>
        <item x="39"/>
        <item x="40"/>
        <item x="16"/>
        <item x="22"/>
        <item x="31"/>
        <item x="45"/>
        <item x="44"/>
        <item x="33"/>
        <item x="34"/>
        <item x="8"/>
        <item x="5"/>
        <item x="46"/>
        <item x="24"/>
        <item x="13"/>
        <item x="0"/>
        <item x="42"/>
        <item x="27"/>
        <item x="25"/>
        <item x="41"/>
        <item x="4"/>
        <item x="12"/>
        <item x="36"/>
        <item x="21"/>
        <item x="17"/>
        <item x="43"/>
        <item x="28"/>
        <item x="23"/>
        <item x="6"/>
        <item x="47"/>
        <item x="10"/>
        <item x="14"/>
        <item x="37"/>
        <item x="35"/>
        <item x="19"/>
        <item x="49"/>
        <item x="15"/>
        <item x="48"/>
        <item x="11"/>
        <item x="7"/>
        <item x="32"/>
        <item x="29"/>
        <item x="26"/>
        <item x="9"/>
        <item x="18"/>
        <item x="38"/>
        <item x="1"/>
        <item x="3"/>
        <item x="2"/>
        <item t="default"/>
      </items>
    </pivotField>
    <pivotField showAll="0">
      <items count="4">
        <item x="0"/>
        <item x="2"/>
        <item x="1"/>
        <item t="default"/>
      </items>
    </pivotField>
    <pivotField showAll="0"/>
    <pivotField showAll="0"/>
    <pivotField dataField="1" numFmtId="4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unus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32BEE98-5A6D-4A1C-BA53-F8392DDE5E1A}" sourceName="Department">
  <pivotTables>
    <pivotTable tabId="5" name="PivotTable5"/>
  </pivotTables>
  <data>
    <tabular pivotCacheId="102513242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B6A0CFA-756F-49DC-AD8B-2D2D815B22CE}" sourceName="Employee">
  <pivotTables>
    <pivotTable tabId="5" name="PivotTable5"/>
  </pivotTables>
  <data>
    <tabular pivotCacheId="1025132425">
      <items count="50">
        <i x="14" s="1"/>
        <i x="16" s="1"/>
        <i x="31" s="1"/>
        <i x="25" s="1"/>
        <i x="11" s="1"/>
        <i x="44" s="1"/>
        <i x="17" s="1"/>
        <i x="24" s="1"/>
        <i x="27" s="1"/>
        <i x="22" s="1"/>
        <i x="26" s="1"/>
        <i x="46" s="1"/>
        <i x="7" s="1"/>
        <i x="19" s="1"/>
        <i x="37" s="1"/>
        <i x="40" s="1"/>
        <i x="0" s="1"/>
        <i x="34" s="1"/>
        <i x="38" s="1"/>
        <i x="39" s="1"/>
        <i x="35" s="1"/>
        <i x="4" s="1"/>
        <i x="48" s="1"/>
        <i x="30" s="1"/>
        <i x="43" s="1"/>
        <i x="12" s="1"/>
        <i x="33" s="1"/>
        <i x="18" s="1"/>
        <i x="13" s="1"/>
        <i x="2" s="1"/>
        <i x="23" s="1"/>
        <i x="6" s="1"/>
        <i x="9" s="1"/>
        <i x="20" s="1"/>
        <i x="29" s="1"/>
        <i x="15" s="1"/>
        <i x="28" s="1"/>
        <i x="1" s="1"/>
        <i x="21" s="1"/>
        <i x="47" s="1"/>
        <i x="49" s="1"/>
        <i x="36" s="1"/>
        <i x="45" s="1"/>
        <i x="42" s="1"/>
        <i x="41" s="1"/>
        <i x="5" s="1"/>
        <i x="32" s="1"/>
        <i x="3" s="1"/>
        <i x="8" s="1"/>
        <i x="1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ly_Sal" xr10:uid="{9CE7C50F-5930-4EEF-8EA4-68D721F3BFEE}" sourceName="Yearly Sal">
  <pivotTables>
    <pivotTable tabId="5" name="PivotTable5"/>
  </pivotTables>
  <data>
    <tabular pivotCacheId="1025132425">
      <items count="29">
        <i x="9" s="1"/>
        <i x="2" s="1"/>
        <i x="5" s="1"/>
        <i x="18" s="1"/>
        <i x="1" s="1"/>
        <i x="7" s="1"/>
        <i x="11" s="1"/>
        <i x="25" s="1"/>
        <i x="12" s="1"/>
        <i x="16" s="1"/>
        <i x="19" s="1"/>
        <i x="20" s="1"/>
        <i x="24" s="1"/>
        <i x="0" s="1"/>
        <i x="27" s="1"/>
        <i x="26" s="1"/>
        <i x="15" s="1"/>
        <i x="10" s="1"/>
        <i x="28" s="1"/>
        <i x="23" s="1"/>
        <i x="8" s="1"/>
        <i x="22" s="1"/>
        <i x="3" s="1"/>
        <i x="17" s="1"/>
        <i x="14" s="1"/>
        <i x="21" s="1"/>
        <i x="4" s="1"/>
        <i x="6" s="1"/>
        <i x="1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94CA60E-DB67-46D0-98A6-C30A01A07DAD}" sourceName="Country">
  <pivotTables>
    <pivotTable tabId="7" name="PivotTable9"/>
  </pivotTables>
  <data>
    <tabular pivotCacheId="1025132425">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8BE061E8-AFB0-4B63-BDD5-1E5B3D3BC878}" sourceName="Department">
  <pivotTables>
    <pivotTable tabId="18" name="PivotTable1"/>
  </pivotTables>
  <data>
    <tabular pivotCacheId="1576371702">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56B4A2EF-9C61-4EBB-BF28-F11CA7879868}" sourceName="Country">
  <pivotTables>
    <pivotTable tabId="18" name="PivotTable1"/>
  </pivotTables>
  <data>
    <tabular pivotCacheId="15763717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1459DC7-3393-4BE5-8FD0-BD2630E6DB73}" cache="Slicer_Department" caption="Department" rowHeight="234950"/>
  <slicer name="Employee" xr10:uid="{B1C8428A-5511-423F-8524-0781FE35BD3F}" cache="Slicer_Employee" caption="Employee" rowHeight="234950"/>
  <slicer name="Yearly Sal" xr10:uid="{F8BDF2C9-4E52-4299-9944-BD525CADEDE5}" cache="Slicer_Yearly_Sal" caption="Yearly Sa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65D91AD-68BF-4767-88AB-47B7D96ED545}"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E351B11A-EC80-49B2-A6F8-4E4BA5C2F74A}" cache="Slicer_Department1" caption="Department" rowHeight="234950"/>
  <slicer name="Country 1" xr10:uid="{77B914CB-642B-48C5-B604-A4CC1106837C}" cache="Slicer_Country1" caption="Country"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6597E9DC-A0D7-445A-8628-4C2065ED9C9C}" cache="Slicer_Department1" caption="Department" rowHeight="234950"/>
  <slicer name="Country 2" xr10:uid="{2CAC0BBE-4B91-41A3-B542-AFE2F2FDCA96}" cache="Slicer_Country1"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8C32FF-5064-4D94-9AB0-734EBB1B5D47}" name="EMPData7" displayName="EMPData7" ref="A3:E54" totalsRowCount="1" headerRowDxfId="93" headerRowBorderDxfId="92" tableBorderDxfId="91" totalsRowBorderDxfId="90">
  <autoFilter ref="A3:E53" xr:uid="{639A0B6B-6E58-4D92-8D16-18CA1495B923}"/>
  <tableColumns count="5">
    <tableColumn id="1" xr3:uid="{66B82572-84EF-457B-95BD-096EBC8685E9}" name="Employee ID" totalsRowLabel="Total" dataDxfId="89" totalsRowDxfId="88"/>
    <tableColumn id="2" xr3:uid="{A6E618DA-CAB6-4405-B168-DBC87661D10B}" name="Department" dataDxfId="87" totalsRowDxfId="86"/>
    <tableColumn id="3" xr3:uid="{CE7EF634-EE1C-4B32-8CE9-B21842167783}" name="Employee" dataDxfId="85" totalsRowDxfId="84"/>
    <tableColumn id="4" xr3:uid="{93E5C5BA-9423-40F5-9BF0-908CED6EB7D3}" name="Country" dataDxfId="83" totalsRowDxfId="82"/>
    <tableColumn id="5" xr3:uid="{544772C5-0586-49AE-8EF6-2305C0584492}" name="Yearly Sal" totalsRowFunction="sum" dataDxfId="81" totalsRowDxfId="80"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C04E97E-C254-4503-9597-572A80C03F96}" name="EmpBonus8" displayName="EmpBonus8" ref="H3:J47" totalsRowShown="0" headerRowDxfId="79" headerRowBorderDxfId="78" tableBorderDxfId="77" totalsRowBorderDxfId="76">
  <autoFilter ref="H3:J47" xr:uid="{7D32404A-711D-42A0-B943-BEC4B7997172}"/>
  <tableColumns count="3">
    <tableColumn id="1" xr3:uid="{C074FB3B-57FE-473F-B468-C8B00AD8A4FD}" name="EmployeID" dataDxfId="75"/>
    <tableColumn id="2" xr3:uid="{09C81FCE-BA16-4430-AE57-40645021BB62}" name="Bonus %" dataDxfId="74"/>
    <tableColumn id="3" xr3:uid="{D8A315E2-93B3-4A32-B9E3-17993B603062}" name="Employee Name" dataDxfId="7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72" headerRowBorderDxfId="71" tableBorderDxfId="70" totalsRowBorderDxfId="69">
  <autoFilter ref="A3:E53" xr:uid="{639A0B6B-6E58-4D92-8D16-18CA1495B923}"/>
  <tableColumns count="5">
    <tableColumn id="1" xr3:uid="{10D75C25-E46F-46DC-B77B-6A24CBC96659}" name="Employee ID" totalsRowLabel="Total" dataDxfId="68" totalsRowDxfId="67"/>
    <tableColumn id="2" xr3:uid="{A9A1B7BF-B67F-4E3D-B05D-1CA5084E6220}" name="Department" dataDxfId="66" totalsRowDxfId="65"/>
    <tableColumn id="3" xr3:uid="{1D69A06F-FBE8-4CD9-B408-A67965E2C5A9}" name="Employee" dataDxfId="64" totalsRowDxfId="63"/>
    <tableColumn id="4" xr3:uid="{045F1C44-E03F-4B14-B0C4-5F1F2D740C6F}" name="Country" dataDxfId="62" totalsRowDxfId="61"/>
    <tableColumn id="5" xr3:uid="{4CA34F10-A491-4D0F-A008-9A622A58741E}" name="Yearly Sal" totalsRowFunction="sum" dataDxfId="60" totalsRowDxfId="59"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58" headerRowBorderDxfId="57" tableBorderDxfId="56" totalsRowBorderDxfId="55">
  <autoFilter ref="H3:J47" xr:uid="{7D32404A-711D-42A0-B943-BEC4B7997172}"/>
  <tableColumns count="3">
    <tableColumn id="1" xr3:uid="{3A445AE6-0460-4262-B97F-11D049E0AA42}" name="EmployeID" dataDxfId="54"/>
    <tableColumn id="2" xr3:uid="{8ACCE417-C3B1-4070-8842-52BB9F3BF8D1}" name="Bonus %" dataDxfId="53"/>
    <tableColumn id="3" xr3:uid="{57087C48-7625-4AFB-8DDB-2F22CEBA3E30}" name="Employee Name" dataDxfId="5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183268-AA50-46A7-8737-87E7D4F4703B}" name="Table3" displayName="Table3" ref="M4:S54" totalsRowShown="0" tableBorderDxfId="10" headerRowCellStyle="Normal" dataCellStyle="Normal">
  <autoFilter ref="M4:S54" xr:uid="{0A183268-AA50-46A7-8737-87E7D4F4703B}"/>
  <sortState xmlns:xlrd2="http://schemas.microsoft.com/office/spreadsheetml/2017/richdata2" ref="M7:S54">
    <sortCondition descending="1" ref="N4:N54"/>
  </sortState>
  <tableColumns count="7">
    <tableColumn id="1" xr3:uid="{547630A2-0533-44F0-8627-87B1B0293CDD}" name="Employee ID" dataCellStyle="Normal"/>
    <tableColumn id="2" xr3:uid="{2862C8BD-471F-4350-9B6C-50A4DF349D1E}" name="Department" dataCellStyle="Normal"/>
    <tableColumn id="3" xr3:uid="{2198FF47-ADA1-4C5C-B7BB-F0C06B8015FB}" name="Employee" dataCellStyle="Normal"/>
    <tableColumn id="4" xr3:uid="{C801E25F-5CEE-4F03-9FB1-47A644C5E977}" name="Country" dataCellStyle="Normal"/>
    <tableColumn id="5" xr3:uid="{2F96E1FC-8706-4364-A3C8-2B7E334B01E6}" name="Yearly Sal" dataCellStyle="Normal"/>
    <tableColumn id="6" xr3:uid="{BED0E792-C54E-417B-B6A4-0F10F36FD865}" name="Bonus %" dataDxfId="2" dataCellStyle="Percent">
      <calculatedColumnFormula array="1">_xlfn.XLOOKUP(Table3[[#This Row],[Employee ID]],EmpBonus8[[#All],[EmployeID]],EmpBonus8[[#All],[Bonus %]],"0%",0)</calculatedColumnFormula>
    </tableColumn>
    <tableColumn id="7" xr3:uid="{A2A4223E-5ED0-4FBA-8259-F9A38B96F746}" name="Bounus $" dataCellStyle="Currency">
      <calculatedColumnFormula>SUM(Table3[[#This Row],[Yearly Sal]]*Table3[[#This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726F2D-0F22-4464-A0E1-6464A43D68A6}" name="EmpBonus85" displayName="EmpBonus85" ref="AA2:AC46" totalsRowShown="0" headerRowDxfId="9" headerRowBorderDxfId="8" tableBorderDxfId="7" totalsRowBorderDxfId="6">
  <autoFilter ref="AA2:AC46" xr:uid="{3F726F2D-0F22-4464-A0E1-6464A43D68A6}"/>
  <sortState xmlns:xlrd2="http://schemas.microsoft.com/office/spreadsheetml/2017/richdata2" ref="AA3:AC46">
    <sortCondition ref="AC2:AC46"/>
  </sortState>
  <tableColumns count="3">
    <tableColumn id="1" xr3:uid="{729ABDC0-C3AE-4365-B1A5-F84985FDB13C}" name="EmployeID" dataDxfId="5"/>
    <tableColumn id="2" xr3:uid="{7D4DE8F6-4749-4C2E-85B6-92D7CE6155EE}" name="Bonus %" dataDxfId="4"/>
    <tableColumn id="3" xr3:uid="{E67724E0-E80B-49B5-9476-322C5B8811C6}" name="Employee Name"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5AD3AD-7190-429E-9B3F-FE99B14FA50A}" name="Table36" displayName="Table36" ref="M5:S55" totalsRowShown="0" tableBorderDxfId="1" headerRowCellStyle="Normal" dataCellStyle="Normal">
  <autoFilter ref="M5:S55" xr:uid="{225AD3AD-7190-429E-9B3F-FE99B14FA50A}"/>
  <sortState xmlns:xlrd2="http://schemas.microsoft.com/office/spreadsheetml/2017/richdata2" ref="M6:S53">
    <sortCondition descending="1" ref="N4:N54"/>
  </sortState>
  <tableColumns count="7">
    <tableColumn id="1" xr3:uid="{0AC2C9C3-BE78-4DA6-B444-9468DD52DB7A}" name="Employee ID" dataCellStyle="Normal"/>
    <tableColumn id="2" xr3:uid="{B4CC8A0F-BE25-4A19-8AF4-FFAD3E0202CB}" name="Department" dataCellStyle="Normal"/>
    <tableColumn id="3" xr3:uid="{E4D124F3-A226-437B-9412-7907081777B0}" name="Employee" dataCellStyle="Normal"/>
    <tableColumn id="4" xr3:uid="{31934690-E12B-4A4D-8E7D-A1D4F508DE0B}" name="Country" dataCellStyle="Normal"/>
    <tableColumn id="5" xr3:uid="{8BAA7456-EB56-4EA6-B0C0-211168CFF0F8}" name="Yearly Sal" dataCellStyle="Normal"/>
    <tableColumn id="6" xr3:uid="{A407EECE-CEA3-4C66-9661-3B55897C4474}" name="Bonus %" dataDxfId="0" dataCellStyle="Percent">
      <calculatedColumnFormula array="1">_xlfn.XLOOKUP(Table36[[#This Row],[Employee ID]],EmpBonus8[[#All],[EmployeID]],EmpBonus8[[#All],[Bonus %]],"0%",0)</calculatedColumnFormula>
    </tableColumn>
    <tableColumn id="7" xr3:uid="{59E0EC17-81D2-4AEC-9CDB-DD6CFF378B76}" name="Bounus $" dataCellStyle="Currency">
      <calculatedColumnFormula>SUM(Table36[[#This Row],[Yearly Sal]]*Table36[[#This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7.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FD6F-880D-413F-BFC7-98F24C0D82CE}">
  <dimension ref="A1:S54"/>
  <sheetViews>
    <sheetView topLeftCell="D24" workbookViewId="0">
      <selection activeCell="H3" sqref="H3:J47"/>
    </sheetView>
  </sheetViews>
  <sheetFormatPr defaultRowHeight="14.4" x14ac:dyDescent="0.3"/>
  <cols>
    <col min="1" max="1" width="12.5546875" customWidth="1"/>
    <col min="2" max="2" width="28.5546875" bestFit="1" customWidth="1"/>
    <col min="3" max="3" width="17.44140625" bestFit="1" customWidth="1"/>
    <col min="4" max="4" width="11.6640625" bestFit="1" customWidth="1"/>
    <col min="5" max="5" width="14.109375" style="15" customWidth="1"/>
    <col min="8" max="8" width="12.44140625" bestFit="1" customWidth="1"/>
    <col min="9" max="9" width="10.44140625" bestFit="1" customWidth="1"/>
    <col min="10" max="10" width="17.44140625" bestFit="1" customWidth="1"/>
    <col min="11" max="11" width="2" bestFit="1" customWidth="1"/>
    <col min="12" max="12" width="54.109375" bestFit="1" customWidth="1"/>
    <col min="13" max="13" width="2" bestFit="1" customWidth="1"/>
    <col min="14" max="14" width="8" bestFit="1" customWidth="1"/>
    <col min="15" max="15" width="13.88671875" bestFit="1" customWidth="1"/>
    <col min="18" max="18" width="2" bestFit="1" customWidth="1"/>
    <col min="19" max="19" width="17.664062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9" x14ac:dyDescent="0.3">
      <c r="A17" s="3" t="s">
        <v>29</v>
      </c>
      <c r="B17" s="1" t="s">
        <v>30</v>
      </c>
      <c r="C17" s="1" t="s">
        <v>31</v>
      </c>
      <c r="D17" s="1" t="s">
        <v>120</v>
      </c>
      <c r="E17" s="13">
        <v>140000</v>
      </c>
      <c r="H17" s="3" t="s">
        <v>40</v>
      </c>
      <c r="I17" s="2">
        <v>0.18</v>
      </c>
      <c r="J17" s="8" t="s">
        <v>41</v>
      </c>
      <c r="L17" t="s">
        <v>127</v>
      </c>
    </row>
    <row r="18" spans="1:19" x14ac:dyDescent="0.3">
      <c r="A18" s="3" t="s">
        <v>32</v>
      </c>
      <c r="B18" s="1" t="s">
        <v>30</v>
      </c>
      <c r="C18" s="1" t="s">
        <v>33</v>
      </c>
      <c r="D18" s="1" t="s">
        <v>119</v>
      </c>
      <c r="E18" s="13">
        <v>110000</v>
      </c>
      <c r="H18" s="3" t="s">
        <v>55</v>
      </c>
      <c r="I18" s="2">
        <v>0.17</v>
      </c>
      <c r="J18" s="8" t="s">
        <v>56</v>
      </c>
      <c r="L18" t="s">
        <v>125</v>
      </c>
    </row>
    <row r="19" spans="1:19" x14ac:dyDescent="0.3">
      <c r="A19" s="3" t="s">
        <v>34</v>
      </c>
      <c r="B19" s="1" t="s">
        <v>30</v>
      </c>
      <c r="C19" s="1" t="s">
        <v>35</v>
      </c>
      <c r="D19" s="1" t="s">
        <v>120</v>
      </c>
      <c r="E19" s="13">
        <v>68357</v>
      </c>
      <c r="H19" s="3" t="s">
        <v>45</v>
      </c>
      <c r="I19" s="2">
        <v>0.14000000000000001</v>
      </c>
      <c r="J19" s="8" t="s">
        <v>46</v>
      </c>
      <c r="K19">
        <v>5</v>
      </c>
      <c r="L19" t="s">
        <v>132</v>
      </c>
    </row>
    <row r="20" spans="1:19" x14ac:dyDescent="0.3">
      <c r="A20" s="3" t="s">
        <v>36</v>
      </c>
      <c r="B20" s="1" t="s">
        <v>30</v>
      </c>
      <c r="C20" s="1" t="s">
        <v>37</v>
      </c>
      <c r="D20" s="1" t="s">
        <v>118</v>
      </c>
      <c r="E20" s="13">
        <v>51800</v>
      </c>
      <c r="H20" s="3" t="s">
        <v>15</v>
      </c>
      <c r="I20" s="2">
        <v>0.14000000000000001</v>
      </c>
      <c r="J20" s="8" t="s">
        <v>16</v>
      </c>
      <c r="K20">
        <v>6</v>
      </c>
      <c r="L20" t="s">
        <v>131</v>
      </c>
    </row>
    <row r="21" spans="1:19" x14ac:dyDescent="0.3">
      <c r="A21" s="3" t="s">
        <v>38</v>
      </c>
      <c r="B21" s="1" t="s">
        <v>30</v>
      </c>
      <c r="C21" s="1" t="s">
        <v>39</v>
      </c>
      <c r="D21" s="1" t="s">
        <v>120</v>
      </c>
      <c r="E21" s="13">
        <v>97000</v>
      </c>
      <c r="H21" s="3" t="s">
        <v>8</v>
      </c>
      <c r="I21" s="2">
        <v>0.1</v>
      </c>
      <c r="J21" s="8" t="s">
        <v>9</v>
      </c>
    </row>
    <row r="22" spans="1:19" x14ac:dyDescent="0.3">
      <c r="A22" s="3" t="s">
        <v>40</v>
      </c>
      <c r="B22" s="1" t="s">
        <v>30</v>
      </c>
      <c r="C22" s="1" t="s">
        <v>41</v>
      </c>
      <c r="D22" s="1" t="s">
        <v>120</v>
      </c>
      <c r="E22" s="13">
        <v>45000</v>
      </c>
      <c r="H22" s="3" t="s">
        <v>29</v>
      </c>
      <c r="I22" s="2">
        <v>0.1</v>
      </c>
      <c r="J22" s="8" t="s">
        <v>31</v>
      </c>
    </row>
    <row r="23" spans="1:19" x14ac:dyDescent="0.3">
      <c r="A23" s="3" t="s">
        <v>42</v>
      </c>
      <c r="B23" s="1" t="s">
        <v>43</v>
      </c>
      <c r="C23" s="1" t="s">
        <v>44</v>
      </c>
      <c r="D23" s="1" t="s">
        <v>118</v>
      </c>
      <c r="E23" s="13">
        <v>89500</v>
      </c>
      <c r="H23" s="3" t="s">
        <v>36</v>
      </c>
      <c r="I23" s="2">
        <v>0.09</v>
      </c>
      <c r="J23" s="8" t="s">
        <v>37</v>
      </c>
      <c r="M23" s="23" t="s">
        <v>148</v>
      </c>
      <c r="N23" s="45" t="s">
        <v>147</v>
      </c>
      <c r="O23" s="45"/>
      <c r="R23">
        <v>1</v>
      </c>
      <c r="S23" t="s">
        <v>109</v>
      </c>
    </row>
    <row r="24" spans="1:19" x14ac:dyDescent="0.3">
      <c r="A24" s="3" t="s">
        <v>45</v>
      </c>
      <c r="B24" s="1" t="s">
        <v>43</v>
      </c>
      <c r="C24" s="1" t="s">
        <v>46</v>
      </c>
      <c r="D24" s="1" t="s">
        <v>120</v>
      </c>
      <c r="E24" s="13">
        <v>35971</v>
      </c>
      <c r="H24" s="3" t="s">
        <v>17</v>
      </c>
      <c r="I24" s="2">
        <v>0.09</v>
      </c>
      <c r="J24" s="8" t="s">
        <v>18</v>
      </c>
      <c r="M24" s="17">
        <v>1</v>
      </c>
      <c r="N24" t="s">
        <v>110</v>
      </c>
      <c r="O24" s="15">
        <f>AVERAGE(E4:E53)</f>
        <v>72397.52</v>
      </c>
      <c r="S24" t="s">
        <v>110</v>
      </c>
    </row>
    <row r="25" spans="1:19" x14ac:dyDescent="0.3">
      <c r="A25" s="3" t="s">
        <v>47</v>
      </c>
      <c r="B25" s="1" t="s">
        <v>43</v>
      </c>
      <c r="C25" s="1" t="s">
        <v>48</v>
      </c>
      <c r="D25" s="1" t="s">
        <v>119</v>
      </c>
      <c r="E25" s="13">
        <v>80000</v>
      </c>
      <c r="H25" s="3" t="s">
        <v>11</v>
      </c>
      <c r="I25" s="2">
        <v>0.08</v>
      </c>
      <c r="J25" s="8" t="s">
        <v>12</v>
      </c>
      <c r="M25" s="17">
        <v>2</v>
      </c>
      <c r="N25" t="s">
        <v>111</v>
      </c>
      <c r="O25" s="15">
        <f>MEDIAN(E4:E53)</f>
        <v>63208</v>
      </c>
      <c r="S25" t="s">
        <v>111</v>
      </c>
    </row>
    <row r="26" spans="1:19" x14ac:dyDescent="0.3">
      <c r="A26" s="3" t="s">
        <v>49</v>
      </c>
      <c r="B26" s="1" t="s">
        <v>43</v>
      </c>
      <c r="C26" s="1" t="s">
        <v>50</v>
      </c>
      <c r="D26" s="1" t="s">
        <v>120</v>
      </c>
      <c r="E26" s="13">
        <v>55117</v>
      </c>
      <c r="H26" s="3" t="s">
        <v>19</v>
      </c>
      <c r="I26" s="2">
        <v>0.06</v>
      </c>
      <c r="J26" s="8" t="s">
        <v>20</v>
      </c>
      <c r="M26" s="17">
        <v>3</v>
      </c>
      <c r="N26" t="s">
        <v>149</v>
      </c>
      <c r="O26" s="15">
        <f>MODE(E4:E53)</f>
        <v>89500</v>
      </c>
      <c r="S26" t="s">
        <v>149</v>
      </c>
    </row>
    <row r="27" spans="1:19" x14ac:dyDescent="0.3">
      <c r="A27" s="3" t="s">
        <v>51</v>
      </c>
      <c r="B27" s="1" t="s">
        <v>43</v>
      </c>
      <c r="C27" s="1" t="s">
        <v>52</v>
      </c>
      <c r="D27" s="1" t="s">
        <v>118</v>
      </c>
      <c r="E27" s="13">
        <v>58445</v>
      </c>
      <c r="H27" s="3" t="s">
        <v>23</v>
      </c>
      <c r="I27" s="2">
        <v>0.06</v>
      </c>
      <c r="J27" s="8" t="s">
        <v>24</v>
      </c>
      <c r="M27" s="17">
        <v>4</v>
      </c>
      <c r="N27" t="s">
        <v>113</v>
      </c>
      <c r="O27" s="15">
        <f>MAX(E4:E53)</f>
        <v>140000</v>
      </c>
      <c r="S27" t="s">
        <v>113</v>
      </c>
    </row>
    <row r="28" spans="1:19" x14ac:dyDescent="0.3">
      <c r="A28" s="3" t="s">
        <v>53</v>
      </c>
      <c r="B28" s="1" t="s">
        <v>43</v>
      </c>
      <c r="C28" s="1" t="s">
        <v>54</v>
      </c>
      <c r="D28" s="1" t="s">
        <v>120</v>
      </c>
      <c r="E28" s="13">
        <v>120000</v>
      </c>
      <c r="H28" s="3" t="s">
        <v>65</v>
      </c>
      <c r="I28" s="2">
        <v>0.06</v>
      </c>
      <c r="J28" s="8" t="s">
        <v>66</v>
      </c>
      <c r="M28" s="17">
        <v>5</v>
      </c>
      <c r="N28" t="s">
        <v>114</v>
      </c>
      <c r="O28" s="15">
        <f>MIN(E4:E53)</f>
        <v>21971</v>
      </c>
      <c r="S28" t="s">
        <v>114</v>
      </c>
    </row>
    <row r="29" spans="1:19" x14ac:dyDescent="0.3">
      <c r="A29" s="3" t="s">
        <v>55</v>
      </c>
      <c r="B29" s="1" t="s">
        <v>43</v>
      </c>
      <c r="C29" s="1" t="s">
        <v>56</v>
      </c>
      <c r="D29" s="1" t="s">
        <v>120</v>
      </c>
      <c r="E29" s="13">
        <v>45117</v>
      </c>
      <c r="H29" s="3" t="s">
        <v>70</v>
      </c>
      <c r="I29" s="2">
        <v>0.15</v>
      </c>
      <c r="J29" s="8" t="s">
        <v>71</v>
      </c>
      <c r="M29" s="17">
        <v>6</v>
      </c>
      <c r="N29" t="s">
        <v>115</v>
      </c>
      <c r="O29" s="15">
        <f>SUM(E4:E53)</f>
        <v>3619876</v>
      </c>
      <c r="S29" t="s">
        <v>115</v>
      </c>
    </row>
    <row r="30" spans="1:19" x14ac:dyDescent="0.3">
      <c r="A30" s="3" t="s">
        <v>57</v>
      </c>
      <c r="B30" s="1" t="s">
        <v>43</v>
      </c>
      <c r="C30" s="1" t="s">
        <v>58</v>
      </c>
      <c r="D30" s="1" t="s">
        <v>119</v>
      </c>
      <c r="E30" s="13">
        <v>50545</v>
      </c>
      <c r="H30" s="3" t="s">
        <v>72</v>
      </c>
      <c r="I30" s="2">
        <v>0.15</v>
      </c>
      <c r="J30" s="8" t="s">
        <v>73</v>
      </c>
    </row>
    <row r="31" spans="1:19" x14ac:dyDescent="0.3">
      <c r="A31" s="3" t="s">
        <v>59</v>
      </c>
      <c r="B31" s="1" t="s">
        <v>43</v>
      </c>
      <c r="C31" s="1" t="s">
        <v>60</v>
      </c>
      <c r="D31" s="1" t="s">
        <v>118</v>
      </c>
      <c r="E31" s="13">
        <v>140000</v>
      </c>
      <c r="H31" s="3" t="s">
        <v>74</v>
      </c>
      <c r="I31" s="2">
        <v>0.19</v>
      </c>
      <c r="J31" s="8" t="s">
        <v>75</v>
      </c>
    </row>
    <row r="32" spans="1:19"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SUBTOTAL(109,EMPData7[Yearly Sal])</f>
        <v>3619876</v>
      </c>
    </row>
  </sheetData>
  <mergeCells count="1">
    <mergeCell ref="N23:O23"/>
  </mergeCells>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J9" sqref="J9"/>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D4" sqref="D4"/>
    </sheetView>
  </sheetViews>
  <sheetFormatPr defaultRowHeight="14.4" x14ac:dyDescent="0.3"/>
  <cols>
    <col min="2" max="2" width="3.77734375" style="17" customWidth="1"/>
    <col min="3" max="3" width="10.21875" bestFit="1" customWidth="1"/>
    <col min="4" max="4" width="13.6640625" bestFit="1" customWidth="1"/>
    <col min="6" max="6" width="8.21875" customWidth="1"/>
    <col min="7" max="7" width="2.3320312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2" spans="1:17" x14ac:dyDescent="0.3">
      <c r="B2" s="24" t="s">
        <v>148</v>
      </c>
      <c r="C2" s="46" t="s">
        <v>147</v>
      </c>
      <c r="D2" s="46"/>
      <c r="G2">
        <v>1</v>
      </c>
      <c r="H2" t="s">
        <v>109</v>
      </c>
    </row>
    <row r="3" spans="1:17" x14ac:dyDescent="0.3">
      <c r="B3" s="25">
        <v>1</v>
      </c>
      <c r="C3" s="1" t="s">
        <v>110</v>
      </c>
      <c r="D3" s="26">
        <f>AVERAGE(EMPData7[Yearly Sal])</f>
        <v>72397.52</v>
      </c>
      <c r="H3" t="s">
        <v>110</v>
      </c>
    </row>
    <row r="4" spans="1:17" x14ac:dyDescent="0.3">
      <c r="B4" s="25">
        <v>2</v>
      </c>
      <c r="C4" s="1" t="s">
        <v>111</v>
      </c>
      <c r="D4" s="26">
        <f>MEDIAN(EMPData7[Yearly Sal])</f>
        <v>63208</v>
      </c>
      <c r="H4" t="s">
        <v>111</v>
      </c>
    </row>
    <row r="5" spans="1:17" x14ac:dyDescent="0.3">
      <c r="B5" s="25">
        <v>3</v>
      </c>
      <c r="C5" s="1" t="s">
        <v>149</v>
      </c>
      <c r="D5" s="26">
        <f>MODE(EMPData7[Yearly Sal])</f>
        <v>89500</v>
      </c>
      <c r="H5" t="s">
        <v>149</v>
      </c>
    </row>
    <row r="6" spans="1:17" x14ac:dyDescent="0.3">
      <c r="B6" s="25">
        <v>4</v>
      </c>
      <c r="C6" s="1" t="s">
        <v>113</v>
      </c>
      <c r="D6" s="26">
        <f>MAX(EMPData7[Yearly Sal])</f>
        <v>140000</v>
      </c>
      <c r="H6" t="s">
        <v>113</v>
      </c>
    </row>
    <row r="7" spans="1:17" x14ac:dyDescent="0.3">
      <c r="B7" s="25">
        <v>5</v>
      </c>
      <c r="C7" s="1" t="s">
        <v>114</v>
      </c>
      <c r="D7" s="26">
        <f>MIN(EMPData7[Yearly Sal])</f>
        <v>21971</v>
      </c>
      <c r="H7" t="s">
        <v>114</v>
      </c>
    </row>
    <row r="8" spans="1:17" x14ac:dyDescent="0.3">
      <c r="B8" s="25">
        <v>6</v>
      </c>
      <c r="C8" s="1" t="s">
        <v>115</v>
      </c>
      <c r="D8" s="26">
        <f>SUM(EMPData7[Yearly Sal])</f>
        <v>3619876</v>
      </c>
      <c r="H8" t="s">
        <v>115</v>
      </c>
    </row>
    <row r="11" spans="1:17" x14ac:dyDescent="0.3">
      <c r="A11" t="s">
        <v>140</v>
      </c>
    </row>
  </sheetData>
  <mergeCells count="1">
    <mergeCell ref="C2:D2"/>
  </mergeCells>
  <pageMargins left="0.7" right="0.7" top="0.75" bottom="0.75" header="0.3" footer="0.3"/>
  <ignoredErrors>
    <ignoredError sqref="D4" formula="1"/>
  </ignoredError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D4" sqref="D4"/>
    </sheetView>
  </sheetViews>
  <sheetFormatPr defaultRowHeight="14.4" x14ac:dyDescent="0.3"/>
  <cols>
    <col min="1" max="1" width="4.77734375" customWidth="1"/>
    <col min="3" max="3" width="13.77734375" customWidth="1"/>
    <col min="4" max="4" width="16.33203125" customWidth="1"/>
    <col min="5" max="5" width="9"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C2" s="28"/>
      <c r="D2" s="47"/>
      <c r="E2" s="48"/>
    </row>
    <row r="3" spans="1:18" x14ac:dyDescent="0.3">
      <c r="C3" s="27" t="s">
        <v>1</v>
      </c>
      <c r="D3" s="49" t="s">
        <v>150</v>
      </c>
      <c r="E3" s="50"/>
    </row>
    <row r="4" spans="1:18" x14ac:dyDescent="0.3">
      <c r="C4" t="str" cm="1">
        <f t="array" ref="C4:C6">_xlfn.UNIQUE(EMPData7[Department],FALSE)</f>
        <v>Sales</v>
      </c>
      <c r="D4" s="16">
        <f>SUMIF(EMPData7[Department],C4,EMPData7[Yearly Sal])</f>
        <v>1294801</v>
      </c>
      <c r="E4" s="16">
        <f>D4</f>
        <v>1294801</v>
      </c>
    </row>
    <row r="5" spans="1:18" x14ac:dyDescent="0.3">
      <c r="C5" t="str">
        <v>Procurement</v>
      </c>
      <c r="D5" s="16">
        <f>SUMIF(EMPData7[Department],C5,EMPData7[Yearly Sal])</f>
        <v>1053666</v>
      </c>
      <c r="E5" s="16">
        <f t="shared" ref="E5:E6" si="0">D5</f>
        <v>1053666</v>
      </c>
    </row>
    <row r="6" spans="1:18" x14ac:dyDescent="0.3">
      <c r="C6" t="str">
        <v>Finance</v>
      </c>
      <c r="D6" s="16">
        <f>SUMIF(EMPData7[Department],C6,EMPData7[Yearly Sal])</f>
        <v>1271409</v>
      </c>
      <c r="E6" s="16">
        <f t="shared" si="0"/>
        <v>1271409</v>
      </c>
    </row>
    <row r="9" spans="1:18" x14ac:dyDescent="0.3">
      <c r="A9" t="s">
        <v>140</v>
      </c>
    </row>
  </sheetData>
  <mergeCells count="2">
    <mergeCell ref="D2:E2"/>
    <mergeCell ref="D3:E3"/>
  </mergeCells>
  <conditionalFormatting sqref="E4:E6">
    <cfRule type="dataBar" priority="1">
      <dataBar showValue="0">
        <cfvo type="min"/>
        <cfvo type="max"/>
        <color rgb="FF008AEF"/>
      </dataBar>
      <extLst>
        <ext xmlns:x14="http://schemas.microsoft.com/office/spreadsheetml/2009/9/main" uri="{B025F937-C7B1-47D3-B67F-A62EFF666E3E}">
          <x14:id>{12930751-304B-437C-9950-4DE2D7C8B341}</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12930751-304B-437C-9950-4DE2D7C8B341}">
            <x14:dataBar minLength="0" maxLength="100" border="1" negativeBarBorderColorSameAsPositive="0">
              <x14:cfvo type="autoMin"/>
              <x14:cfvo type="autoMax"/>
              <x14:borderColor rgb="FF008AEF"/>
              <x14:negativeFillColor rgb="FFFF0000"/>
              <x14:negativeBorderColor rgb="FFFF0000"/>
              <x14:axisColor rgb="FF000000"/>
            </x14:dataBar>
          </x14:cfRule>
          <xm:sqref>E4:E6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0"/>
  <sheetViews>
    <sheetView workbookViewId="0">
      <selection activeCell="B18" sqref="B18"/>
    </sheetView>
  </sheetViews>
  <sheetFormatPr defaultRowHeight="14.4" x14ac:dyDescent="0.3"/>
  <cols>
    <col min="2" max="2" width="12.5546875" bestFit="1" customWidth="1"/>
    <col min="3" max="3" width="15.5546875" style="16" bestFit="1" customWidth="1"/>
  </cols>
  <sheetData>
    <row r="1" spans="1:18" ht="36.6" x14ac:dyDescent="0.7">
      <c r="A1" s="18"/>
      <c r="B1" s="19" t="s">
        <v>135</v>
      </c>
      <c r="C1" s="19"/>
      <c r="D1" s="19"/>
      <c r="E1" s="19"/>
      <c r="F1" s="19"/>
      <c r="G1" s="19"/>
      <c r="H1" s="19"/>
      <c r="I1" s="19"/>
      <c r="J1" s="19"/>
      <c r="K1" s="19"/>
      <c r="L1" s="19"/>
      <c r="M1" s="19"/>
      <c r="N1" s="19"/>
      <c r="O1" s="19"/>
      <c r="P1" s="19"/>
      <c r="Q1" s="19"/>
      <c r="R1" s="19"/>
    </row>
    <row r="3" spans="1:18" x14ac:dyDescent="0.3">
      <c r="B3" s="29" t="s">
        <v>1</v>
      </c>
      <c r="C3" t="s">
        <v>151</v>
      </c>
    </row>
    <row r="4" spans="1:18" x14ac:dyDescent="0.3">
      <c r="B4" s="30" t="s">
        <v>43</v>
      </c>
      <c r="C4" s="31">
        <v>1271409</v>
      </c>
    </row>
    <row r="5" spans="1:18" x14ac:dyDescent="0.3">
      <c r="B5" s="30" t="s">
        <v>30</v>
      </c>
      <c r="C5" s="31">
        <v>1053666</v>
      </c>
    </row>
    <row r="6" spans="1:18" x14ac:dyDescent="0.3">
      <c r="B6" s="30" t="s">
        <v>4</v>
      </c>
      <c r="C6" s="31">
        <v>1294801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sheetData>
  <conditionalFormatting pivot="1" sqref="C4:C6">
    <cfRule type="dataBar" priority="1">
      <dataBar>
        <cfvo type="min"/>
        <cfvo type="max"/>
        <color rgb="FF63C384"/>
      </dataBar>
      <extLst>
        <ext xmlns:x14="http://schemas.microsoft.com/office/spreadsheetml/2009/9/main" uri="{B025F937-C7B1-47D3-B67F-A62EFF666E3E}">
          <x14:id>{1737CE2F-2AFB-444A-8FFD-03092C2C51C1}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737CE2F-2AFB-444A-8FFD-03092C2C51C1}">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3"/>
  <sheetViews>
    <sheetView workbookViewId="0">
      <selection activeCell="P4" sqref="P4"/>
    </sheetView>
  </sheetViews>
  <sheetFormatPr defaultRowHeight="14.4" x14ac:dyDescent="0.3"/>
  <cols>
    <col min="2" max="2" width="12.44140625" bestFit="1" customWidth="1"/>
    <col min="3" max="3" width="12.109375" style="34" bestFit="1" customWidth="1"/>
    <col min="13" max="13" width="12.5546875" bestFit="1" customWidth="1"/>
    <col min="14" max="14" width="15.5546875" bestFit="1" customWidth="1"/>
  </cols>
  <sheetData>
    <row r="1" spans="1:18" ht="36.6" x14ac:dyDescent="0.7">
      <c r="A1" s="18"/>
      <c r="B1" s="19" t="s">
        <v>136</v>
      </c>
      <c r="C1" s="33"/>
      <c r="D1" s="19"/>
      <c r="E1" s="19"/>
      <c r="F1" s="19"/>
      <c r="G1" s="19"/>
      <c r="H1" s="19"/>
      <c r="I1" s="19"/>
      <c r="J1" s="19"/>
      <c r="K1" s="19"/>
      <c r="L1" s="19"/>
      <c r="M1" s="19"/>
      <c r="N1" s="19"/>
      <c r="O1" s="19"/>
      <c r="P1" s="19"/>
      <c r="Q1" s="19"/>
      <c r="R1" s="19"/>
    </row>
    <row r="4" spans="1:18" x14ac:dyDescent="0.3">
      <c r="M4" s="29" t="s">
        <v>152</v>
      </c>
      <c r="N4" t="s">
        <v>151</v>
      </c>
    </row>
    <row r="5" spans="1:18" x14ac:dyDescent="0.3">
      <c r="B5" s="35" t="s">
        <v>2</v>
      </c>
      <c r="C5" s="36" t="s">
        <v>154</v>
      </c>
      <c r="M5" s="30" t="s">
        <v>60</v>
      </c>
      <c r="N5">
        <v>140000</v>
      </c>
    </row>
    <row r="6" spans="1:18" x14ac:dyDescent="0.3">
      <c r="B6" s="37" t="s">
        <v>31</v>
      </c>
      <c r="C6" s="38">
        <v>140000</v>
      </c>
      <c r="M6" s="30" t="s">
        <v>31</v>
      </c>
      <c r="N6">
        <v>140000</v>
      </c>
    </row>
    <row r="7" spans="1:18" x14ac:dyDescent="0.3">
      <c r="B7" s="37" t="s">
        <v>60</v>
      </c>
      <c r="C7" s="38">
        <v>140000</v>
      </c>
      <c r="M7" s="30" t="s">
        <v>153</v>
      </c>
      <c r="N7">
        <v>280000</v>
      </c>
    </row>
    <row r="8" spans="1:18" x14ac:dyDescent="0.3">
      <c r="C8" s="32"/>
    </row>
    <row r="9" spans="1:18" x14ac:dyDescent="0.3">
      <c r="B9" t="s">
        <v>142</v>
      </c>
      <c r="C9" s="32"/>
    </row>
    <row r="10" spans="1:18" x14ac:dyDescent="0.3">
      <c r="C10" s="32"/>
    </row>
    <row r="13" spans="1:18" x14ac:dyDescent="0.3">
      <c r="A13" t="s">
        <v>141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9"/>
  <sheetViews>
    <sheetView topLeftCell="A8" workbookViewId="0">
      <selection activeCell="M21" sqref="M21"/>
    </sheetView>
  </sheetViews>
  <sheetFormatPr defaultRowHeight="14.4" x14ac:dyDescent="0.3"/>
  <cols>
    <col min="2" max="2" width="17" customWidth="1"/>
    <col min="3" max="3" width="15.33203125" style="16" customWidth="1"/>
    <col min="10" max="10" width="11.88671875" customWidth="1"/>
    <col min="11" max="11" width="13.21875" customWidth="1"/>
    <col min="13" max="13" width="15.88671875" customWidth="1"/>
    <col min="14" max="14" width="16.5546875" customWidth="1"/>
  </cols>
  <sheetData>
    <row r="1" spans="1:18" ht="36.6" x14ac:dyDescent="0.7">
      <c r="A1" s="18"/>
      <c r="B1" s="19" t="s">
        <v>137</v>
      </c>
      <c r="C1" s="19"/>
      <c r="D1" s="19"/>
      <c r="E1" s="19"/>
      <c r="F1" s="19"/>
      <c r="G1" s="19"/>
      <c r="H1" s="19"/>
      <c r="I1" s="19"/>
      <c r="J1" s="19"/>
      <c r="K1" s="19"/>
      <c r="L1" s="19"/>
      <c r="M1" s="19"/>
      <c r="N1" s="19"/>
      <c r="O1" s="19"/>
      <c r="P1" s="19"/>
      <c r="Q1" s="19"/>
      <c r="R1" s="19"/>
    </row>
    <row r="10" spans="1:18" x14ac:dyDescent="0.3">
      <c r="B10" s="35" t="s">
        <v>2</v>
      </c>
      <c r="C10" s="1" t="s">
        <v>154</v>
      </c>
    </row>
    <row r="11" spans="1:18" x14ac:dyDescent="0.3">
      <c r="B11" s="37" t="s">
        <v>9</v>
      </c>
      <c r="C11" s="39">
        <v>29726</v>
      </c>
    </row>
    <row r="12" spans="1:18" x14ac:dyDescent="0.3">
      <c r="B12" s="37" t="s">
        <v>22</v>
      </c>
      <c r="C12" s="39">
        <v>21971</v>
      </c>
    </row>
    <row r="13" spans="1:18" x14ac:dyDescent="0.3">
      <c r="C13"/>
    </row>
    <row r="14" spans="1:18" x14ac:dyDescent="0.3">
      <c r="A14" t="s">
        <v>141</v>
      </c>
    </row>
    <row r="16" spans="1:18" x14ac:dyDescent="0.3">
      <c r="J16" s="35" t="s">
        <v>2</v>
      </c>
      <c r="K16" s="1" t="s">
        <v>154</v>
      </c>
    </row>
    <row r="17" spans="10:11" x14ac:dyDescent="0.3">
      <c r="J17" s="37" t="s">
        <v>9</v>
      </c>
      <c r="K17" s="39">
        <v>29726</v>
      </c>
    </row>
    <row r="18" spans="10:11" x14ac:dyDescent="0.3">
      <c r="J18" s="37" t="s">
        <v>22</v>
      </c>
      <c r="K18" s="39">
        <v>21971</v>
      </c>
    </row>
    <row r="19" spans="10:11" x14ac:dyDescent="0.3">
      <c r="J19" s="37" t="s">
        <v>153</v>
      </c>
      <c r="K19" s="39">
        <v>51697</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49"/>
  <sheetViews>
    <sheetView workbookViewId="0">
      <selection activeCell="H13" sqref="H13"/>
    </sheetView>
  </sheetViews>
  <sheetFormatPr defaultRowHeight="14.4" x14ac:dyDescent="0.3"/>
  <cols>
    <col min="2" max="2" width="14.5546875" bestFit="1" customWidth="1"/>
    <col min="3" max="3" width="12.44140625" style="16" bestFit="1" customWidth="1"/>
    <col min="13" max="13" width="14.5546875" bestFit="1" customWidth="1"/>
    <col min="14" max="14" width="15.5546875" bestFit="1"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C3"/>
    </row>
    <row r="4" spans="1:18" x14ac:dyDescent="0.3">
      <c r="B4" s="35" t="s">
        <v>2</v>
      </c>
      <c r="C4" s="25" t="s">
        <v>154</v>
      </c>
    </row>
    <row r="5" spans="1:18" x14ac:dyDescent="0.3">
      <c r="B5" s="37" t="s">
        <v>60</v>
      </c>
      <c r="C5" s="39">
        <v>140000</v>
      </c>
    </row>
    <row r="6" spans="1:18" x14ac:dyDescent="0.3">
      <c r="B6" s="41" t="s">
        <v>118</v>
      </c>
      <c r="C6" s="39">
        <v>140000</v>
      </c>
    </row>
    <row r="7" spans="1:18" x14ac:dyDescent="0.3">
      <c r="B7" s="37" t="s">
        <v>31</v>
      </c>
      <c r="C7" s="39">
        <v>140000</v>
      </c>
      <c r="M7" s="29" t="s">
        <v>152</v>
      </c>
      <c r="N7" t="s">
        <v>151</v>
      </c>
    </row>
    <row r="8" spans="1:18" x14ac:dyDescent="0.3">
      <c r="B8" s="41" t="s">
        <v>120</v>
      </c>
      <c r="C8" s="39">
        <v>140000</v>
      </c>
      <c r="M8" s="30" t="s">
        <v>60</v>
      </c>
      <c r="N8">
        <v>140000</v>
      </c>
    </row>
    <row r="9" spans="1:18" x14ac:dyDescent="0.3">
      <c r="C9"/>
      <c r="M9" s="30" t="s">
        <v>31</v>
      </c>
      <c r="N9">
        <v>140000</v>
      </c>
    </row>
    <row r="10" spans="1:18" x14ac:dyDescent="0.3">
      <c r="B10" t="s">
        <v>142</v>
      </c>
      <c r="C10"/>
      <c r="M10" s="30" t="s">
        <v>153</v>
      </c>
      <c r="N10">
        <v>280000</v>
      </c>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L11" sqref="L11"/>
    </sheetView>
  </sheetViews>
  <sheetFormatPr defaultRowHeight="14.4" x14ac:dyDescent="0.3"/>
  <cols>
    <col min="2" max="2" width="13.44140625" bestFit="1" customWidth="1"/>
    <col min="3" max="3" width="11.44140625" bestFit="1" customWidth="1"/>
    <col min="12" max="12" width="13.44140625" bestFit="1" customWidth="1"/>
    <col min="13" max="13" width="15.5546875" bestFit="1" customWidth="1"/>
  </cols>
  <sheetData>
    <row r="1" spans="1:18" ht="36.6" x14ac:dyDescent="0.7">
      <c r="A1" s="18"/>
      <c r="B1" s="19" t="s">
        <v>139</v>
      </c>
      <c r="C1" s="19"/>
      <c r="D1" s="19"/>
      <c r="E1" s="19"/>
      <c r="F1" s="19"/>
      <c r="G1" s="19"/>
      <c r="H1" s="19"/>
      <c r="I1" s="19"/>
      <c r="J1" s="19"/>
      <c r="K1" s="19"/>
      <c r="L1" s="19"/>
      <c r="M1" s="19"/>
      <c r="N1" s="19"/>
      <c r="O1" s="19"/>
      <c r="P1" s="19"/>
      <c r="Q1" s="19"/>
      <c r="R1" s="19"/>
    </row>
    <row r="4" spans="1:18" x14ac:dyDescent="0.3">
      <c r="B4" s="29" t="s">
        <v>2</v>
      </c>
      <c r="C4" s="17" t="s">
        <v>154</v>
      </c>
    </row>
    <row r="5" spans="1:18" x14ac:dyDescent="0.3">
      <c r="B5" s="30" t="s">
        <v>9</v>
      </c>
      <c r="C5" s="31">
        <v>29726</v>
      </c>
    </row>
    <row r="6" spans="1:18" x14ac:dyDescent="0.3">
      <c r="B6" s="40" t="s">
        <v>120</v>
      </c>
      <c r="C6" s="31">
        <v>29726</v>
      </c>
    </row>
    <row r="7" spans="1:18" x14ac:dyDescent="0.3">
      <c r="B7" s="30" t="s">
        <v>22</v>
      </c>
      <c r="C7" s="31">
        <v>21971</v>
      </c>
    </row>
    <row r="8" spans="1:18" x14ac:dyDescent="0.3">
      <c r="B8" s="40" t="s">
        <v>118</v>
      </c>
      <c r="C8" s="31">
        <v>21971</v>
      </c>
      <c r="L8" s="29" t="s">
        <v>152</v>
      </c>
      <c r="M8" t="s">
        <v>151</v>
      </c>
    </row>
    <row r="9" spans="1:18" x14ac:dyDescent="0.3">
      <c r="L9" s="30" t="s">
        <v>9</v>
      </c>
      <c r="M9">
        <v>29726</v>
      </c>
    </row>
    <row r="10" spans="1:18" x14ac:dyDescent="0.3">
      <c r="L10" s="40" t="s">
        <v>120</v>
      </c>
      <c r="M10">
        <v>29726</v>
      </c>
    </row>
    <row r="11" spans="1:18" x14ac:dyDescent="0.3">
      <c r="L11" s="30" t="s">
        <v>22</v>
      </c>
      <c r="M11">
        <v>21971</v>
      </c>
    </row>
    <row r="12" spans="1:18" x14ac:dyDescent="0.3">
      <c r="L12" s="40" t="s">
        <v>118</v>
      </c>
      <c r="M12">
        <v>21971</v>
      </c>
    </row>
    <row r="13" spans="1:18" x14ac:dyDescent="0.3">
      <c r="L13" s="30" t="s">
        <v>153</v>
      </c>
      <c r="M13">
        <v>51697</v>
      </c>
    </row>
    <row r="14" spans="1:18" x14ac:dyDescent="0.3">
      <c r="A14" t="s">
        <v>143</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AC54"/>
  <sheetViews>
    <sheetView topLeftCell="A27" zoomScale="92" zoomScaleNormal="92" workbookViewId="0">
      <selection activeCell="M4" sqref="M4:S54"/>
    </sheetView>
  </sheetViews>
  <sheetFormatPr defaultRowHeight="14.4" x14ac:dyDescent="0.3"/>
  <cols>
    <col min="2" max="2" width="13.21875" customWidth="1"/>
    <col min="3" max="3" width="13.109375" customWidth="1"/>
    <col min="4" max="4" width="16.5546875" customWidth="1"/>
    <col min="5" max="5" width="11.109375" customWidth="1"/>
    <col min="6" max="6" width="12.44140625" customWidth="1"/>
    <col min="7" max="7" width="11.21875" style="17" customWidth="1"/>
    <col min="8" max="8" width="13.44140625" customWidth="1"/>
    <col min="10" max="10" width="12.109375" hidden="1" customWidth="1"/>
    <col min="11" max="11" width="10.21875" hidden="1" customWidth="1"/>
    <col min="12" max="12" width="16.77734375" hidden="1" customWidth="1"/>
    <col min="13" max="13" width="15.77734375" bestFit="1" customWidth="1"/>
    <col min="14" max="14" width="15.33203125" bestFit="1" customWidth="1"/>
    <col min="15" max="15" width="19.88671875" bestFit="1" customWidth="1"/>
    <col min="16" max="16" width="13.109375" bestFit="1" customWidth="1"/>
    <col min="17" max="17" width="13.33203125" bestFit="1" customWidth="1"/>
    <col min="18" max="18" width="15.6640625" style="54" bestFit="1" customWidth="1"/>
    <col min="19" max="19" width="12.6640625" style="16" bestFit="1" customWidth="1"/>
    <col min="20" max="20" width="15.6640625" customWidth="1"/>
  </cols>
  <sheetData>
    <row r="1" spans="1:29" ht="36.6" x14ac:dyDescent="0.7">
      <c r="A1" s="18"/>
      <c r="B1" s="19" t="s">
        <v>129</v>
      </c>
      <c r="C1" s="19"/>
      <c r="D1" s="19"/>
      <c r="E1" s="19"/>
      <c r="F1" s="19"/>
      <c r="G1" s="19"/>
      <c r="H1" s="19"/>
      <c r="I1" s="19"/>
      <c r="J1" s="19"/>
      <c r="K1" s="19"/>
      <c r="L1" s="19"/>
      <c r="M1" s="19"/>
      <c r="N1" s="19"/>
      <c r="O1" s="19"/>
      <c r="P1" s="19"/>
      <c r="Q1" s="19"/>
    </row>
    <row r="2" spans="1:29" x14ac:dyDescent="0.3">
      <c r="AA2" s="4" t="s">
        <v>67</v>
      </c>
      <c r="AB2" s="5" t="s">
        <v>68</v>
      </c>
      <c r="AC2" s="9" t="s">
        <v>69</v>
      </c>
    </row>
    <row r="3" spans="1:29" x14ac:dyDescent="0.3">
      <c r="B3" s="57" t="s">
        <v>0</v>
      </c>
      <c r="C3" s="51" t="s">
        <v>1</v>
      </c>
      <c r="D3" s="51" t="s">
        <v>2</v>
      </c>
      <c r="E3" s="51" t="s">
        <v>117</v>
      </c>
      <c r="F3" s="51" t="s">
        <v>108</v>
      </c>
      <c r="G3" s="58" t="s">
        <v>68</v>
      </c>
      <c r="H3" s="59" t="s">
        <v>155</v>
      </c>
      <c r="AA3" s="3" t="s">
        <v>32</v>
      </c>
      <c r="AB3" s="2">
        <v>0.18</v>
      </c>
      <c r="AC3" s="8" t="s">
        <v>33</v>
      </c>
    </row>
    <row r="4" spans="1:29" x14ac:dyDescent="0.3">
      <c r="B4" s="60" t="s">
        <v>3</v>
      </c>
      <c r="C4" s="52" t="s">
        <v>4</v>
      </c>
      <c r="D4" s="52" t="s">
        <v>5</v>
      </c>
      <c r="E4" s="52" t="s">
        <v>118</v>
      </c>
      <c r="F4" s="52">
        <v>60270</v>
      </c>
      <c r="G4" s="55" t="e" cm="1">
        <f t="array" ref="G4">_xlfn.XLOOKUP(Table3[[#This Row],[Employee ID]],EmpBonus8[[#All],[EmployeID]],EmpBonus8[[#All],[Bonus %]],"0%",0)</f>
        <v>#VALUE!</v>
      </c>
      <c r="H4" s="61" t="e">
        <f>SUM(Table3[[#This Row],[Yearly Sal]]*Table3[[#This Row],[Bonus %]])</f>
        <v>#VALUE!</v>
      </c>
      <c r="M4" t="s">
        <v>0</v>
      </c>
      <c r="N4" t="s">
        <v>1</v>
      </c>
      <c r="O4" t="s">
        <v>2</v>
      </c>
      <c r="P4" t="s">
        <v>117</v>
      </c>
      <c r="Q4" t="s">
        <v>108</v>
      </c>
      <c r="R4" s="55" t="s">
        <v>68</v>
      </c>
      <c r="S4" s="56" t="s">
        <v>155</v>
      </c>
      <c r="AA4" s="3" t="s">
        <v>36</v>
      </c>
      <c r="AB4" s="2">
        <v>0.09</v>
      </c>
      <c r="AC4" s="8" t="s">
        <v>37</v>
      </c>
    </row>
    <row r="5" spans="1:29" x14ac:dyDescent="0.3">
      <c r="B5" s="62" t="s">
        <v>10</v>
      </c>
      <c r="C5" s="53" t="s">
        <v>4</v>
      </c>
      <c r="D5" s="53" t="s">
        <v>73</v>
      </c>
      <c r="E5" s="53" t="s">
        <v>120</v>
      </c>
      <c r="F5" s="53">
        <v>93668</v>
      </c>
      <c r="G5" s="55" t="str" cm="1">
        <f t="array" ref="G5">_xlfn.XLOOKUP(Table3[[#This Row],[Employee ID]],EmpBonus8[[#All],[EmployeID]],EmpBonus8[[#All],[Bonus %]],"0%",0)</f>
        <v>0%</v>
      </c>
      <c r="H5" s="63">
        <f>SUM(Table3[[#This Row],[Yearly Sal]]*Table3[[#This Row],[Bonus %]])</f>
        <v>0</v>
      </c>
      <c r="M5" t="s">
        <v>3</v>
      </c>
      <c r="N5" t="s">
        <v>4</v>
      </c>
      <c r="O5" t="s">
        <v>5</v>
      </c>
      <c r="P5" t="s">
        <v>118</v>
      </c>
      <c r="Q5">
        <v>60270</v>
      </c>
      <c r="R5" s="55" t="str" cm="1">
        <f t="array" ref="R5">_xlfn.XLOOKUP(Table3[[#This Row],[Employee ID]],EmpBonus8[[#All],[EmployeID]],EmpBonus8[[#All],[Bonus %]],"0%",0)</f>
        <v>0%</v>
      </c>
      <c r="S5" s="56">
        <f>SUM(Table3[[#This Row],[Yearly Sal]]*Table3[[#This Row],[Bonus %]])</f>
        <v>0</v>
      </c>
      <c r="AA5" s="3" t="s">
        <v>70</v>
      </c>
      <c r="AB5" s="2">
        <v>0.15</v>
      </c>
      <c r="AC5" s="8" t="s">
        <v>71</v>
      </c>
    </row>
    <row r="6" spans="1:29" x14ac:dyDescent="0.3">
      <c r="B6" s="60" t="s">
        <v>23</v>
      </c>
      <c r="C6" s="52" t="s">
        <v>4</v>
      </c>
      <c r="D6" s="52" t="s">
        <v>24</v>
      </c>
      <c r="E6" s="52" t="s">
        <v>118</v>
      </c>
      <c r="F6" s="52">
        <v>80000</v>
      </c>
      <c r="G6" s="55" t="str" cm="1">
        <f t="array" ref="G6">_xlfn.XLOOKUP(Table3[[#This Row],[Employee ID]],EmpBonus8[[#All],[EmployeID]],EmpBonus8[[#All],[Bonus %]],"0%",0)</f>
        <v>0%</v>
      </c>
      <c r="H6" s="61">
        <f>SUM(Table3[[#This Row],[Yearly Sal]]*Table3[[#This Row],[Bonus %]])</f>
        <v>0</v>
      </c>
      <c r="M6" t="s">
        <v>10</v>
      </c>
      <c r="N6" t="s">
        <v>4</v>
      </c>
      <c r="O6" t="s">
        <v>73</v>
      </c>
      <c r="P6" t="s">
        <v>120</v>
      </c>
      <c r="Q6">
        <v>93668</v>
      </c>
      <c r="R6" s="55" t="str" cm="1">
        <f t="array" ref="R6">_xlfn.XLOOKUP(Table3[[#This Row],[Employee ID]],EmpBonus8[[#All],[EmployeID]],EmpBonus8[[#All],[Bonus %]],"0%",0)</f>
        <v>0%</v>
      </c>
      <c r="S6" s="56">
        <f>SUM(Table3[[#This Row],[Yearly Sal]]*Table3[[#This Row],[Bonus %]])</f>
        <v>0</v>
      </c>
      <c r="AA6" s="3" t="s">
        <v>55</v>
      </c>
      <c r="AB6" s="2">
        <v>0.17</v>
      </c>
      <c r="AC6" s="8" t="s">
        <v>56</v>
      </c>
    </row>
    <row r="7" spans="1:29" x14ac:dyDescent="0.3">
      <c r="B7" s="62" t="s">
        <v>19</v>
      </c>
      <c r="C7" s="53" t="s">
        <v>4</v>
      </c>
      <c r="D7" s="53" t="s">
        <v>20</v>
      </c>
      <c r="E7" s="53" t="s">
        <v>120</v>
      </c>
      <c r="F7" s="53">
        <v>89500</v>
      </c>
      <c r="G7" s="55" cm="1">
        <f t="array" ref="G7">_xlfn.XLOOKUP(Table3[[#This Row],[Employee ID]],EmpBonus8[[#All],[EmployeID]],EmpBonus8[[#All],[Bonus %]],"0%",0)</f>
        <v>0.06</v>
      </c>
      <c r="H7" s="63">
        <f>SUM(Table3[[#This Row],[Yearly Sal]]*Table3[[#This Row],[Bonus %]])</f>
        <v>4800</v>
      </c>
      <c r="M7" t="s">
        <v>23</v>
      </c>
      <c r="N7" t="s">
        <v>4</v>
      </c>
      <c r="O7" t="s">
        <v>24</v>
      </c>
      <c r="P7" t="s">
        <v>118</v>
      </c>
      <c r="Q7">
        <v>80000</v>
      </c>
      <c r="R7" s="55" cm="1">
        <f t="array" ref="R7">_xlfn.XLOOKUP(Table3[[#This Row],[Employee ID]],EmpBonus8[[#All],[EmployeID]],EmpBonus8[[#All],[Bonus %]],"0%",0)</f>
        <v>0.06</v>
      </c>
      <c r="S7" s="56">
        <f>SUM(Table3[[#This Row],[Yearly Sal]]*Table3[[#This Row],[Bonus %]])</f>
        <v>4800</v>
      </c>
      <c r="AA7" s="3" t="s">
        <v>25</v>
      </c>
      <c r="AB7" s="2">
        <v>0.24</v>
      </c>
      <c r="AC7" s="8" t="s">
        <v>26</v>
      </c>
    </row>
    <row r="8" spans="1:29" x14ac:dyDescent="0.3">
      <c r="B8" s="60" t="s">
        <v>11</v>
      </c>
      <c r="C8" s="52" t="s">
        <v>4</v>
      </c>
      <c r="D8" s="52" t="s">
        <v>12</v>
      </c>
      <c r="E8" s="52" t="s">
        <v>119</v>
      </c>
      <c r="F8" s="52">
        <v>134000</v>
      </c>
      <c r="G8" s="55" cm="1">
        <f t="array" ref="G8">_xlfn.XLOOKUP(Table3[[#This Row],[Employee ID]],EmpBonus8[[#All],[EmployeID]],EmpBonus8[[#All],[Bonus %]],"0%",0)</f>
        <v>0.06</v>
      </c>
      <c r="H8" s="61">
        <f>SUM(Table3[[#This Row],[Yearly Sal]]*Table3[[#This Row],[Bonus %]])</f>
        <v>5370</v>
      </c>
      <c r="M8" t="s">
        <v>19</v>
      </c>
      <c r="N8" t="s">
        <v>4</v>
      </c>
      <c r="O8" t="s">
        <v>20</v>
      </c>
      <c r="P8" t="s">
        <v>120</v>
      </c>
      <c r="Q8">
        <v>89500</v>
      </c>
      <c r="R8" s="55" cm="1">
        <f t="array" ref="R8">_xlfn.XLOOKUP(Table3[[#This Row],[Employee ID]],EmpBonus8[[#All],[EmployeID]],EmpBonus8[[#All],[Bonus %]],"0%",0)</f>
        <v>0.06</v>
      </c>
      <c r="S8" s="56">
        <f>SUM(Table3[[#This Row],[Yearly Sal]]*Table3[[#This Row],[Bonus %]])</f>
        <v>5370</v>
      </c>
      <c r="AA8" s="3" t="s">
        <v>96</v>
      </c>
      <c r="AB8" s="2">
        <v>0.1</v>
      </c>
      <c r="AC8" s="8" t="s">
        <v>97</v>
      </c>
    </row>
    <row r="9" spans="1:29" x14ac:dyDescent="0.3">
      <c r="B9" s="62" t="s">
        <v>17</v>
      </c>
      <c r="C9" s="53" t="s">
        <v>4</v>
      </c>
      <c r="D9" s="53" t="s">
        <v>18</v>
      </c>
      <c r="E9" s="53" t="s">
        <v>120</v>
      </c>
      <c r="F9" s="53">
        <v>45000</v>
      </c>
      <c r="G9" s="55" cm="1">
        <f t="array" ref="G9">_xlfn.XLOOKUP(Table3[[#This Row],[Employee ID]],EmpBonus8[[#All],[EmployeID]],EmpBonus8[[#All],[Bonus %]],"0%",0)</f>
        <v>0.08</v>
      </c>
      <c r="H9" s="63">
        <f>SUM(Table3[[#This Row],[Yearly Sal]]*Table3[[#This Row],[Bonus %]])</f>
        <v>10720</v>
      </c>
      <c r="M9" t="s">
        <v>11</v>
      </c>
      <c r="N9" t="s">
        <v>4</v>
      </c>
      <c r="O9" t="s">
        <v>12</v>
      </c>
      <c r="P9" t="s">
        <v>119</v>
      </c>
      <c r="Q9">
        <v>134000</v>
      </c>
      <c r="R9" s="55" cm="1">
        <f t="array" ref="R9">_xlfn.XLOOKUP(Table3[[#This Row],[Employee ID]],EmpBonus8[[#All],[EmployeID]],EmpBonus8[[#All],[Bonus %]],"0%",0)</f>
        <v>0.08</v>
      </c>
      <c r="S9" s="56">
        <f>SUM(Table3[[#This Row],[Yearly Sal]]*Table3[[#This Row],[Bonus %]])</f>
        <v>10720</v>
      </c>
      <c r="AA9" s="3" t="s">
        <v>38</v>
      </c>
      <c r="AB9" s="2">
        <v>0.19</v>
      </c>
      <c r="AC9" s="8" t="s">
        <v>39</v>
      </c>
    </row>
    <row r="10" spans="1:29" x14ac:dyDescent="0.3">
      <c r="B10" s="60" t="s">
        <v>8</v>
      </c>
      <c r="C10" s="52" t="s">
        <v>4</v>
      </c>
      <c r="D10" s="52" t="s">
        <v>9</v>
      </c>
      <c r="E10" s="52" t="s">
        <v>120</v>
      </c>
      <c r="F10" s="52">
        <v>29726</v>
      </c>
      <c r="G10" s="55" cm="1">
        <f t="array" ref="G10">_xlfn.XLOOKUP(Table3[[#This Row],[Employee ID]],EmpBonus8[[#All],[EmployeID]],EmpBonus8[[#All],[Bonus %]],"0%",0)</f>
        <v>0.09</v>
      </c>
      <c r="H10" s="61">
        <f>SUM(Table3[[#This Row],[Yearly Sal]]*Table3[[#This Row],[Bonus %]])</f>
        <v>4050</v>
      </c>
      <c r="M10" t="s">
        <v>17</v>
      </c>
      <c r="N10" t="s">
        <v>4</v>
      </c>
      <c r="O10" t="s">
        <v>18</v>
      </c>
      <c r="P10" t="s">
        <v>120</v>
      </c>
      <c r="Q10">
        <v>45000</v>
      </c>
      <c r="R10" s="55" cm="1">
        <f t="array" ref="R10">_xlfn.XLOOKUP(Table3[[#This Row],[Employee ID]],EmpBonus8[[#All],[EmployeID]],EmpBonus8[[#All],[Bonus %]],"0%",0)</f>
        <v>0.09</v>
      </c>
      <c r="S10" s="56">
        <f>SUM(Table3[[#This Row],[Yearly Sal]]*Table3[[#This Row],[Bonus %]])</f>
        <v>4050</v>
      </c>
      <c r="AA10" s="3" t="s">
        <v>53</v>
      </c>
      <c r="AB10" s="2">
        <v>0.21</v>
      </c>
      <c r="AC10" s="8" t="s">
        <v>54</v>
      </c>
    </row>
    <row r="11" spans="1:29" x14ac:dyDescent="0.3">
      <c r="B11" s="62" t="s">
        <v>106</v>
      </c>
      <c r="C11" s="53" t="s">
        <v>4</v>
      </c>
      <c r="D11" s="53" t="s">
        <v>107</v>
      </c>
      <c r="E11" s="53" t="s">
        <v>118</v>
      </c>
      <c r="F11" s="53">
        <v>58445</v>
      </c>
      <c r="G11" s="55" cm="1">
        <f t="array" ref="G11">_xlfn.XLOOKUP(Table3[[#This Row],[Employee ID]],EmpBonus8[[#All],[EmployeID]],EmpBonus8[[#All],[Bonus %]],"0%",0)</f>
        <v>0.1</v>
      </c>
      <c r="H11" s="63">
        <f>SUM(Table3[[#This Row],[Yearly Sal]]*Table3[[#This Row],[Bonus %]])</f>
        <v>2972.6000000000004</v>
      </c>
      <c r="M11" t="s">
        <v>8</v>
      </c>
      <c r="N11" t="s">
        <v>4</v>
      </c>
      <c r="O11" t="s">
        <v>9</v>
      </c>
      <c r="P11" t="s">
        <v>120</v>
      </c>
      <c r="Q11">
        <v>29726</v>
      </c>
      <c r="R11" s="55" cm="1">
        <f t="array" ref="R11">_xlfn.XLOOKUP(Table3[[#This Row],[Employee ID]],EmpBonus8[[#All],[EmployeID]],EmpBonus8[[#All],[Bonus %]],"0%",0)</f>
        <v>0.1</v>
      </c>
      <c r="S11" s="56">
        <f>SUM(Table3[[#This Row],[Yearly Sal]]*Table3[[#This Row],[Bonus %]])</f>
        <v>2972.6000000000004</v>
      </c>
      <c r="AA11" s="3" t="s">
        <v>59</v>
      </c>
      <c r="AB11" s="2">
        <v>0.2</v>
      </c>
      <c r="AC11" s="8" t="s">
        <v>60</v>
      </c>
    </row>
    <row r="12" spans="1:29" x14ac:dyDescent="0.3">
      <c r="B12" s="60" t="s">
        <v>100</v>
      </c>
      <c r="C12" s="52" t="s">
        <v>4</v>
      </c>
      <c r="D12" s="52" t="s">
        <v>101</v>
      </c>
      <c r="E12" s="52" t="s">
        <v>119</v>
      </c>
      <c r="F12" s="52">
        <v>55117</v>
      </c>
      <c r="G12" s="55" cm="1">
        <f t="array" ref="G12">_xlfn.XLOOKUP(Table3[[#This Row],[Employee ID]],EmpBonus8[[#All],[EmployeID]],EmpBonus8[[#All],[Bonus %]],"0%",0)</f>
        <v>0.11</v>
      </c>
      <c r="H12" s="61">
        <f>SUM(Table3[[#This Row],[Yearly Sal]]*Table3[[#This Row],[Bonus %]])</f>
        <v>6428.95</v>
      </c>
      <c r="M12" t="s">
        <v>106</v>
      </c>
      <c r="N12" t="s">
        <v>4</v>
      </c>
      <c r="O12" t="s">
        <v>107</v>
      </c>
      <c r="P12" t="s">
        <v>118</v>
      </c>
      <c r="Q12">
        <v>58445</v>
      </c>
      <c r="R12" s="55" cm="1">
        <f t="array" ref="R12">_xlfn.XLOOKUP(Table3[[#This Row],[Employee ID]],EmpBonus8[[#All],[EmployeID]],EmpBonus8[[#All],[Bonus %]],"0%",0)</f>
        <v>0.11</v>
      </c>
      <c r="S12" s="56">
        <f>SUM(Table3[[#This Row],[Yearly Sal]]*Table3[[#This Row],[Bonus %]])</f>
        <v>6428.95</v>
      </c>
      <c r="AA12" s="3" t="s">
        <v>100</v>
      </c>
      <c r="AB12" s="2">
        <v>0.13</v>
      </c>
      <c r="AC12" s="8" t="s">
        <v>101</v>
      </c>
    </row>
    <row r="13" spans="1:29" x14ac:dyDescent="0.3">
      <c r="B13" s="62" t="s">
        <v>90</v>
      </c>
      <c r="C13" s="53" t="s">
        <v>4</v>
      </c>
      <c r="D13" s="53" t="s">
        <v>91</v>
      </c>
      <c r="E13" s="53" t="s">
        <v>120</v>
      </c>
      <c r="F13" s="53">
        <v>120000</v>
      </c>
      <c r="G13" s="55" cm="1">
        <f t="array" ref="G13">_xlfn.XLOOKUP(Table3[[#This Row],[Employee ID]],EmpBonus8[[#All],[EmployeID]],EmpBonus8[[#All],[Bonus %]],"0%",0)</f>
        <v>0.13</v>
      </c>
      <c r="H13" s="63">
        <f>SUM(Table3[[#This Row],[Yearly Sal]]*Table3[[#This Row],[Bonus %]])</f>
        <v>7165.21</v>
      </c>
      <c r="M13" t="s">
        <v>100</v>
      </c>
      <c r="N13" t="s">
        <v>4</v>
      </c>
      <c r="O13" t="s">
        <v>101</v>
      </c>
      <c r="P13" t="s">
        <v>119</v>
      </c>
      <c r="Q13">
        <v>55117</v>
      </c>
      <c r="R13" s="55" cm="1">
        <f t="array" ref="R13">_xlfn.XLOOKUP(Table3[[#This Row],[Employee ID]],EmpBonus8[[#All],[EmployeID]],EmpBonus8[[#All],[Bonus %]],"0%",0)</f>
        <v>0.13</v>
      </c>
      <c r="S13" s="56">
        <f>SUM(Table3[[#This Row],[Yearly Sal]]*Table3[[#This Row],[Bonus %]])</f>
        <v>7165.21</v>
      </c>
      <c r="AA13" s="3" t="s">
        <v>17</v>
      </c>
      <c r="AB13" s="2">
        <v>0.09</v>
      </c>
      <c r="AC13" s="8" t="s">
        <v>18</v>
      </c>
    </row>
    <row r="14" spans="1:29" x14ac:dyDescent="0.3">
      <c r="B14" s="60" t="s">
        <v>15</v>
      </c>
      <c r="C14" s="52" t="s">
        <v>4</v>
      </c>
      <c r="D14" s="52" t="s">
        <v>16</v>
      </c>
      <c r="E14" s="52" t="s">
        <v>120</v>
      </c>
      <c r="F14" s="52">
        <v>135000</v>
      </c>
      <c r="G14" s="55" cm="1">
        <f t="array" ref="G14">_xlfn.XLOOKUP(Table3[[#This Row],[Employee ID]],EmpBonus8[[#All],[EmployeID]],EmpBonus8[[#All],[Bonus %]],"0%",0)</f>
        <v>0.13</v>
      </c>
      <c r="H14" s="61">
        <f>SUM(Table3[[#This Row],[Yearly Sal]]*Table3[[#This Row],[Bonus %]])</f>
        <v>15600</v>
      </c>
      <c r="M14" t="s">
        <v>90</v>
      </c>
      <c r="N14" t="s">
        <v>4</v>
      </c>
      <c r="O14" t="s">
        <v>91</v>
      </c>
      <c r="P14" t="s">
        <v>120</v>
      </c>
      <c r="Q14">
        <v>120000</v>
      </c>
      <c r="R14" s="55" cm="1">
        <f t="array" ref="R14">_xlfn.XLOOKUP(Table3[[#This Row],[Employee ID]],EmpBonus8[[#All],[EmployeID]],EmpBonus8[[#All],[Bonus %]],"0%",0)</f>
        <v>0.13</v>
      </c>
      <c r="S14" s="56">
        <f>SUM(Table3[[#This Row],[Yearly Sal]]*Table3[[#This Row],[Bonus %]])</f>
        <v>15600</v>
      </c>
      <c r="AA14" s="3" t="s">
        <v>42</v>
      </c>
      <c r="AB14" s="2">
        <v>0.24</v>
      </c>
      <c r="AC14" s="8" t="s">
        <v>44</v>
      </c>
    </row>
    <row r="15" spans="1:29" x14ac:dyDescent="0.3">
      <c r="B15" s="62" t="s">
        <v>102</v>
      </c>
      <c r="C15" s="53" t="s">
        <v>4</v>
      </c>
      <c r="D15" s="53" t="s">
        <v>103</v>
      </c>
      <c r="E15" s="53" t="s">
        <v>118</v>
      </c>
      <c r="F15" s="53">
        <v>60445</v>
      </c>
      <c r="G15" s="55" cm="1">
        <f t="array" ref="G15">_xlfn.XLOOKUP(Table3[[#This Row],[Employee ID]],EmpBonus8[[#All],[EmployeID]],EmpBonus8[[#All],[Bonus %]],"0%",0)</f>
        <v>0.14000000000000001</v>
      </c>
      <c r="H15" s="63">
        <f>SUM(Table3[[#This Row],[Yearly Sal]]*Table3[[#This Row],[Bonus %]])</f>
        <v>18900</v>
      </c>
      <c r="M15" t="s">
        <v>15</v>
      </c>
      <c r="N15" t="s">
        <v>4</v>
      </c>
      <c r="O15" t="s">
        <v>16</v>
      </c>
      <c r="P15" t="s">
        <v>120</v>
      </c>
      <c r="Q15">
        <v>135000</v>
      </c>
      <c r="R15" s="55" cm="1">
        <f t="array" ref="R15">_xlfn.XLOOKUP(Table3[[#This Row],[Employee ID]],EmpBonus8[[#All],[EmployeID]],EmpBonus8[[#All],[Bonus %]],"0%",0)</f>
        <v>0.14000000000000001</v>
      </c>
      <c r="S15" s="56">
        <f>SUM(Table3[[#This Row],[Yearly Sal]]*Table3[[#This Row],[Bonus %]])</f>
        <v>18900</v>
      </c>
      <c r="AA15" s="3" t="s">
        <v>82</v>
      </c>
      <c r="AB15" s="2">
        <v>0.14000000000000001</v>
      </c>
      <c r="AC15" s="8" t="s">
        <v>83</v>
      </c>
    </row>
    <row r="16" spans="1:29" x14ac:dyDescent="0.3">
      <c r="B16" s="60" t="s">
        <v>104</v>
      </c>
      <c r="C16" s="52" t="s">
        <v>4</v>
      </c>
      <c r="D16" s="52" t="s">
        <v>105</v>
      </c>
      <c r="E16" s="52" t="s">
        <v>120</v>
      </c>
      <c r="F16" s="52">
        <v>83117</v>
      </c>
      <c r="G16" s="55" cm="1">
        <f t="array" ref="G16">_xlfn.XLOOKUP(Table3[[#This Row],[Employee ID]],EmpBonus8[[#All],[EmployeID]],EmpBonus8[[#All],[Bonus %]],"0%",0)</f>
        <v>0.19</v>
      </c>
      <c r="H16" s="61">
        <f>SUM(Table3[[#This Row],[Yearly Sal]]*Table3[[#This Row],[Bonus %]])</f>
        <v>11484.55</v>
      </c>
      <c r="M16" t="s">
        <v>102</v>
      </c>
      <c r="N16" t="s">
        <v>4</v>
      </c>
      <c r="O16" t="s">
        <v>103</v>
      </c>
      <c r="P16" t="s">
        <v>118</v>
      </c>
      <c r="Q16">
        <v>60445</v>
      </c>
      <c r="R16" s="55" cm="1">
        <f t="array" ref="R16">_xlfn.XLOOKUP(Table3[[#This Row],[Employee ID]],EmpBonus8[[#All],[EmployeID]],EmpBonus8[[#All],[Bonus %]],"0%",0)</f>
        <v>0.19</v>
      </c>
      <c r="S16" s="56">
        <f>SUM(Table3[[#This Row],[Yearly Sal]]*Table3[[#This Row],[Bonus %]])</f>
        <v>11484.55</v>
      </c>
      <c r="AA16" s="3" t="s">
        <v>88</v>
      </c>
      <c r="AB16" s="2">
        <v>0.22</v>
      </c>
      <c r="AC16" s="8" t="s">
        <v>89</v>
      </c>
    </row>
    <row r="17" spans="1:29" x14ac:dyDescent="0.3">
      <c r="A17" t="s">
        <v>143</v>
      </c>
      <c r="B17" s="62" t="s">
        <v>88</v>
      </c>
      <c r="C17" s="53" t="s">
        <v>4</v>
      </c>
      <c r="D17" s="53" t="s">
        <v>89</v>
      </c>
      <c r="E17" s="53" t="s">
        <v>120</v>
      </c>
      <c r="F17" s="53">
        <v>58445</v>
      </c>
      <c r="G17" s="55" cm="1">
        <f t="array" ref="G17">_xlfn.XLOOKUP(Table3[[#This Row],[Employee ID]],EmpBonus8[[#All],[EmployeID]],EmpBonus8[[#All],[Bonus %]],"0%",0)</f>
        <v>0.2</v>
      </c>
      <c r="H17" s="63">
        <f>SUM(Table3[[#This Row],[Yearly Sal]]*Table3[[#This Row],[Bonus %]])</f>
        <v>16623.400000000001</v>
      </c>
      <c r="M17" t="s">
        <v>104</v>
      </c>
      <c r="N17" t="s">
        <v>4</v>
      </c>
      <c r="O17" t="s">
        <v>105</v>
      </c>
      <c r="P17" t="s">
        <v>120</v>
      </c>
      <c r="Q17">
        <v>83117</v>
      </c>
      <c r="R17" s="55" cm="1">
        <f t="array" ref="R17">_xlfn.XLOOKUP(Table3[[#This Row],[Employee ID]],EmpBonus8[[#All],[EmployeID]],EmpBonus8[[#All],[Bonus %]],"0%",0)</f>
        <v>0.2</v>
      </c>
      <c r="S17" s="56">
        <f>SUM(Table3[[#This Row],[Yearly Sal]]*Table3[[#This Row],[Bonus %]])</f>
        <v>16623.400000000001</v>
      </c>
      <c r="AA17" s="3" t="s">
        <v>76</v>
      </c>
      <c r="AB17" s="2">
        <v>0.18</v>
      </c>
      <c r="AC17" s="8" t="s">
        <v>77</v>
      </c>
    </row>
    <row r="18" spans="1:29" x14ac:dyDescent="0.3">
      <c r="M18" t="s">
        <v>88</v>
      </c>
      <c r="N18" t="s">
        <v>4</v>
      </c>
      <c r="O18" t="s">
        <v>89</v>
      </c>
      <c r="P18" t="s">
        <v>120</v>
      </c>
      <c r="Q18">
        <v>58445</v>
      </c>
      <c r="R18" s="55" cm="1">
        <f t="array" ref="R18">_xlfn.XLOOKUP(Table3[[#This Row],[Employee ID]],EmpBonus8[[#All],[EmployeID]],EmpBonus8[[#All],[Bonus %]],"0%",0)</f>
        <v>0.22</v>
      </c>
      <c r="S18" s="56">
        <f>SUM(Table3[[#This Row],[Yearly Sal]]*Table3[[#This Row],[Bonus %]])</f>
        <v>12857.9</v>
      </c>
      <c r="AA18" s="3" t="s">
        <v>84</v>
      </c>
      <c r="AB18" s="2">
        <v>0.16</v>
      </c>
      <c r="AC18" s="8" t="s">
        <v>85</v>
      </c>
    </row>
    <row r="19" spans="1:29" x14ac:dyDescent="0.3">
      <c r="M19" t="s">
        <v>21</v>
      </c>
      <c r="N19" t="s">
        <v>4</v>
      </c>
      <c r="O19" t="s">
        <v>22</v>
      </c>
      <c r="P19" t="s">
        <v>118</v>
      </c>
      <c r="Q19">
        <v>21971</v>
      </c>
      <c r="R19" s="55" cm="1">
        <f t="array" ref="R19">_xlfn.XLOOKUP(Table3[[#This Row],[Employee ID]],EmpBonus8[[#All],[EmployeID]],EmpBonus8[[#All],[Bonus %]],"0%",0)</f>
        <v>0.23</v>
      </c>
      <c r="S19" s="56">
        <f>SUM(Table3[[#This Row],[Yearly Sal]]*Table3[[#This Row],[Bonus %]])</f>
        <v>5053.33</v>
      </c>
      <c r="AA19" s="3" t="s">
        <v>86</v>
      </c>
      <c r="AB19" s="2">
        <v>0.14000000000000001</v>
      </c>
      <c r="AC19" s="8" t="s">
        <v>87</v>
      </c>
    </row>
    <row r="20" spans="1:29" x14ac:dyDescent="0.3">
      <c r="M20" t="s">
        <v>6</v>
      </c>
      <c r="N20" t="s">
        <v>4</v>
      </c>
      <c r="O20" t="s">
        <v>7</v>
      </c>
      <c r="P20" t="s">
        <v>119</v>
      </c>
      <c r="Q20">
        <v>39627</v>
      </c>
      <c r="R20" s="55" cm="1">
        <f t="array" ref="R20">_xlfn.XLOOKUP(Table3[[#This Row],[Employee ID]],EmpBonus8[[#All],[EmployeID]],EmpBonus8[[#All],[Bonus %]],"0%",0)</f>
        <v>0.23</v>
      </c>
      <c r="S20" s="56">
        <f>SUM(Table3[[#This Row],[Yearly Sal]]*Table3[[#This Row],[Bonus %]])</f>
        <v>9114.2100000000009</v>
      </c>
      <c r="AA20" s="3" t="s">
        <v>78</v>
      </c>
      <c r="AB20" s="2">
        <v>0.18</v>
      </c>
      <c r="AC20" s="8" t="s">
        <v>79</v>
      </c>
    </row>
    <row r="21" spans="1:29" x14ac:dyDescent="0.3">
      <c r="M21" t="s">
        <v>25</v>
      </c>
      <c r="N21" t="s">
        <v>4</v>
      </c>
      <c r="O21" t="s">
        <v>26</v>
      </c>
      <c r="P21" t="s">
        <v>120</v>
      </c>
      <c r="Q21">
        <v>45117</v>
      </c>
      <c r="R21" s="55" cm="1">
        <f t="array" ref="R21">_xlfn.XLOOKUP(Table3[[#This Row],[Employee ID]],EmpBonus8[[#All],[EmployeID]],EmpBonus8[[#All],[Bonus %]],"0%",0)</f>
        <v>0.24</v>
      </c>
      <c r="S21" s="56">
        <f>SUM(Table3[[#This Row],[Yearly Sal]]*Table3[[#This Row],[Bonus %]])</f>
        <v>10828.08</v>
      </c>
      <c r="AA21" s="3" t="s">
        <v>11</v>
      </c>
      <c r="AB21" s="2">
        <v>0.08</v>
      </c>
      <c r="AC21" s="8" t="s">
        <v>12</v>
      </c>
    </row>
    <row r="22" spans="1:29" x14ac:dyDescent="0.3">
      <c r="M22" t="s">
        <v>27</v>
      </c>
      <c r="N22" t="s">
        <v>4</v>
      </c>
      <c r="O22" t="s">
        <v>28</v>
      </c>
      <c r="P22" t="s">
        <v>119</v>
      </c>
      <c r="Q22">
        <v>50545</v>
      </c>
      <c r="R22" s="55" cm="1">
        <f t="array" ref="R22">_xlfn.XLOOKUP(Table3[[#This Row],[Employee ID]],EmpBonus8[[#All],[EmployeID]],EmpBonus8[[#All],[Bonus %]],"0%",0)</f>
        <v>0.25</v>
      </c>
      <c r="S22" s="56">
        <f>SUM(Table3[[#This Row],[Yearly Sal]]*Table3[[#This Row],[Bonus %]])</f>
        <v>12636.25</v>
      </c>
      <c r="AA22" s="3" t="s">
        <v>104</v>
      </c>
      <c r="AB22" s="2">
        <v>0.2</v>
      </c>
      <c r="AC22" s="8" t="s">
        <v>105</v>
      </c>
    </row>
    <row r="23" spans="1:29" x14ac:dyDescent="0.3">
      <c r="M23" t="s">
        <v>13</v>
      </c>
      <c r="N23" t="s">
        <v>4</v>
      </c>
      <c r="O23" t="s">
        <v>14</v>
      </c>
      <c r="P23" t="s">
        <v>119</v>
      </c>
      <c r="Q23">
        <v>34808</v>
      </c>
      <c r="R23" s="55" cm="1">
        <f t="array" ref="R23">_xlfn.XLOOKUP(Table3[[#This Row],[Employee ID]],EmpBonus8[[#All],[EmployeID]],EmpBonus8[[#All],[Bonus %]],"0%",0)</f>
        <v>0.27</v>
      </c>
      <c r="S23" s="56">
        <f>SUM(Table3[[#This Row],[Yearly Sal]]*Table3[[#This Row],[Bonus %]])</f>
        <v>9398.16</v>
      </c>
      <c r="AA23" s="3" t="s">
        <v>65</v>
      </c>
      <c r="AB23" s="2">
        <v>0.06</v>
      </c>
      <c r="AC23" s="8" t="s">
        <v>66</v>
      </c>
    </row>
    <row r="24" spans="1:29" x14ac:dyDescent="0.3">
      <c r="M24" t="s">
        <v>34</v>
      </c>
      <c r="N24" t="s">
        <v>30</v>
      </c>
      <c r="O24" t="s">
        <v>35</v>
      </c>
      <c r="P24" t="s">
        <v>120</v>
      </c>
      <c r="Q24">
        <v>68357</v>
      </c>
      <c r="R24" s="55" t="str" cm="1">
        <f t="array" ref="R24">_xlfn.XLOOKUP(Table3[[#This Row],[Employee ID]],EmpBonus8[[#All],[EmployeID]],EmpBonus8[[#All],[Bonus %]],"0%",0)</f>
        <v>0%</v>
      </c>
      <c r="S24" s="56">
        <f>SUM(Table3[[#This Row],[Yearly Sal]]*Table3[[#This Row],[Bonus %]])</f>
        <v>0</v>
      </c>
      <c r="AA24" s="3" t="s">
        <v>94</v>
      </c>
      <c r="AB24" s="2">
        <v>0.09</v>
      </c>
      <c r="AC24" s="8" t="s">
        <v>95</v>
      </c>
    </row>
    <row r="25" spans="1:29" x14ac:dyDescent="0.3">
      <c r="M25" t="s">
        <v>36</v>
      </c>
      <c r="N25" t="s">
        <v>30</v>
      </c>
      <c r="O25" t="s">
        <v>37</v>
      </c>
      <c r="P25" t="s">
        <v>118</v>
      </c>
      <c r="Q25">
        <v>51800</v>
      </c>
      <c r="R25" s="55" cm="1">
        <f t="array" ref="R25">_xlfn.XLOOKUP(Table3[[#This Row],[Employee ID]],EmpBonus8[[#All],[EmployeID]],EmpBonus8[[#All],[Bonus %]],"0%",0)</f>
        <v>0.09</v>
      </c>
      <c r="S25" s="56">
        <f>SUM(Table3[[#This Row],[Yearly Sal]]*Table3[[#This Row],[Bonus %]])</f>
        <v>4662</v>
      </c>
      <c r="AA25" s="3" t="s">
        <v>27</v>
      </c>
      <c r="AB25" s="2">
        <v>0.25</v>
      </c>
      <c r="AC25" s="8" t="s">
        <v>28</v>
      </c>
    </row>
    <row r="26" spans="1:29" x14ac:dyDescent="0.3">
      <c r="M26" t="s">
        <v>94</v>
      </c>
      <c r="N26" t="s">
        <v>30</v>
      </c>
      <c r="O26" t="s">
        <v>95</v>
      </c>
      <c r="P26" t="s">
        <v>120</v>
      </c>
      <c r="Q26">
        <v>89500</v>
      </c>
      <c r="R26" s="55" cm="1">
        <f t="array" ref="R26">_xlfn.XLOOKUP(Table3[[#This Row],[Employee ID]],EmpBonus8[[#All],[EmployeID]],EmpBonus8[[#All],[Bonus %]],"0%",0)</f>
        <v>0.09</v>
      </c>
      <c r="S26" s="56">
        <f>SUM(Table3[[#This Row],[Yearly Sal]]*Table3[[#This Row],[Bonus %]])</f>
        <v>8055</v>
      </c>
      <c r="AA26" s="3" t="s">
        <v>74</v>
      </c>
      <c r="AB26" s="2">
        <v>0.19</v>
      </c>
      <c r="AC26" s="8" t="s">
        <v>75</v>
      </c>
    </row>
    <row r="27" spans="1:29" x14ac:dyDescent="0.3">
      <c r="M27" t="s">
        <v>96</v>
      </c>
      <c r="N27" t="s">
        <v>30</v>
      </c>
      <c r="O27" t="s">
        <v>97</v>
      </c>
      <c r="P27" t="s">
        <v>118</v>
      </c>
      <c r="Q27">
        <v>65971</v>
      </c>
      <c r="R27" s="55" cm="1">
        <f t="array" ref="R27">_xlfn.XLOOKUP(Table3[[#This Row],[Employee ID]],EmpBonus8[[#All],[EmployeID]],EmpBonus8[[#All],[Bonus %]],"0%",0)</f>
        <v>0.1</v>
      </c>
      <c r="S27" s="56">
        <f>SUM(Table3[[#This Row],[Yearly Sal]]*Table3[[#This Row],[Bonus %]])</f>
        <v>6597.1</v>
      </c>
      <c r="AA27" s="3" t="s">
        <v>40</v>
      </c>
      <c r="AB27" s="2">
        <v>0.18</v>
      </c>
      <c r="AC27" s="8" t="s">
        <v>41</v>
      </c>
    </row>
    <row r="28" spans="1:29" x14ac:dyDescent="0.3">
      <c r="M28" t="s">
        <v>29</v>
      </c>
      <c r="N28" t="s">
        <v>30</v>
      </c>
      <c r="O28" t="s">
        <v>31</v>
      </c>
      <c r="P28" t="s">
        <v>120</v>
      </c>
      <c r="Q28">
        <v>140000</v>
      </c>
      <c r="R28" s="55" cm="1">
        <f t="array" ref="R28">_xlfn.XLOOKUP(Table3[[#This Row],[Employee ID]],EmpBonus8[[#All],[EmployeID]],EmpBonus8[[#All],[Bonus %]],"0%",0)</f>
        <v>0.1</v>
      </c>
      <c r="S28" s="56">
        <f>SUM(Table3[[#This Row],[Yearly Sal]]*Table3[[#This Row],[Bonus %]])</f>
        <v>14000</v>
      </c>
      <c r="AA28" s="3" t="s">
        <v>29</v>
      </c>
      <c r="AB28" s="2">
        <v>0.1</v>
      </c>
      <c r="AC28" s="8" t="s">
        <v>31</v>
      </c>
    </row>
    <row r="29" spans="1:29" x14ac:dyDescent="0.3">
      <c r="M29" t="s">
        <v>82</v>
      </c>
      <c r="N29" t="s">
        <v>30</v>
      </c>
      <c r="O29" t="s">
        <v>83</v>
      </c>
      <c r="P29" t="s">
        <v>119</v>
      </c>
      <c r="Q29">
        <v>35971</v>
      </c>
      <c r="R29" s="55" cm="1">
        <f t="array" ref="R29">_xlfn.XLOOKUP(Table3[[#This Row],[Employee ID]],EmpBonus8[[#All],[EmployeID]],EmpBonus8[[#All],[Bonus %]],"0%",0)</f>
        <v>0.14000000000000001</v>
      </c>
      <c r="S29" s="56">
        <f>SUM(Table3[[#This Row],[Yearly Sal]]*Table3[[#This Row],[Bonus %]])</f>
        <v>5035.9400000000005</v>
      </c>
      <c r="AA29" s="3" t="s">
        <v>8</v>
      </c>
      <c r="AB29" s="2">
        <v>0.1</v>
      </c>
      <c r="AC29" s="8" t="s">
        <v>9</v>
      </c>
    </row>
    <row r="30" spans="1:29" x14ac:dyDescent="0.3">
      <c r="M30" t="s">
        <v>86</v>
      </c>
      <c r="N30" t="s">
        <v>30</v>
      </c>
      <c r="O30" t="s">
        <v>87</v>
      </c>
      <c r="P30" t="s">
        <v>118</v>
      </c>
      <c r="Q30">
        <v>55117</v>
      </c>
      <c r="R30" s="55" cm="1">
        <f t="array" ref="R30">_xlfn.XLOOKUP(Table3[[#This Row],[Employee ID]],EmpBonus8[[#All],[EmployeID]],EmpBonus8[[#All],[Bonus %]],"0%",0)</f>
        <v>0.14000000000000001</v>
      </c>
      <c r="S30" s="56">
        <f>SUM(Table3[[#This Row],[Yearly Sal]]*Table3[[#This Row],[Bonus %]])</f>
        <v>7716.380000000001</v>
      </c>
      <c r="AA30" s="3" t="s">
        <v>51</v>
      </c>
      <c r="AB30" s="2">
        <v>0.25</v>
      </c>
      <c r="AC30" s="8" t="s">
        <v>52</v>
      </c>
    </row>
    <row r="31" spans="1:29" x14ac:dyDescent="0.3">
      <c r="M31" t="s">
        <v>92</v>
      </c>
      <c r="N31" t="s">
        <v>30</v>
      </c>
      <c r="O31" t="s">
        <v>93</v>
      </c>
      <c r="P31" t="s">
        <v>119</v>
      </c>
      <c r="Q31">
        <v>45450</v>
      </c>
      <c r="R31" s="55" cm="1">
        <f t="array" ref="R31">_xlfn.XLOOKUP(Table3[[#This Row],[Employee ID]],EmpBonus8[[#All],[EmployeID]],EmpBonus8[[#All],[Bonus %]],"0%",0)</f>
        <v>0.16</v>
      </c>
      <c r="S31" s="56">
        <f>SUM(Table3[[#This Row],[Yearly Sal]]*Table3[[#This Row],[Bonus %]])</f>
        <v>7272</v>
      </c>
      <c r="AA31" s="3" t="s">
        <v>15</v>
      </c>
      <c r="AB31" s="2">
        <v>0.14000000000000001</v>
      </c>
      <c r="AC31" s="8" t="s">
        <v>16</v>
      </c>
    </row>
    <row r="32" spans="1:29" x14ac:dyDescent="0.3">
      <c r="M32" t="s">
        <v>84</v>
      </c>
      <c r="N32" t="s">
        <v>30</v>
      </c>
      <c r="O32" t="s">
        <v>85</v>
      </c>
      <c r="P32" t="s">
        <v>119</v>
      </c>
      <c r="Q32">
        <v>80000</v>
      </c>
      <c r="R32" s="55" cm="1">
        <f t="array" ref="R32">_xlfn.XLOOKUP(Table3[[#This Row],[Employee ID]],EmpBonus8[[#All],[EmployeID]],EmpBonus8[[#All],[Bonus %]],"0%",0)</f>
        <v>0.16</v>
      </c>
      <c r="S32" s="56">
        <f>SUM(Table3[[#This Row],[Yearly Sal]]*Table3[[#This Row],[Bonus %]])</f>
        <v>12800</v>
      </c>
      <c r="AA32" s="3" t="s">
        <v>21</v>
      </c>
      <c r="AB32" s="2">
        <v>0.23</v>
      </c>
      <c r="AC32" s="8" t="s">
        <v>22</v>
      </c>
    </row>
    <row r="33" spans="13:29" x14ac:dyDescent="0.3">
      <c r="M33" t="s">
        <v>40</v>
      </c>
      <c r="N33" t="s">
        <v>30</v>
      </c>
      <c r="O33" t="s">
        <v>41</v>
      </c>
      <c r="P33" t="s">
        <v>120</v>
      </c>
      <c r="Q33">
        <v>45000</v>
      </c>
      <c r="R33" s="55" cm="1">
        <f t="array" ref="R33">_xlfn.XLOOKUP(Table3[[#This Row],[Employee ID]],EmpBonus8[[#All],[EmployeID]],EmpBonus8[[#All],[Bonus %]],"0%",0)</f>
        <v>0.18</v>
      </c>
      <c r="S33" s="56">
        <f>SUM(Table3[[#This Row],[Yearly Sal]]*Table3[[#This Row],[Bonus %]])</f>
        <v>8100</v>
      </c>
      <c r="AA33" s="3" t="s">
        <v>45</v>
      </c>
      <c r="AB33" s="2">
        <v>0.14000000000000001</v>
      </c>
      <c r="AC33" s="8" t="s">
        <v>46</v>
      </c>
    </row>
    <row r="34" spans="13:29" x14ac:dyDescent="0.3">
      <c r="M34" t="s">
        <v>98</v>
      </c>
      <c r="N34" t="s">
        <v>30</v>
      </c>
      <c r="O34" t="s">
        <v>99</v>
      </c>
      <c r="P34" t="s">
        <v>120</v>
      </c>
      <c r="Q34">
        <v>80000</v>
      </c>
      <c r="R34" s="55" cm="1">
        <f t="array" ref="R34">_xlfn.XLOOKUP(Table3[[#This Row],[Employee ID]],EmpBonus8[[#All],[EmployeID]],EmpBonus8[[#All],[Bonus %]],"0%",0)</f>
        <v>0.18</v>
      </c>
      <c r="S34" s="56">
        <f>SUM(Table3[[#This Row],[Yearly Sal]]*Table3[[#This Row],[Bonus %]])</f>
        <v>14400</v>
      </c>
      <c r="AA34" s="3" t="s">
        <v>61</v>
      </c>
      <c r="AB34" s="2">
        <v>0.25</v>
      </c>
      <c r="AC34" s="8" t="s">
        <v>62</v>
      </c>
    </row>
    <row r="35" spans="13:29" x14ac:dyDescent="0.3">
      <c r="M35" t="s">
        <v>32</v>
      </c>
      <c r="N35" t="s">
        <v>30</v>
      </c>
      <c r="O35" t="s">
        <v>33</v>
      </c>
      <c r="P35" t="s">
        <v>119</v>
      </c>
      <c r="Q35">
        <v>110000</v>
      </c>
      <c r="R35" s="55" cm="1">
        <f t="array" ref="R35">_xlfn.XLOOKUP(Table3[[#This Row],[Employee ID]],EmpBonus8[[#All],[EmployeID]],EmpBonus8[[#All],[Bonus %]],"0%",0)</f>
        <v>0.18</v>
      </c>
      <c r="S35" s="56">
        <f>SUM(Table3[[#This Row],[Yearly Sal]]*Table3[[#This Row],[Bonus %]])</f>
        <v>19800</v>
      </c>
      <c r="AA35" s="3" t="s">
        <v>6</v>
      </c>
      <c r="AB35" s="2">
        <v>0.23</v>
      </c>
      <c r="AC35" s="8" t="s">
        <v>7</v>
      </c>
    </row>
    <row r="36" spans="13:29" x14ac:dyDescent="0.3">
      <c r="M36" t="s">
        <v>38</v>
      </c>
      <c r="N36" t="s">
        <v>30</v>
      </c>
      <c r="O36" t="s">
        <v>39</v>
      </c>
      <c r="P36" t="s">
        <v>120</v>
      </c>
      <c r="Q36">
        <v>97000</v>
      </c>
      <c r="R36" s="55" cm="1">
        <f t="array" ref="R36">_xlfn.XLOOKUP(Table3[[#This Row],[Employee ID]],EmpBonus8[[#All],[EmployeID]],EmpBonus8[[#All],[Bonus %]],"0%",0)</f>
        <v>0.19</v>
      </c>
      <c r="S36" s="56">
        <f>SUM(Table3[[#This Row],[Yearly Sal]]*Table3[[#This Row],[Bonus %]])</f>
        <v>18430</v>
      </c>
      <c r="AA36" s="3" t="s">
        <v>47</v>
      </c>
      <c r="AB36" s="2">
        <v>0.25</v>
      </c>
      <c r="AC36" s="8" t="s">
        <v>48</v>
      </c>
    </row>
    <row r="37" spans="13:29" x14ac:dyDescent="0.3">
      <c r="M37" t="s">
        <v>80</v>
      </c>
      <c r="N37" t="s">
        <v>30</v>
      </c>
      <c r="O37" t="s">
        <v>81</v>
      </c>
      <c r="P37" t="s">
        <v>120</v>
      </c>
      <c r="Q37">
        <v>89500</v>
      </c>
      <c r="R37" s="55" cm="1">
        <f t="array" ref="R37">_xlfn.XLOOKUP(Table3[[#This Row],[Employee ID]],EmpBonus8[[#All],[EmployeID]],EmpBonus8[[#All],[Bonus %]],"0%",0)</f>
        <v>0.21</v>
      </c>
      <c r="S37" s="56">
        <f>SUM(Table3[[#This Row],[Yearly Sal]]*Table3[[#This Row],[Bonus %]])</f>
        <v>18795</v>
      </c>
      <c r="AA37" s="3" t="s">
        <v>102</v>
      </c>
      <c r="AB37" s="2">
        <v>0.19</v>
      </c>
      <c r="AC37" s="8" t="s">
        <v>103</v>
      </c>
    </row>
    <row r="38" spans="13:29" x14ac:dyDescent="0.3">
      <c r="M38" t="s">
        <v>49</v>
      </c>
      <c r="N38" t="s">
        <v>43</v>
      </c>
      <c r="O38" t="s">
        <v>50</v>
      </c>
      <c r="P38" t="s">
        <v>120</v>
      </c>
      <c r="Q38">
        <v>55117</v>
      </c>
      <c r="R38" s="55" t="str" cm="1">
        <f t="array" ref="R38">_xlfn.XLOOKUP(Table3[[#This Row],[Employee ID]],EmpBonus8[[#All],[EmployeID]],EmpBonus8[[#All],[Bonus %]],"0%",0)</f>
        <v>0%</v>
      </c>
      <c r="S38" s="56">
        <f>SUM(Table3[[#This Row],[Yearly Sal]]*Table3[[#This Row],[Bonus %]])</f>
        <v>0</v>
      </c>
      <c r="AA38" s="3" t="s">
        <v>106</v>
      </c>
      <c r="AB38" s="2">
        <v>0.11</v>
      </c>
      <c r="AC38" s="8" t="s">
        <v>107</v>
      </c>
    </row>
    <row r="39" spans="13:29" x14ac:dyDescent="0.3">
      <c r="M39" t="s">
        <v>57</v>
      </c>
      <c r="N39" t="s">
        <v>43</v>
      </c>
      <c r="O39" t="s">
        <v>58</v>
      </c>
      <c r="P39" t="s">
        <v>119</v>
      </c>
      <c r="Q39">
        <v>50545</v>
      </c>
      <c r="R39" s="55" t="str" cm="1">
        <f t="array" ref="R39">_xlfn.XLOOKUP(Table3[[#This Row],[Employee ID]],EmpBonus8[[#All],[EmployeID]],EmpBonus8[[#All],[Bonus %]],"0%",0)</f>
        <v>0%</v>
      </c>
      <c r="S39" s="56">
        <f>SUM(Table3[[#This Row],[Yearly Sal]]*Table3[[#This Row],[Bonus %]])</f>
        <v>0</v>
      </c>
      <c r="AA39" s="3" t="s">
        <v>80</v>
      </c>
      <c r="AB39" s="2">
        <v>0.21</v>
      </c>
      <c r="AC39" s="8" t="s">
        <v>81</v>
      </c>
    </row>
    <row r="40" spans="13:29" x14ac:dyDescent="0.3">
      <c r="M40" t="s">
        <v>63</v>
      </c>
      <c r="N40" t="s">
        <v>43</v>
      </c>
      <c r="O40" t="s">
        <v>64</v>
      </c>
      <c r="P40" t="s">
        <v>119</v>
      </c>
      <c r="Q40">
        <v>88357</v>
      </c>
      <c r="R40" s="55" t="str" cm="1">
        <f t="array" ref="R40">_xlfn.XLOOKUP(Table3[[#This Row],[Employee ID]],EmpBonus8[[#All],[EmployeID]],EmpBonus8[[#All],[Bonus %]],"0%",0)</f>
        <v>0%</v>
      </c>
      <c r="S40" s="56">
        <f>SUM(Table3[[#This Row],[Yearly Sal]]*Table3[[#This Row],[Bonus %]])</f>
        <v>0</v>
      </c>
      <c r="AA40" s="3" t="s">
        <v>98</v>
      </c>
      <c r="AB40" s="2">
        <v>0.18</v>
      </c>
      <c r="AC40" s="8" t="s">
        <v>99</v>
      </c>
    </row>
    <row r="41" spans="13:29" x14ac:dyDescent="0.3">
      <c r="M41" t="s">
        <v>65</v>
      </c>
      <c r="N41" t="s">
        <v>43</v>
      </c>
      <c r="O41" t="s">
        <v>66</v>
      </c>
      <c r="P41" t="s">
        <v>120</v>
      </c>
      <c r="Q41">
        <v>59200</v>
      </c>
      <c r="R41" s="55" cm="1">
        <f t="array" ref="R41">_xlfn.XLOOKUP(Table3[[#This Row],[Employee ID]],EmpBonus8[[#All],[EmployeID]],EmpBonus8[[#All],[Bonus %]],"0%",0)</f>
        <v>0.06</v>
      </c>
      <c r="S41" s="56">
        <f>SUM(Table3[[#This Row],[Yearly Sal]]*Table3[[#This Row],[Bonus %]])</f>
        <v>3552</v>
      </c>
      <c r="AA41" s="3" t="s">
        <v>92</v>
      </c>
      <c r="AB41" s="2">
        <v>0.16</v>
      </c>
      <c r="AC41" s="8" t="s">
        <v>93</v>
      </c>
    </row>
    <row r="42" spans="13:29" x14ac:dyDescent="0.3">
      <c r="M42" t="s">
        <v>45</v>
      </c>
      <c r="N42" t="s">
        <v>43</v>
      </c>
      <c r="O42" t="s">
        <v>46</v>
      </c>
      <c r="P42" t="s">
        <v>120</v>
      </c>
      <c r="Q42">
        <v>35971</v>
      </c>
      <c r="R42" s="55" cm="1">
        <f t="array" ref="R42">_xlfn.XLOOKUP(Table3[[#This Row],[Employee ID]],EmpBonus8[[#All],[EmployeID]],EmpBonus8[[#All],[Bonus %]],"0%",0)</f>
        <v>0.14000000000000001</v>
      </c>
      <c r="S42" s="56">
        <f>SUM(Table3[[#This Row],[Yearly Sal]]*Table3[[#This Row],[Bonus %]])</f>
        <v>5035.9400000000005</v>
      </c>
      <c r="AA42" s="3" t="s">
        <v>90</v>
      </c>
      <c r="AB42" s="2">
        <v>0.13</v>
      </c>
      <c r="AC42" s="8" t="s">
        <v>91</v>
      </c>
    </row>
    <row r="43" spans="13:29" x14ac:dyDescent="0.3">
      <c r="M43" t="s">
        <v>72</v>
      </c>
      <c r="N43" t="s">
        <v>43</v>
      </c>
      <c r="O43" t="s">
        <v>146</v>
      </c>
      <c r="P43" t="s">
        <v>120</v>
      </c>
      <c r="Q43">
        <v>68357</v>
      </c>
      <c r="R43" s="55" cm="1">
        <f t="array" ref="R43">_xlfn.XLOOKUP(Table3[[#This Row],[Employee ID]],EmpBonus8[[#All],[EmployeID]],EmpBonus8[[#All],[Bonus %]],"0%",0)</f>
        <v>0.15</v>
      </c>
      <c r="S43" s="56">
        <f>SUM(Table3[[#This Row],[Yearly Sal]]*Table3[[#This Row],[Bonus %]])</f>
        <v>10253.549999999999</v>
      </c>
      <c r="AA43" s="3" t="s">
        <v>13</v>
      </c>
      <c r="AB43" s="2">
        <v>0.27</v>
      </c>
      <c r="AC43" s="8" t="s">
        <v>14</v>
      </c>
    </row>
    <row r="44" spans="13:29" x14ac:dyDescent="0.3">
      <c r="M44" t="s">
        <v>70</v>
      </c>
      <c r="N44" t="s">
        <v>43</v>
      </c>
      <c r="O44" t="s">
        <v>71</v>
      </c>
      <c r="P44" t="s">
        <v>118</v>
      </c>
      <c r="Q44">
        <v>97000</v>
      </c>
      <c r="R44" s="55" cm="1">
        <f t="array" ref="R44">_xlfn.XLOOKUP(Table3[[#This Row],[Employee ID]],EmpBonus8[[#All],[EmployeID]],EmpBonus8[[#All],[Bonus %]],"0%",0)</f>
        <v>0.15</v>
      </c>
      <c r="S44" s="56">
        <f>SUM(Table3[[#This Row],[Yearly Sal]]*Table3[[#This Row],[Bonus %]])</f>
        <v>14550</v>
      </c>
      <c r="AA44" s="42" t="s">
        <v>72</v>
      </c>
      <c r="AB44" s="43">
        <v>0.15</v>
      </c>
      <c r="AC44" s="44" t="s">
        <v>73</v>
      </c>
    </row>
    <row r="45" spans="13:29" x14ac:dyDescent="0.3">
      <c r="M45" t="s">
        <v>55</v>
      </c>
      <c r="N45" t="s">
        <v>43</v>
      </c>
      <c r="O45" t="s">
        <v>56</v>
      </c>
      <c r="P45" t="s">
        <v>120</v>
      </c>
      <c r="Q45">
        <v>45117</v>
      </c>
      <c r="R45" s="55" cm="1">
        <f t="array" ref="R45">_xlfn.XLOOKUP(Table3[[#This Row],[Employee ID]],EmpBonus8[[#All],[EmployeID]],EmpBonus8[[#All],[Bonus %]],"0%",0)</f>
        <v>0.17</v>
      </c>
      <c r="S45" s="56">
        <f>SUM(Table3[[#This Row],[Yearly Sal]]*Table3[[#This Row],[Bonus %]])</f>
        <v>7669.89</v>
      </c>
      <c r="AA45" s="3" t="s">
        <v>19</v>
      </c>
      <c r="AB45" s="2">
        <v>0.06</v>
      </c>
      <c r="AC45" s="8" t="s">
        <v>20</v>
      </c>
    </row>
    <row r="46" spans="13:29" x14ac:dyDescent="0.3">
      <c r="M46" t="s">
        <v>78</v>
      </c>
      <c r="N46" t="s">
        <v>43</v>
      </c>
      <c r="O46" t="s">
        <v>79</v>
      </c>
      <c r="P46" t="s">
        <v>118</v>
      </c>
      <c r="Q46">
        <v>45000</v>
      </c>
      <c r="R46" s="55" cm="1">
        <f t="array" ref="R46">_xlfn.XLOOKUP(Table3[[#This Row],[Employee ID]],EmpBonus8[[#All],[EmployeID]],EmpBonus8[[#All],[Bonus %]],"0%",0)</f>
        <v>0.18</v>
      </c>
      <c r="S46" s="56">
        <f>SUM(Table3[[#This Row],[Yearly Sal]]*Table3[[#This Row],[Bonus %]])</f>
        <v>8100</v>
      </c>
      <c r="AA46" s="6" t="s">
        <v>23</v>
      </c>
      <c r="AB46" s="10">
        <v>0.06</v>
      </c>
      <c r="AC46" s="11" t="s">
        <v>24</v>
      </c>
    </row>
    <row r="47" spans="13:29" x14ac:dyDescent="0.3">
      <c r="M47" t="s">
        <v>76</v>
      </c>
      <c r="N47" t="s">
        <v>43</v>
      </c>
      <c r="O47" t="s">
        <v>77</v>
      </c>
      <c r="P47" t="s">
        <v>120</v>
      </c>
      <c r="Q47">
        <v>97000</v>
      </c>
      <c r="R47" s="55" cm="1">
        <f t="array" ref="R47">_xlfn.XLOOKUP(Table3[[#This Row],[Employee ID]],EmpBonus8[[#All],[EmployeID]],EmpBonus8[[#All],[Bonus %]],"0%",0)</f>
        <v>0.18</v>
      </c>
      <c r="S47" s="56">
        <f>SUM(Table3[[#This Row],[Yearly Sal]]*Table3[[#This Row],[Bonus %]])</f>
        <v>17460</v>
      </c>
    </row>
    <row r="48" spans="13:29" x14ac:dyDescent="0.3">
      <c r="M48" t="s">
        <v>74</v>
      </c>
      <c r="N48" t="s">
        <v>43</v>
      </c>
      <c r="O48" t="s">
        <v>75</v>
      </c>
      <c r="P48" t="s">
        <v>119</v>
      </c>
      <c r="Q48">
        <v>51800</v>
      </c>
      <c r="R48" s="55" cm="1">
        <f t="array" ref="R48">_xlfn.XLOOKUP(Table3[[#This Row],[Employee ID]],EmpBonus8[[#All],[EmployeID]],EmpBonus8[[#All],[Bonus %]],"0%",0)</f>
        <v>0.19</v>
      </c>
      <c r="S48" s="56">
        <f>SUM(Table3[[#This Row],[Yearly Sal]]*Table3[[#This Row],[Bonus %]])</f>
        <v>9842</v>
      </c>
    </row>
    <row r="49" spans="13:19" x14ac:dyDescent="0.3">
      <c r="M49" t="s">
        <v>59</v>
      </c>
      <c r="N49" t="s">
        <v>43</v>
      </c>
      <c r="O49" t="s">
        <v>60</v>
      </c>
      <c r="P49" t="s">
        <v>118</v>
      </c>
      <c r="Q49">
        <v>140000</v>
      </c>
      <c r="R49" s="55" cm="1">
        <f t="array" ref="R49">_xlfn.XLOOKUP(Table3[[#This Row],[Employee ID]],EmpBonus8[[#All],[EmployeID]],EmpBonus8[[#All],[Bonus %]],"0%",0)</f>
        <v>0.2</v>
      </c>
      <c r="S49" s="56">
        <f>SUM(Table3[[#This Row],[Yearly Sal]]*Table3[[#This Row],[Bonus %]])</f>
        <v>28000</v>
      </c>
    </row>
    <row r="50" spans="13:19" x14ac:dyDescent="0.3">
      <c r="M50" t="s">
        <v>53</v>
      </c>
      <c r="N50" t="s">
        <v>43</v>
      </c>
      <c r="O50" t="s">
        <v>54</v>
      </c>
      <c r="P50" t="s">
        <v>120</v>
      </c>
      <c r="Q50">
        <v>120000</v>
      </c>
      <c r="R50" s="55" cm="1">
        <f t="array" ref="R50">_xlfn.XLOOKUP(Table3[[#This Row],[Employee ID]],EmpBonus8[[#All],[EmployeID]],EmpBonus8[[#All],[Bonus %]],"0%",0)</f>
        <v>0.21</v>
      </c>
      <c r="S50" s="56">
        <f>SUM(Table3[[#This Row],[Yearly Sal]]*Table3[[#This Row],[Bonus %]])</f>
        <v>25200</v>
      </c>
    </row>
    <row r="51" spans="13:19" x14ac:dyDescent="0.3">
      <c r="M51" t="s">
        <v>42</v>
      </c>
      <c r="N51" t="s">
        <v>43</v>
      </c>
      <c r="O51" t="s">
        <v>44</v>
      </c>
      <c r="P51" t="s">
        <v>118</v>
      </c>
      <c r="Q51">
        <v>89500</v>
      </c>
      <c r="R51" s="55" cm="1">
        <f t="array" ref="R51">_xlfn.XLOOKUP(Table3[[#This Row],[Employee ID]],EmpBonus8[[#All],[EmployeID]],EmpBonus8[[#All],[Bonus %]],"0%",0)</f>
        <v>0.24</v>
      </c>
      <c r="S51" s="56">
        <f>SUM(Table3[[#This Row],[Yearly Sal]]*Table3[[#This Row],[Bonus %]])</f>
        <v>21480</v>
      </c>
    </row>
    <row r="52" spans="13:19" x14ac:dyDescent="0.3">
      <c r="M52" t="s">
        <v>51</v>
      </c>
      <c r="N52" t="s">
        <v>43</v>
      </c>
      <c r="O52" t="s">
        <v>52</v>
      </c>
      <c r="P52" t="s">
        <v>118</v>
      </c>
      <c r="Q52">
        <v>58445</v>
      </c>
      <c r="R52" s="55" cm="1">
        <f t="array" ref="R52">_xlfn.XLOOKUP(Table3[[#This Row],[Employee ID]],EmpBonus8[[#All],[EmployeID]],EmpBonus8[[#All],[Bonus %]],"0%",0)</f>
        <v>0.25</v>
      </c>
      <c r="S52" s="56">
        <f>SUM(Table3[[#This Row],[Yearly Sal]]*Table3[[#This Row],[Bonus %]])</f>
        <v>14611.25</v>
      </c>
    </row>
    <row r="53" spans="13:19" x14ac:dyDescent="0.3">
      <c r="M53" t="s">
        <v>47</v>
      </c>
      <c r="N53" t="s">
        <v>43</v>
      </c>
      <c r="O53" t="s">
        <v>48</v>
      </c>
      <c r="P53" t="s">
        <v>119</v>
      </c>
      <c r="Q53">
        <v>80000</v>
      </c>
      <c r="R53" s="55" cm="1">
        <f t="array" ref="R53">_xlfn.XLOOKUP(Table3[[#This Row],[Employee ID]],EmpBonus8[[#All],[EmployeID]],EmpBonus8[[#All],[Bonus %]],"0%",0)</f>
        <v>0.25</v>
      </c>
      <c r="S53" s="56">
        <f>SUM(Table3[[#This Row],[Yearly Sal]]*Table3[[#This Row],[Bonus %]])</f>
        <v>20000</v>
      </c>
    </row>
    <row r="54" spans="13:19" x14ac:dyDescent="0.3">
      <c r="M54" t="s">
        <v>61</v>
      </c>
      <c r="N54" t="s">
        <v>43</v>
      </c>
      <c r="O54" t="s">
        <v>62</v>
      </c>
      <c r="P54" t="s">
        <v>120</v>
      </c>
      <c r="Q54">
        <v>90000</v>
      </c>
      <c r="R54" s="55" cm="1">
        <f t="array" ref="R54">_xlfn.XLOOKUP(Table3[[#This Row],[Employee ID]],EmpBonus8[[#All],[EmployeID]],EmpBonus8[[#All],[Bonus %]],"0%",0)</f>
        <v>0.25</v>
      </c>
      <c r="S54" s="56">
        <f>SUM(Table3[[#This Row],[Yearly Sal]]*Table3[[#This Row],[Bonus %]])</f>
        <v>22500</v>
      </c>
    </row>
  </sheetData>
  <pageMargins left="0.7" right="0.7" top="0.75" bottom="0.75" header="0.3" footer="0.3"/>
  <pageSetup orientation="portrait" verticalDpi="300"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53407-1756-4477-9F1E-842ABA07BA9A}">
  <dimension ref="A3:B54"/>
  <sheetViews>
    <sheetView workbookViewId="0">
      <selection activeCell="A3" sqref="A3:B27"/>
    </sheetView>
  </sheetViews>
  <sheetFormatPr defaultRowHeight="14.4" x14ac:dyDescent="0.3"/>
  <cols>
    <col min="1" max="1" width="16.21875" bestFit="1" customWidth="1"/>
    <col min="2" max="2" width="15.33203125" style="16" bestFit="1" customWidth="1"/>
    <col min="3" max="3" width="15.33203125" bestFit="1" customWidth="1"/>
  </cols>
  <sheetData>
    <row r="3" spans="1:2" x14ac:dyDescent="0.3">
      <c r="A3" s="29" t="s">
        <v>2</v>
      </c>
      <c r="B3" s="16" t="s">
        <v>156</v>
      </c>
    </row>
    <row r="4" spans="1:2" x14ac:dyDescent="0.3">
      <c r="A4" s="30" t="s">
        <v>33</v>
      </c>
      <c r="B4" s="16">
        <v>19800</v>
      </c>
    </row>
    <row r="5" spans="1:2" x14ac:dyDescent="0.3">
      <c r="A5" s="30" t="s">
        <v>37</v>
      </c>
      <c r="B5" s="16">
        <v>4662</v>
      </c>
    </row>
    <row r="6" spans="1:2" x14ac:dyDescent="0.3">
      <c r="A6" s="30" t="s">
        <v>71</v>
      </c>
      <c r="B6" s="16">
        <v>14550</v>
      </c>
    </row>
    <row r="7" spans="1:2" x14ac:dyDescent="0.3">
      <c r="A7" s="30" t="s">
        <v>56</v>
      </c>
      <c r="B7" s="16">
        <v>7669.89</v>
      </c>
    </row>
    <row r="8" spans="1:2" x14ac:dyDescent="0.3">
      <c r="A8" s="30" t="s">
        <v>26</v>
      </c>
      <c r="B8" s="16">
        <v>10828.08</v>
      </c>
    </row>
    <row r="9" spans="1:2" x14ac:dyDescent="0.3">
      <c r="A9" s="30" t="s">
        <v>97</v>
      </c>
      <c r="B9" s="16">
        <v>6597.1</v>
      </c>
    </row>
    <row r="10" spans="1:2" x14ac:dyDescent="0.3">
      <c r="A10" s="30" t="s">
        <v>39</v>
      </c>
      <c r="B10" s="16">
        <v>18430</v>
      </c>
    </row>
    <row r="11" spans="1:2" x14ac:dyDescent="0.3">
      <c r="A11" s="30" t="s">
        <v>54</v>
      </c>
      <c r="B11" s="16">
        <v>25200</v>
      </c>
    </row>
    <row r="12" spans="1:2" x14ac:dyDescent="0.3">
      <c r="A12" s="30" t="s">
        <v>60</v>
      </c>
      <c r="B12" s="16">
        <v>28000</v>
      </c>
    </row>
    <row r="13" spans="1:2" x14ac:dyDescent="0.3">
      <c r="A13" s="30" t="s">
        <v>50</v>
      </c>
      <c r="B13" s="16">
        <v>0</v>
      </c>
    </row>
    <row r="14" spans="1:2" x14ac:dyDescent="0.3">
      <c r="A14" s="30" t="s">
        <v>58</v>
      </c>
      <c r="B14" s="16">
        <v>0</v>
      </c>
    </row>
    <row r="15" spans="1:2" x14ac:dyDescent="0.3">
      <c r="A15" s="30" t="s">
        <v>101</v>
      </c>
      <c r="B15" s="16">
        <v>7165.21</v>
      </c>
    </row>
    <row r="16" spans="1:2" x14ac:dyDescent="0.3">
      <c r="A16" s="30" t="s">
        <v>18</v>
      </c>
      <c r="B16" s="16">
        <v>4050</v>
      </c>
    </row>
    <row r="17" spans="1:2" x14ac:dyDescent="0.3">
      <c r="A17" s="30" t="s">
        <v>44</v>
      </c>
      <c r="B17" s="16">
        <v>21480</v>
      </c>
    </row>
    <row r="18" spans="1:2" x14ac:dyDescent="0.3">
      <c r="A18" s="30" t="s">
        <v>83</v>
      </c>
      <c r="B18" s="16">
        <v>5035.9400000000005</v>
      </c>
    </row>
    <row r="19" spans="1:2" x14ac:dyDescent="0.3">
      <c r="A19" s="30" t="s">
        <v>89</v>
      </c>
      <c r="B19" s="16">
        <v>12857.9</v>
      </c>
    </row>
    <row r="20" spans="1:2" x14ac:dyDescent="0.3">
      <c r="A20" s="30" t="s">
        <v>5</v>
      </c>
      <c r="B20" s="16">
        <v>0</v>
      </c>
    </row>
    <row r="21" spans="1:2" x14ac:dyDescent="0.3">
      <c r="A21" s="30" t="s">
        <v>77</v>
      </c>
      <c r="B21" s="16">
        <v>17460</v>
      </c>
    </row>
    <row r="22" spans="1:2" x14ac:dyDescent="0.3">
      <c r="A22" s="30" t="s">
        <v>85</v>
      </c>
      <c r="B22" s="16">
        <v>12800</v>
      </c>
    </row>
    <row r="23" spans="1:2" x14ac:dyDescent="0.3">
      <c r="A23" s="30" t="s">
        <v>87</v>
      </c>
      <c r="B23" s="16">
        <v>7716.380000000001</v>
      </c>
    </row>
    <row r="24" spans="1:2" x14ac:dyDescent="0.3">
      <c r="A24" s="30" t="s">
        <v>79</v>
      </c>
      <c r="B24" s="16">
        <v>8100</v>
      </c>
    </row>
    <row r="25" spans="1:2" x14ac:dyDescent="0.3">
      <c r="A25" s="30" t="s">
        <v>12</v>
      </c>
      <c r="B25" s="16">
        <v>10720</v>
      </c>
    </row>
    <row r="26" spans="1:2" x14ac:dyDescent="0.3">
      <c r="A26" s="30" t="s">
        <v>105</v>
      </c>
      <c r="B26" s="16">
        <v>16623.400000000001</v>
      </c>
    </row>
    <row r="27" spans="1:2" x14ac:dyDescent="0.3">
      <c r="A27" s="30" t="s">
        <v>66</v>
      </c>
      <c r="B27" s="16">
        <v>3552</v>
      </c>
    </row>
    <row r="28" spans="1:2" x14ac:dyDescent="0.3">
      <c r="A28" s="30" t="s">
        <v>95</v>
      </c>
      <c r="B28" s="16">
        <v>8055</v>
      </c>
    </row>
    <row r="29" spans="1:2" x14ac:dyDescent="0.3">
      <c r="A29" s="30" t="s">
        <v>28</v>
      </c>
      <c r="B29" s="16">
        <v>12636.25</v>
      </c>
    </row>
    <row r="30" spans="1:2" x14ac:dyDescent="0.3">
      <c r="A30" s="30" t="s">
        <v>75</v>
      </c>
      <c r="B30" s="16">
        <v>9842</v>
      </c>
    </row>
    <row r="31" spans="1:2" x14ac:dyDescent="0.3">
      <c r="A31" s="30" t="s">
        <v>41</v>
      </c>
      <c r="B31" s="16">
        <v>8100</v>
      </c>
    </row>
    <row r="32" spans="1:2" x14ac:dyDescent="0.3">
      <c r="A32" s="30" t="s">
        <v>31</v>
      </c>
      <c r="B32" s="16">
        <v>14000</v>
      </c>
    </row>
    <row r="33" spans="1:2" x14ac:dyDescent="0.3">
      <c r="A33" s="30" t="s">
        <v>9</v>
      </c>
      <c r="B33" s="16">
        <v>2972.6000000000004</v>
      </c>
    </row>
    <row r="34" spans="1:2" x14ac:dyDescent="0.3">
      <c r="A34" s="30" t="s">
        <v>52</v>
      </c>
      <c r="B34" s="16">
        <v>14611.25</v>
      </c>
    </row>
    <row r="35" spans="1:2" x14ac:dyDescent="0.3">
      <c r="A35" s="30" t="s">
        <v>16</v>
      </c>
      <c r="B35" s="16">
        <v>18900</v>
      </c>
    </row>
    <row r="36" spans="1:2" x14ac:dyDescent="0.3">
      <c r="A36" s="30" t="s">
        <v>22</v>
      </c>
      <c r="B36" s="16">
        <v>5053.33</v>
      </c>
    </row>
    <row r="37" spans="1:2" x14ac:dyDescent="0.3">
      <c r="A37" s="30" t="s">
        <v>46</v>
      </c>
      <c r="B37" s="16">
        <v>5035.9400000000005</v>
      </c>
    </row>
    <row r="38" spans="1:2" x14ac:dyDescent="0.3">
      <c r="A38" s="30" t="s">
        <v>64</v>
      </c>
      <c r="B38" s="16">
        <v>0</v>
      </c>
    </row>
    <row r="39" spans="1:2" x14ac:dyDescent="0.3">
      <c r="A39" s="30" t="s">
        <v>35</v>
      </c>
      <c r="B39" s="16">
        <v>0</v>
      </c>
    </row>
    <row r="40" spans="1:2" x14ac:dyDescent="0.3">
      <c r="A40" s="30" t="s">
        <v>62</v>
      </c>
      <c r="B40" s="16">
        <v>22500</v>
      </c>
    </row>
    <row r="41" spans="1:2" x14ac:dyDescent="0.3">
      <c r="A41" s="30" t="s">
        <v>7</v>
      </c>
      <c r="B41" s="16">
        <v>9114.2100000000009</v>
      </c>
    </row>
    <row r="42" spans="1:2" x14ac:dyDescent="0.3">
      <c r="A42" s="30" t="s">
        <v>48</v>
      </c>
      <c r="B42" s="16">
        <v>20000</v>
      </c>
    </row>
    <row r="43" spans="1:2" x14ac:dyDescent="0.3">
      <c r="A43" s="30" t="s">
        <v>103</v>
      </c>
      <c r="B43" s="16">
        <v>11484.55</v>
      </c>
    </row>
    <row r="44" spans="1:2" x14ac:dyDescent="0.3">
      <c r="A44" s="30" t="s">
        <v>107</v>
      </c>
      <c r="B44" s="16">
        <v>6428.95</v>
      </c>
    </row>
    <row r="45" spans="1:2" x14ac:dyDescent="0.3">
      <c r="A45" s="30" t="s">
        <v>81</v>
      </c>
      <c r="B45" s="16">
        <v>18795</v>
      </c>
    </row>
    <row r="46" spans="1:2" x14ac:dyDescent="0.3">
      <c r="A46" s="30" t="s">
        <v>99</v>
      </c>
      <c r="B46" s="16">
        <v>14400</v>
      </c>
    </row>
    <row r="47" spans="1:2" x14ac:dyDescent="0.3">
      <c r="A47" s="30" t="s">
        <v>93</v>
      </c>
      <c r="B47" s="16">
        <v>7272</v>
      </c>
    </row>
    <row r="48" spans="1:2" x14ac:dyDescent="0.3">
      <c r="A48" s="30" t="s">
        <v>91</v>
      </c>
      <c r="B48" s="16">
        <v>15600</v>
      </c>
    </row>
    <row r="49" spans="1:2" x14ac:dyDescent="0.3">
      <c r="A49" s="30" t="s">
        <v>14</v>
      </c>
      <c r="B49" s="16">
        <v>9398.16</v>
      </c>
    </row>
    <row r="50" spans="1:2" x14ac:dyDescent="0.3">
      <c r="A50" s="30" t="s">
        <v>146</v>
      </c>
      <c r="B50" s="16">
        <v>10253.549999999999</v>
      </c>
    </row>
    <row r="51" spans="1:2" x14ac:dyDescent="0.3">
      <c r="A51" s="30" t="s">
        <v>73</v>
      </c>
      <c r="B51" s="16">
        <v>0</v>
      </c>
    </row>
    <row r="52" spans="1:2" x14ac:dyDescent="0.3">
      <c r="A52" s="30" t="s">
        <v>20</v>
      </c>
      <c r="B52" s="16">
        <v>5370</v>
      </c>
    </row>
    <row r="53" spans="1:2" x14ac:dyDescent="0.3">
      <c r="A53" s="30" t="s">
        <v>24</v>
      </c>
      <c r="B53" s="16">
        <v>4800</v>
      </c>
    </row>
    <row r="54" spans="1:2" x14ac:dyDescent="0.3">
      <c r="A54" s="30" t="s">
        <v>153</v>
      </c>
      <c r="B54" s="16">
        <v>517920.69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S55"/>
  <sheetViews>
    <sheetView tabSelected="1" workbookViewId="0">
      <selection activeCell="L13" sqref="L13"/>
    </sheetView>
  </sheetViews>
  <sheetFormatPr defaultRowHeight="14.4" x14ac:dyDescent="0.3"/>
  <cols>
    <col min="2" max="2" width="18.109375" customWidth="1"/>
    <col min="3" max="3" width="16.21875" style="20" customWidth="1"/>
    <col min="12" max="12" width="25.88671875" customWidth="1"/>
    <col min="13" max="13" width="13.77734375" bestFit="1" customWidth="1"/>
    <col min="14" max="14" width="13.33203125" bestFit="1" customWidth="1"/>
    <col min="15" max="15" width="16.21875" bestFit="1" customWidth="1"/>
    <col min="16" max="16" width="10.88671875" bestFit="1" customWidth="1"/>
    <col min="17" max="17" width="11.21875" bestFit="1" customWidth="1"/>
    <col min="18" max="18" width="12.5546875" bestFit="1" customWidth="1"/>
    <col min="19" max="19" width="12.33203125" bestFit="1" customWidth="1"/>
  </cols>
  <sheetData>
    <row r="1" spans="1:19" ht="36.6" x14ac:dyDescent="0.7">
      <c r="A1" s="18"/>
      <c r="B1" s="19" t="s">
        <v>130</v>
      </c>
      <c r="C1" s="19"/>
      <c r="D1" s="19"/>
      <c r="E1" s="19"/>
      <c r="F1" s="19"/>
      <c r="G1" s="19"/>
      <c r="H1" s="19"/>
      <c r="I1" s="19"/>
      <c r="J1" s="19"/>
      <c r="K1" s="19"/>
      <c r="L1" s="19"/>
      <c r="M1" s="19"/>
      <c r="N1" s="19"/>
      <c r="O1" s="19"/>
      <c r="P1" s="19"/>
      <c r="Q1" s="19"/>
      <c r="R1" s="19"/>
    </row>
    <row r="3" spans="1:19" x14ac:dyDescent="0.3">
      <c r="B3" s="64" t="s">
        <v>2</v>
      </c>
      <c r="C3" s="65" t="s">
        <v>156</v>
      </c>
    </row>
    <row r="4" spans="1:19" x14ac:dyDescent="0.3">
      <c r="B4" s="30" t="s">
        <v>33</v>
      </c>
      <c r="C4" s="16">
        <v>19800</v>
      </c>
    </row>
    <row r="5" spans="1:19" x14ac:dyDescent="0.3">
      <c r="B5" s="30" t="s">
        <v>37</v>
      </c>
      <c r="C5" s="16">
        <v>4662</v>
      </c>
      <c r="M5" t="s">
        <v>0</v>
      </c>
      <c r="N5" t="s">
        <v>1</v>
      </c>
      <c r="O5" t="s">
        <v>2</v>
      </c>
      <c r="P5" t="s">
        <v>117</v>
      </c>
      <c r="Q5" t="s">
        <v>108</v>
      </c>
      <c r="R5" s="55" t="s">
        <v>68</v>
      </c>
      <c r="S5" s="56" t="s">
        <v>155</v>
      </c>
    </row>
    <row r="6" spans="1:19" x14ac:dyDescent="0.3">
      <c r="B6" s="30" t="s">
        <v>71</v>
      </c>
      <c r="C6" s="16">
        <v>14550</v>
      </c>
      <c r="M6" t="s">
        <v>3</v>
      </c>
      <c r="N6" t="s">
        <v>4</v>
      </c>
      <c r="O6" t="s">
        <v>5</v>
      </c>
      <c r="P6" t="s">
        <v>118</v>
      </c>
      <c r="Q6">
        <v>60270</v>
      </c>
      <c r="R6" s="55" t="str" cm="1">
        <f t="array" ref="R6">_xlfn.XLOOKUP(Table36[[#This Row],[Employee ID]],EmpBonus8[[#All],[EmployeID]],EmpBonus8[[#All],[Bonus %]],"0%",0)</f>
        <v>0%</v>
      </c>
      <c r="S6" s="56">
        <f>SUM(Table36[[#This Row],[Yearly Sal]]*Table36[[#This Row],[Bonus %]])</f>
        <v>0</v>
      </c>
    </row>
    <row r="7" spans="1:19" x14ac:dyDescent="0.3">
      <c r="B7" s="30" t="s">
        <v>56</v>
      </c>
      <c r="C7" s="16">
        <v>7669.89</v>
      </c>
      <c r="M7" t="s">
        <v>10</v>
      </c>
      <c r="N7" t="s">
        <v>4</v>
      </c>
      <c r="O7" t="s">
        <v>73</v>
      </c>
      <c r="P7" t="s">
        <v>120</v>
      </c>
      <c r="Q7">
        <v>93668</v>
      </c>
      <c r="R7" s="55" t="str" cm="1">
        <f t="array" ref="R7">_xlfn.XLOOKUP(Table36[[#This Row],[Employee ID]],EmpBonus8[[#All],[EmployeID]],EmpBonus8[[#All],[Bonus %]],"0%",0)</f>
        <v>0%</v>
      </c>
      <c r="S7" s="56">
        <f>SUM(Table36[[#This Row],[Yearly Sal]]*Table36[[#This Row],[Bonus %]])</f>
        <v>0</v>
      </c>
    </row>
    <row r="8" spans="1:19" x14ac:dyDescent="0.3">
      <c r="B8" s="30" t="s">
        <v>26</v>
      </c>
      <c r="C8" s="16">
        <v>10828.08</v>
      </c>
      <c r="M8" t="s">
        <v>23</v>
      </c>
      <c r="N8" t="s">
        <v>4</v>
      </c>
      <c r="O8" t="s">
        <v>24</v>
      </c>
      <c r="P8" t="s">
        <v>118</v>
      </c>
      <c r="Q8">
        <v>80000</v>
      </c>
      <c r="R8" s="55" cm="1">
        <f t="array" ref="R8">_xlfn.XLOOKUP(Table36[[#This Row],[Employee ID]],EmpBonus8[[#All],[EmployeID]],EmpBonus8[[#All],[Bonus %]],"0%",0)</f>
        <v>0.06</v>
      </c>
      <c r="S8" s="56">
        <f>SUM(Table36[[#This Row],[Yearly Sal]]*Table36[[#This Row],[Bonus %]])</f>
        <v>4800</v>
      </c>
    </row>
    <row r="9" spans="1:19" x14ac:dyDescent="0.3">
      <c r="B9" s="30" t="s">
        <v>97</v>
      </c>
      <c r="C9" s="16">
        <v>6597.1</v>
      </c>
      <c r="M9" t="s">
        <v>19</v>
      </c>
      <c r="N9" t="s">
        <v>4</v>
      </c>
      <c r="O9" t="s">
        <v>20</v>
      </c>
      <c r="P9" t="s">
        <v>120</v>
      </c>
      <c r="Q9">
        <v>89500</v>
      </c>
      <c r="R9" s="55" cm="1">
        <f t="array" ref="R9">_xlfn.XLOOKUP(Table36[[#This Row],[Employee ID]],EmpBonus8[[#All],[EmployeID]],EmpBonus8[[#All],[Bonus %]],"0%",0)</f>
        <v>0.06</v>
      </c>
      <c r="S9" s="56">
        <f>SUM(Table36[[#This Row],[Yearly Sal]]*Table36[[#This Row],[Bonus %]])</f>
        <v>5370</v>
      </c>
    </row>
    <row r="10" spans="1:19" x14ac:dyDescent="0.3">
      <c r="B10" s="30" t="s">
        <v>39</v>
      </c>
      <c r="C10" s="16">
        <v>18430</v>
      </c>
      <c r="M10" t="s">
        <v>11</v>
      </c>
      <c r="N10" t="s">
        <v>4</v>
      </c>
      <c r="O10" t="s">
        <v>12</v>
      </c>
      <c r="P10" t="s">
        <v>119</v>
      </c>
      <c r="Q10">
        <v>134000</v>
      </c>
      <c r="R10" s="55" cm="1">
        <f t="array" ref="R10">_xlfn.XLOOKUP(Table36[[#This Row],[Employee ID]],EmpBonus8[[#All],[EmployeID]],EmpBonus8[[#All],[Bonus %]],"0%",0)</f>
        <v>0.08</v>
      </c>
      <c r="S10" s="56">
        <f>SUM(Table36[[#This Row],[Yearly Sal]]*Table36[[#This Row],[Bonus %]])</f>
        <v>10720</v>
      </c>
    </row>
    <row r="11" spans="1:19" x14ac:dyDescent="0.3">
      <c r="B11" s="30" t="s">
        <v>54</v>
      </c>
      <c r="C11" s="16">
        <v>25200</v>
      </c>
      <c r="M11" t="s">
        <v>17</v>
      </c>
      <c r="N11" t="s">
        <v>4</v>
      </c>
      <c r="O11" t="s">
        <v>18</v>
      </c>
      <c r="P11" t="s">
        <v>120</v>
      </c>
      <c r="Q11">
        <v>45000</v>
      </c>
      <c r="R11" s="55" cm="1">
        <f t="array" ref="R11">_xlfn.XLOOKUP(Table36[[#This Row],[Employee ID]],EmpBonus8[[#All],[EmployeID]],EmpBonus8[[#All],[Bonus %]],"0%",0)</f>
        <v>0.09</v>
      </c>
      <c r="S11" s="56">
        <f>SUM(Table36[[#This Row],[Yearly Sal]]*Table36[[#This Row],[Bonus %]])</f>
        <v>4050</v>
      </c>
    </row>
    <row r="12" spans="1:19" x14ac:dyDescent="0.3">
      <c r="B12" s="30" t="s">
        <v>60</v>
      </c>
      <c r="C12" s="16">
        <v>28000</v>
      </c>
      <c r="M12" t="s">
        <v>8</v>
      </c>
      <c r="N12" t="s">
        <v>4</v>
      </c>
      <c r="O12" t="s">
        <v>9</v>
      </c>
      <c r="P12" t="s">
        <v>120</v>
      </c>
      <c r="Q12">
        <v>29726</v>
      </c>
      <c r="R12" s="55" cm="1">
        <f t="array" ref="R12">_xlfn.XLOOKUP(Table36[[#This Row],[Employee ID]],EmpBonus8[[#All],[EmployeID]],EmpBonus8[[#All],[Bonus %]],"0%",0)</f>
        <v>0.1</v>
      </c>
      <c r="S12" s="56">
        <f>SUM(Table36[[#This Row],[Yearly Sal]]*Table36[[#This Row],[Bonus %]])</f>
        <v>2972.6000000000004</v>
      </c>
    </row>
    <row r="13" spans="1:19" x14ac:dyDescent="0.3">
      <c r="A13" t="s">
        <v>144</v>
      </c>
      <c r="B13" s="30" t="s">
        <v>50</v>
      </c>
      <c r="C13" s="16">
        <v>0</v>
      </c>
      <c r="M13" t="s">
        <v>106</v>
      </c>
      <c r="N13" t="s">
        <v>4</v>
      </c>
      <c r="O13" t="s">
        <v>107</v>
      </c>
      <c r="P13" t="s">
        <v>118</v>
      </c>
      <c r="Q13">
        <v>58445</v>
      </c>
      <c r="R13" s="55" cm="1">
        <f t="array" ref="R13">_xlfn.XLOOKUP(Table36[[#This Row],[Employee ID]],EmpBonus8[[#All],[EmployeID]],EmpBonus8[[#All],[Bonus %]],"0%",0)</f>
        <v>0.11</v>
      </c>
      <c r="S13" s="56">
        <f>SUM(Table36[[#This Row],[Yearly Sal]]*Table36[[#This Row],[Bonus %]])</f>
        <v>6428.95</v>
      </c>
    </row>
    <row r="14" spans="1:19" x14ac:dyDescent="0.3">
      <c r="B14" s="30" t="s">
        <v>58</v>
      </c>
      <c r="C14" s="16">
        <v>0</v>
      </c>
      <c r="M14" t="s">
        <v>100</v>
      </c>
      <c r="N14" t="s">
        <v>4</v>
      </c>
      <c r="O14" t="s">
        <v>101</v>
      </c>
      <c r="P14" t="s">
        <v>119</v>
      </c>
      <c r="Q14">
        <v>55117</v>
      </c>
      <c r="R14" s="55" cm="1">
        <f t="array" ref="R14">_xlfn.XLOOKUP(Table36[[#This Row],[Employee ID]],EmpBonus8[[#All],[EmployeID]],EmpBonus8[[#All],[Bonus %]],"0%",0)</f>
        <v>0.13</v>
      </c>
      <c r="S14" s="56">
        <f>SUM(Table36[[#This Row],[Yearly Sal]]*Table36[[#This Row],[Bonus %]])</f>
        <v>7165.21</v>
      </c>
    </row>
    <row r="15" spans="1:19" x14ac:dyDescent="0.3">
      <c r="B15" s="30" t="s">
        <v>101</v>
      </c>
      <c r="C15" s="16">
        <v>7165.21</v>
      </c>
      <c r="M15" t="s">
        <v>90</v>
      </c>
      <c r="N15" t="s">
        <v>4</v>
      </c>
      <c r="O15" t="s">
        <v>91</v>
      </c>
      <c r="P15" t="s">
        <v>120</v>
      </c>
      <c r="Q15">
        <v>120000</v>
      </c>
      <c r="R15" s="55" cm="1">
        <f t="array" ref="R15">_xlfn.XLOOKUP(Table36[[#This Row],[Employee ID]],EmpBonus8[[#All],[EmployeID]],EmpBonus8[[#All],[Bonus %]],"0%",0)</f>
        <v>0.13</v>
      </c>
      <c r="S15" s="56">
        <f>SUM(Table36[[#This Row],[Yearly Sal]]*Table36[[#This Row],[Bonus %]])</f>
        <v>15600</v>
      </c>
    </row>
    <row r="16" spans="1:19" x14ac:dyDescent="0.3">
      <c r="B16" s="30" t="s">
        <v>18</v>
      </c>
      <c r="C16" s="16">
        <v>4050</v>
      </c>
      <c r="M16" t="s">
        <v>15</v>
      </c>
      <c r="N16" t="s">
        <v>4</v>
      </c>
      <c r="O16" t="s">
        <v>16</v>
      </c>
      <c r="P16" t="s">
        <v>120</v>
      </c>
      <c r="Q16">
        <v>135000</v>
      </c>
      <c r="R16" s="55" cm="1">
        <f t="array" ref="R16">_xlfn.XLOOKUP(Table36[[#This Row],[Employee ID]],EmpBonus8[[#All],[EmployeID]],EmpBonus8[[#All],[Bonus %]],"0%",0)</f>
        <v>0.14000000000000001</v>
      </c>
      <c r="S16" s="56">
        <f>SUM(Table36[[#This Row],[Yearly Sal]]*Table36[[#This Row],[Bonus %]])</f>
        <v>18900</v>
      </c>
    </row>
    <row r="17" spans="2:19" x14ac:dyDescent="0.3">
      <c r="B17" s="30" t="s">
        <v>44</v>
      </c>
      <c r="C17" s="16">
        <v>21480</v>
      </c>
      <c r="M17" t="s">
        <v>102</v>
      </c>
      <c r="N17" t="s">
        <v>4</v>
      </c>
      <c r="O17" t="s">
        <v>103</v>
      </c>
      <c r="P17" t="s">
        <v>118</v>
      </c>
      <c r="Q17">
        <v>60445</v>
      </c>
      <c r="R17" s="55" cm="1">
        <f t="array" ref="R17">_xlfn.XLOOKUP(Table36[[#This Row],[Employee ID]],EmpBonus8[[#All],[EmployeID]],EmpBonus8[[#All],[Bonus %]],"0%",0)</f>
        <v>0.19</v>
      </c>
      <c r="S17" s="56">
        <f>SUM(Table36[[#This Row],[Yearly Sal]]*Table36[[#This Row],[Bonus %]])</f>
        <v>11484.55</v>
      </c>
    </row>
    <row r="18" spans="2:19" x14ac:dyDescent="0.3">
      <c r="B18" s="30" t="s">
        <v>83</v>
      </c>
      <c r="C18" s="16">
        <v>5035.9400000000005</v>
      </c>
      <c r="M18" t="s">
        <v>104</v>
      </c>
      <c r="N18" t="s">
        <v>4</v>
      </c>
      <c r="O18" t="s">
        <v>105</v>
      </c>
      <c r="P18" t="s">
        <v>120</v>
      </c>
      <c r="Q18">
        <v>83117</v>
      </c>
      <c r="R18" s="55" cm="1">
        <f t="array" ref="R18">_xlfn.XLOOKUP(Table36[[#This Row],[Employee ID]],EmpBonus8[[#All],[EmployeID]],EmpBonus8[[#All],[Bonus %]],"0%",0)</f>
        <v>0.2</v>
      </c>
      <c r="S18" s="56">
        <f>SUM(Table36[[#This Row],[Yearly Sal]]*Table36[[#This Row],[Bonus %]])</f>
        <v>16623.400000000001</v>
      </c>
    </row>
    <row r="19" spans="2:19" x14ac:dyDescent="0.3">
      <c r="B19" s="30" t="s">
        <v>89</v>
      </c>
      <c r="C19" s="16">
        <v>12857.9</v>
      </c>
      <c r="M19" t="s">
        <v>88</v>
      </c>
      <c r="N19" t="s">
        <v>4</v>
      </c>
      <c r="O19" t="s">
        <v>89</v>
      </c>
      <c r="P19" t="s">
        <v>120</v>
      </c>
      <c r="Q19">
        <v>58445</v>
      </c>
      <c r="R19" s="55" cm="1">
        <f t="array" ref="R19">_xlfn.XLOOKUP(Table36[[#This Row],[Employee ID]],EmpBonus8[[#All],[EmployeID]],EmpBonus8[[#All],[Bonus %]],"0%",0)</f>
        <v>0.22</v>
      </c>
      <c r="S19" s="56">
        <f>SUM(Table36[[#This Row],[Yearly Sal]]*Table36[[#This Row],[Bonus %]])</f>
        <v>12857.9</v>
      </c>
    </row>
    <row r="20" spans="2:19" x14ac:dyDescent="0.3">
      <c r="B20" s="30" t="s">
        <v>5</v>
      </c>
      <c r="C20" s="16">
        <v>0</v>
      </c>
      <c r="M20" t="s">
        <v>21</v>
      </c>
      <c r="N20" t="s">
        <v>4</v>
      </c>
      <c r="O20" t="s">
        <v>22</v>
      </c>
      <c r="P20" t="s">
        <v>118</v>
      </c>
      <c r="Q20">
        <v>21971</v>
      </c>
      <c r="R20" s="55" cm="1">
        <f t="array" ref="R20">_xlfn.XLOOKUP(Table36[[#This Row],[Employee ID]],EmpBonus8[[#All],[EmployeID]],EmpBonus8[[#All],[Bonus %]],"0%",0)</f>
        <v>0.23</v>
      </c>
      <c r="S20" s="56">
        <f>SUM(Table36[[#This Row],[Yearly Sal]]*Table36[[#This Row],[Bonus %]])</f>
        <v>5053.33</v>
      </c>
    </row>
    <row r="21" spans="2:19" x14ac:dyDescent="0.3">
      <c r="B21" s="30" t="s">
        <v>77</v>
      </c>
      <c r="C21" s="16">
        <v>17460</v>
      </c>
      <c r="M21" t="s">
        <v>6</v>
      </c>
      <c r="N21" t="s">
        <v>4</v>
      </c>
      <c r="O21" t="s">
        <v>7</v>
      </c>
      <c r="P21" t="s">
        <v>119</v>
      </c>
      <c r="Q21">
        <v>39627</v>
      </c>
      <c r="R21" s="55" cm="1">
        <f t="array" ref="R21">_xlfn.XLOOKUP(Table36[[#This Row],[Employee ID]],EmpBonus8[[#All],[EmployeID]],EmpBonus8[[#All],[Bonus %]],"0%",0)</f>
        <v>0.23</v>
      </c>
      <c r="S21" s="56">
        <f>SUM(Table36[[#This Row],[Yearly Sal]]*Table36[[#This Row],[Bonus %]])</f>
        <v>9114.2100000000009</v>
      </c>
    </row>
    <row r="22" spans="2:19" x14ac:dyDescent="0.3">
      <c r="B22" s="30" t="s">
        <v>85</v>
      </c>
      <c r="C22" s="16">
        <v>12800</v>
      </c>
      <c r="M22" t="s">
        <v>25</v>
      </c>
      <c r="N22" t="s">
        <v>4</v>
      </c>
      <c r="O22" t="s">
        <v>26</v>
      </c>
      <c r="P22" t="s">
        <v>120</v>
      </c>
      <c r="Q22">
        <v>45117</v>
      </c>
      <c r="R22" s="55" cm="1">
        <f t="array" ref="R22">_xlfn.XLOOKUP(Table36[[#This Row],[Employee ID]],EmpBonus8[[#All],[EmployeID]],EmpBonus8[[#All],[Bonus %]],"0%",0)</f>
        <v>0.24</v>
      </c>
      <c r="S22" s="56">
        <f>SUM(Table36[[#This Row],[Yearly Sal]]*Table36[[#This Row],[Bonus %]])</f>
        <v>10828.08</v>
      </c>
    </row>
    <row r="23" spans="2:19" x14ac:dyDescent="0.3">
      <c r="B23" s="30" t="s">
        <v>87</v>
      </c>
      <c r="C23" s="16">
        <v>7716.380000000001</v>
      </c>
      <c r="M23" t="s">
        <v>27</v>
      </c>
      <c r="N23" t="s">
        <v>4</v>
      </c>
      <c r="O23" t="s">
        <v>28</v>
      </c>
      <c r="P23" t="s">
        <v>119</v>
      </c>
      <c r="Q23">
        <v>50545</v>
      </c>
      <c r="R23" s="55" cm="1">
        <f t="array" ref="R23">_xlfn.XLOOKUP(Table36[[#This Row],[Employee ID]],EmpBonus8[[#All],[EmployeID]],EmpBonus8[[#All],[Bonus %]],"0%",0)</f>
        <v>0.25</v>
      </c>
      <c r="S23" s="56">
        <f>SUM(Table36[[#This Row],[Yearly Sal]]*Table36[[#This Row],[Bonus %]])</f>
        <v>12636.25</v>
      </c>
    </row>
    <row r="24" spans="2:19" x14ac:dyDescent="0.3">
      <c r="B24" s="30" t="s">
        <v>79</v>
      </c>
      <c r="C24" s="16">
        <v>8100</v>
      </c>
      <c r="M24" t="s">
        <v>13</v>
      </c>
      <c r="N24" t="s">
        <v>4</v>
      </c>
      <c r="O24" t="s">
        <v>14</v>
      </c>
      <c r="P24" t="s">
        <v>119</v>
      </c>
      <c r="Q24">
        <v>34808</v>
      </c>
      <c r="R24" s="55" cm="1">
        <f t="array" ref="R24">_xlfn.XLOOKUP(Table36[[#This Row],[Employee ID]],EmpBonus8[[#All],[EmployeID]],EmpBonus8[[#All],[Bonus %]],"0%",0)</f>
        <v>0.27</v>
      </c>
      <c r="S24" s="56">
        <f>SUM(Table36[[#This Row],[Yearly Sal]]*Table36[[#This Row],[Bonus %]])</f>
        <v>9398.16</v>
      </c>
    </row>
    <row r="25" spans="2:19" x14ac:dyDescent="0.3">
      <c r="B25" s="30" t="s">
        <v>12</v>
      </c>
      <c r="C25" s="16">
        <v>10720</v>
      </c>
      <c r="M25" t="s">
        <v>34</v>
      </c>
      <c r="N25" t="s">
        <v>30</v>
      </c>
      <c r="O25" t="s">
        <v>35</v>
      </c>
      <c r="P25" t="s">
        <v>120</v>
      </c>
      <c r="Q25">
        <v>68357</v>
      </c>
      <c r="R25" s="55" t="str" cm="1">
        <f t="array" ref="R25">_xlfn.XLOOKUP(Table36[[#This Row],[Employee ID]],EmpBonus8[[#All],[EmployeID]],EmpBonus8[[#All],[Bonus %]],"0%",0)</f>
        <v>0%</v>
      </c>
      <c r="S25" s="56">
        <f>SUM(Table36[[#This Row],[Yearly Sal]]*Table36[[#This Row],[Bonus %]])</f>
        <v>0</v>
      </c>
    </row>
    <row r="26" spans="2:19" x14ac:dyDescent="0.3">
      <c r="B26" s="30" t="s">
        <v>105</v>
      </c>
      <c r="C26" s="16">
        <v>16623.400000000001</v>
      </c>
      <c r="M26" t="s">
        <v>36</v>
      </c>
      <c r="N26" t="s">
        <v>30</v>
      </c>
      <c r="O26" t="s">
        <v>37</v>
      </c>
      <c r="P26" t="s">
        <v>118</v>
      </c>
      <c r="Q26">
        <v>51800</v>
      </c>
      <c r="R26" s="55" cm="1">
        <f t="array" ref="R26">_xlfn.XLOOKUP(Table36[[#This Row],[Employee ID]],EmpBonus8[[#All],[EmployeID]],EmpBonus8[[#All],[Bonus %]],"0%",0)</f>
        <v>0.09</v>
      </c>
      <c r="S26" s="56">
        <f>SUM(Table36[[#This Row],[Yearly Sal]]*Table36[[#This Row],[Bonus %]])</f>
        <v>4662</v>
      </c>
    </row>
    <row r="27" spans="2:19" x14ac:dyDescent="0.3">
      <c r="B27" s="30" t="s">
        <v>66</v>
      </c>
      <c r="C27" s="16">
        <v>3552</v>
      </c>
      <c r="M27" t="s">
        <v>94</v>
      </c>
      <c r="N27" t="s">
        <v>30</v>
      </c>
      <c r="O27" t="s">
        <v>95</v>
      </c>
      <c r="P27" t="s">
        <v>120</v>
      </c>
      <c r="Q27">
        <v>89500</v>
      </c>
      <c r="R27" s="55" cm="1">
        <f t="array" ref="R27">_xlfn.XLOOKUP(Table36[[#This Row],[Employee ID]],EmpBonus8[[#All],[EmployeID]],EmpBonus8[[#All],[Bonus %]],"0%",0)</f>
        <v>0.09</v>
      </c>
      <c r="S27" s="56">
        <f>SUM(Table36[[#This Row],[Yearly Sal]]*Table36[[#This Row],[Bonus %]])</f>
        <v>8055</v>
      </c>
    </row>
    <row r="28" spans="2:19" x14ac:dyDescent="0.3">
      <c r="M28" t="s">
        <v>96</v>
      </c>
      <c r="N28" t="s">
        <v>30</v>
      </c>
      <c r="O28" t="s">
        <v>97</v>
      </c>
      <c r="P28" t="s">
        <v>118</v>
      </c>
      <c r="Q28">
        <v>65971</v>
      </c>
      <c r="R28" s="55" cm="1">
        <f t="array" ref="R28">_xlfn.XLOOKUP(Table36[[#This Row],[Employee ID]],EmpBonus8[[#All],[EmployeID]],EmpBonus8[[#All],[Bonus %]],"0%",0)</f>
        <v>0.1</v>
      </c>
      <c r="S28" s="56">
        <f>SUM(Table36[[#This Row],[Yearly Sal]]*Table36[[#This Row],[Bonus %]])</f>
        <v>6597.1</v>
      </c>
    </row>
    <row r="29" spans="2:19" x14ac:dyDescent="0.3">
      <c r="M29" t="s">
        <v>29</v>
      </c>
      <c r="N29" t="s">
        <v>30</v>
      </c>
      <c r="O29" t="s">
        <v>31</v>
      </c>
      <c r="P29" t="s">
        <v>120</v>
      </c>
      <c r="Q29">
        <v>140000</v>
      </c>
      <c r="R29" s="55" cm="1">
        <f t="array" ref="R29">_xlfn.XLOOKUP(Table36[[#This Row],[Employee ID]],EmpBonus8[[#All],[EmployeID]],EmpBonus8[[#All],[Bonus %]],"0%",0)</f>
        <v>0.1</v>
      </c>
      <c r="S29" s="56">
        <f>SUM(Table36[[#This Row],[Yearly Sal]]*Table36[[#This Row],[Bonus %]])</f>
        <v>14000</v>
      </c>
    </row>
    <row r="30" spans="2:19" x14ac:dyDescent="0.3">
      <c r="M30" t="s">
        <v>82</v>
      </c>
      <c r="N30" t="s">
        <v>30</v>
      </c>
      <c r="O30" t="s">
        <v>83</v>
      </c>
      <c r="P30" t="s">
        <v>119</v>
      </c>
      <c r="Q30">
        <v>35971</v>
      </c>
      <c r="R30" s="55" cm="1">
        <f t="array" ref="R30">_xlfn.XLOOKUP(Table36[[#This Row],[Employee ID]],EmpBonus8[[#All],[EmployeID]],EmpBonus8[[#All],[Bonus %]],"0%",0)</f>
        <v>0.14000000000000001</v>
      </c>
      <c r="S30" s="56">
        <f>SUM(Table36[[#This Row],[Yearly Sal]]*Table36[[#This Row],[Bonus %]])</f>
        <v>5035.9400000000005</v>
      </c>
    </row>
    <row r="31" spans="2:19" x14ac:dyDescent="0.3">
      <c r="M31" t="s">
        <v>86</v>
      </c>
      <c r="N31" t="s">
        <v>30</v>
      </c>
      <c r="O31" t="s">
        <v>87</v>
      </c>
      <c r="P31" t="s">
        <v>118</v>
      </c>
      <c r="Q31">
        <v>55117</v>
      </c>
      <c r="R31" s="55" cm="1">
        <f t="array" ref="R31">_xlfn.XLOOKUP(Table36[[#This Row],[Employee ID]],EmpBonus8[[#All],[EmployeID]],EmpBonus8[[#All],[Bonus %]],"0%",0)</f>
        <v>0.14000000000000001</v>
      </c>
      <c r="S31" s="56">
        <f>SUM(Table36[[#This Row],[Yearly Sal]]*Table36[[#This Row],[Bonus %]])</f>
        <v>7716.380000000001</v>
      </c>
    </row>
    <row r="32" spans="2:19" x14ac:dyDescent="0.3">
      <c r="M32" t="s">
        <v>92</v>
      </c>
      <c r="N32" t="s">
        <v>30</v>
      </c>
      <c r="O32" t="s">
        <v>93</v>
      </c>
      <c r="P32" t="s">
        <v>119</v>
      </c>
      <c r="Q32">
        <v>45450</v>
      </c>
      <c r="R32" s="55" cm="1">
        <f t="array" ref="R32">_xlfn.XLOOKUP(Table36[[#This Row],[Employee ID]],EmpBonus8[[#All],[EmployeID]],EmpBonus8[[#All],[Bonus %]],"0%",0)</f>
        <v>0.16</v>
      </c>
      <c r="S32" s="56">
        <f>SUM(Table36[[#This Row],[Yearly Sal]]*Table36[[#This Row],[Bonus %]])</f>
        <v>7272</v>
      </c>
    </row>
    <row r="33" spans="13:19" x14ac:dyDescent="0.3">
      <c r="M33" t="s">
        <v>84</v>
      </c>
      <c r="N33" t="s">
        <v>30</v>
      </c>
      <c r="O33" t="s">
        <v>85</v>
      </c>
      <c r="P33" t="s">
        <v>119</v>
      </c>
      <c r="Q33">
        <v>80000</v>
      </c>
      <c r="R33" s="55" cm="1">
        <f t="array" ref="R33">_xlfn.XLOOKUP(Table36[[#This Row],[Employee ID]],EmpBonus8[[#All],[EmployeID]],EmpBonus8[[#All],[Bonus %]],"0%",0)</f>
        <v>0.16</v>
      </c>
      <c r="S33" s="56">
        <f>SUM(Table36[[#This Row],[Yearly Sal]]*Table36[[#This Row],[Bonus %]])</f>
        <v>12800</v>
      </c>
    </row>
    <row r="34" spans="13:19" x14ac:dyDescent="0.3">
      <c r="M34" t="s">
        <v>40</v>
      </c>
      <c r="N34" t="s">
        <v>30</v>
      </c>
      <c r="O34" t="s">
        <v>41</v>
      </c>
      <c r="P34" t="s">
        <v>120</v>
      </c>
      <c r="Q34">
        <v>45000</v>
      </c>
      <c r="R34" s="55" cm="1">
        <f t="array" ref="R34">_xlfn.XLOOKUP(Table36[[#This Row],[Employee ID]],EmpBonus8[[#All],[EmployeID]],EmpBonus8[[#All],[Bonus %]],"0%",0)</f>
        <v>0.18</v>
      </c>
      <c r="S34" s="56">
        <f>SUM(Table36[[#This Row],[Yearly Sal]]*Table36[[#This Row],[Bonus %]])</f>
        <v>8100</v>
      </c>
    </row>
    <row r="35" spans="13:19" x14ac:dyDescent="0.3">
      <c r="M35" t="s">
        <v>98</v>
      </c>
      <c r="N35" t="s">
        <v>30</v>
      </c>
      <c r="O35" t="s">
        <v>99</v>
      </c>
      <c r="P35" t="s">
        <v>120</v>
      </c>
      <c r="Q35">
        <v>80000</v>
      </c>
      <c r="R35" s="55" cm="1">
        <f t="array" ref="R35">_xlfn.XLOOKUP(Table36[[#This Row],[Employee ID]],EmpBonus8[[#All],[EmployeID]],EmpBonus8[[#All],[Bonus %]],"0%",0)</f>
        <v>0.18</v>
      </c>
      <c r="S35" s="56">
        <f>SUM(Table36[[#This Row],[Yearly Sal]]*Table36[[#This Row],[Bonus %]])</f>
        <v>14400</v>
      </c>
    </row>
    <row r="36" spans="13:19" x14ac:dyDescent="0.3">
      <c r="M36" t="s">
        <v>32</v>
      </c>
      <c r="N36" t="s">
        <v>30</v>
      </c>
      <c r="O36" t="s">
        <v>33</v>
      </c>
      <c r="P36" t="s">
        <v>119</v>
      </c>
      <c r="Q36">
        <v>110000</v>
      </c>
      <c r="R36" s="55" cm="1">
        <f t="array" ref="R36">_xlfn.XLOOKUP(Table36[[#This Row],[Employee ID]],EmpBonus8[[#All],[EmployeID]],EmpBonus8[[#All],[Bonus %]],"0%",0)</f>
        <v>0.18</v>
      </c>
      <c r="S36" s="56">
        <f>SUM(Table36[[#This Row],[Yearly Sal]]*Table36[[#This Row],[Bonus %]])</f>
        <v>19800</v>
      </c>
    </row>
    <row r="37" spans="13:19" x14ac:dyDescent="0.3">
      <c r="M37" t="s">
        <v>38</v>
      </c>
      <c r="N37" t="s">
        <v>30</v>
      </c>
      <c r="O37" t="s">
        <v>39</v>
      </c>
      <c r="P37" t="s">
        <v>120</v>
      </c>
      <c r="Q37">
        <v>97000</v>
      </c>
      <c r="R37" s="55" cm="1">
        <f t="array" ref="R37">_xlfn.XLOOKUP(Table36[[#This Row],[Employee ID]],EmpBonus8[[#All],[EmployeID]],EmpBonus8[[#All],[Bonus %]],"0%",0)</f>
        <v>0.19</v>
      </c>
      <c r="S37" s="56">
        <f>SUM(Table36[[#This Row],[Yearly Sal]]*Table36[[#This Row],[Bonus %]])</f>
        <v>18430</v>
      </c>
    </row>
    <row r="38" spans="13:19" x14ac:dyDescent="0.3">
      <c r="M38" t="s">
        <v>80</v>
      </c>
      <c r="N38" t="s">
        <v>30</v>
      </c>
      <c r="O38" t="s">
        <v>81</v>
      </c>
      <c r="P38" t="s">
        <v>120</v>
      </c>
      <c r="Q38">
        <v>89500</v>
      </c>
      <c r="R38" s="55" cm="1">
        <f t="array" ref="R38">_xlfn.XLOOKUP(Table36[[#This Row],[Employee ID]],EmpBonus8[[#All],[EmployeID]],EmpBonus8[[#All],[Bonus %]],"0%",0)</f>
        <v>0.21</v>
      </c>
      <c r="S38" s="56">
        <f>SUM(Table36[[#This Row],[Yearly Sal]]*Table36[[#This Row],[Bonus %]])</f>
        <v>18795</v>
      </c>
    </row>
    <row r="39" spans="13:19" x14ac:dyDescent="0.3">
      <c r="M39" t="s">
        <v>49</v>
      </c>
      <c r="N39" t="s">
        <v>43</v>
      </c>
      <c r="O39" t="s">
        <v>50</v>
      </c>
      <c r="P39" t="s">
        <v>120</v>
      </c>
      <c r="Q39">
        <v>55117</v>
      </c>
      <c r="R39" s="55" t="str" cm="1">
        <f t="array" ref="R39">_xlfn.XLOOKUP(Table36[[#This Row],[Employee ID]],EmpBonus8[[#All],[EmployeID]],EmpBonus8[[#All],[Bonus %]],"0%",0)</f>
        <v>0%</v>
      </c>
      <c r="S39" s="56">
        <f>SUM(Table36[[#This Row],[Yearly Sal]]*Table36[[#This Row],[Bonus %]])</f>
        <v>0</v>
      </c>
    </row>
    <row r="40" spans="13:19" x14ac:dyDescent="0.3">
      <c r="M40" t="s">
        <v>57</v>
      </c>
      <c r="N40" t="s">
        <v>43</v>
      </c>
      <c r="O40" t="s">
        <v>58</v>
      </c>
      <c r="P40" t="s">
        <v>119</v>
      </c>
      <c r="Q40">
        <v>50545</v>
      </c>
      <c r="R40" s="55" t="str" cm="1">
        <f t="array" ref="R40">_xlfn.XLOOKUP(Table36[[#This Row],[Employee ID]],EmpBonus8[[#All],[EmployeID]],EmpBonus8[[#All],[Bonus %]],"0%",0)</f>
        <v>0%</v>
      </c>
      <c r="S40" s="56">
        <f>SUM(Table36[[#This Row],[Yearly Sal]]*Table36[[#This Row],[Bonus %]])</f>
        <v>0</v>
      </c>
    </row>
    <row r="41" spans="13:19" x14ac:dyDescent="0.3">
      <c r="M41" t="s">
        <v>63</v>
      </c>
      <c r="N41" t="s">
        <v>43</v>
      </c>
      <c r="O41" t="s">
        <v>64</v>
      </c>
      <c r="P41" t="s">
        <v>119</v>
      </c>
      <c r="Q41">
        <v>88357</v>
      </c>
      <c r="R41" s="55" t="str" cm="1">
        <f t="array" ref="R41">_xlfn.XLOOKUP(Table36[[#This Row],[Employee ID]],EmpBonus8[[#All],[EmployeID]],EmpBonus8[[#All],[Bonus %]],"0%",0)</f>
        <v>0%</v>
      </c>
      <c r="S41" s="56">
        <f>SUM(Table36[[#This Row],[Yearly Sal]]*Table36[[#This Row],[Bonus %]])</f>
        <v>0</v>
      </c>
    </row>
    <row r="42" spans="13:19" x14ac:dyDescent="0.3">
      <c r="M42" t="s">
        <v>65</v>
      </c>
      <c r="N42" t="s">
        <v>43</v>
      </c>
      <c r="O42" t="s">
        <v>66</v>
      </c>
      <c r="P42" t="s">
        <v>120</v>
      </c>
      <c r="Q42">
        <v>59200</v>
      </c>
      <c r="R42" s="55" cm="1">
        <f t="array" ref="R42">_xlfn.XLOOKUP(Table36[[#This Row],[Employee ID]],EmpBonus8[[#All],[EmployeID]],EmpBonus8[[#All],[Bonus %]],"0%",0)</f>
        <v>0.06</v>
      </c>
      <c r="S42" s="56">
        <f>SUM(Table36[[#This Row],[Yearly Sal]]*Table36[[#This Row],[Bonus %]])</f>
        <v>3552</v>
      </c>
    </row>
    <row r="43" spans="13:19" x14ac:dyDescent="0.3">
      <c r="M43" t="s">
        <v>45</v>
      </c>
      <c r="N43" t="s">
        <v>43</v>
      </c>
      <c r="O43" t="s">
        <v>46</v>
      </c>
      <c r="P43" t="s">
        <v>120</v>
      </c>
      <c r="Q43">
        <v>35971</v>
      </c>
      <c r="R43" s="55" cm="1">
        <f t="array" ref="R43">_xlfn.XLOOKUP(Table36[[#This Row],[Employee ID]],EmpBonus8[[#All],[EmployeID]],EmpBonus8[[#All],[Bonus %]],"0%",0)</f>
        <v>0.14000000000000001</v>
      </c>
      <c r="S43" s="56">
        <f>SUM(Table36[[#This Row],[Yearly Sal]]*Table36[[#This Row],[Bonus %]])</f>
        <v>5035.9400000000005</v>
      </c>
    </row>
    <row r="44" spans="13:19" x14ac:dyDescent="0.3">
      <c r="M44" t="s">
        <v>72</v>
      </c>
      <c r="N44" t="s">
        <v>43</v>
      </c>
      <c r="O44" t="s">
        <v>146</v>
      </c>
      <c r="P44" t="s">
        <v>120</v>
      </c>
      <c r="Q44">
        <v>68357</v>
      </c>
      <c r="R44" s="55" cm="1">
        <f t="array" ref="R44">_xlfn.XLOOKUP(Table36[[#This Row],[Employee ID]],EmpBonus8[[#All],[EmployeID]],EmpBonus8[[#All],[Bonus %]],"0%",0)</f>
        <v>0.15</v>
      </c>
      <c r="S44" s="56">
        <f>SUM(Table36[[#This Row],[Yearly Sal]]*Table36[[#This Row],[Bonus %]])</f>
        <v>10253.549999999999</v>
      </c>
    </row>
    <row r="45" spans="13:19" x14ac:dyDescent="0.3">
      <c r="M45" t="s">
        <v>70</v>
      </c>
      <c r="N45" t="s">
        <v>43</v>
      </c>
      <c r="O45" t="s">
        <v>71</v>
      </c>
      <c r="P45" t="s">
        <v>118</v>
      </c>
      <c r="Q45">
        <v>97000</v>
      </c>
      <c r="R45" s="55" cm="1">
        <f t="array" ref="R45">_xlfn.XLOOKUP(Table36[[#This Row],[Employee ID]],EmpBonus8[[#All],[EmployeID]],EmpBonus8[[#All],[Bonus %]],"0%",0)</f>
        <v>0.15</v>
      </c>
      <c r="S45" s="56">
        <f>SUM(Table36[[#This Row],[Yearly Sal]]*Table36[[#This Row],[Bonus %]])</f>
        <v>14550</v>
      </c>
    </row>
    <row r="46" spans="13:19" x14ac:dyDescent="0.3">
      <c r="M46" t="s">
        <v>55</v>
      </c>
      <c r="N46" t="s">
        <v>43</v>
      </c>
      <c r="O46" t="s">
        <v>56</v>
      </c>
      <c r="P46" t="s">
        <v>120</v>
      </c>
      <c r="Q46">
        <v>45117</v>
      </c>
      <c r="R46" s="55" cm="1">
        <f t="array" ref="R46">_xlfn.XLOOKUP(Table36[[#This Row],[Employee ID]],EmpBonus8[[#All],[EmployeID]],EmpBonus8[[#All],[Bonus %]],"0%",0)</f>
        <v>0.17</v>
      </c>
      <c r="S46" s="56">
        <f>SUM(Table36[[#This Row],[Yearly Sal]]*Table36[[#This Row],[Bonus %]])</f>
        <v>7669.89</v>
      </c>
    </row>
    <row r="47" spans="13:19" x14ac:dyDescent="0.3">
      <c r="M47" t="s">
        <v>78</v>
      </c>
      <c r="N47" t="s">
        <v>43</v>
      </c>
      <c r="O47" t="s">
        <v>79</v>
      </c>
      <c r="P47" t="s">
        <v>118</v>
      </c>
      <c r="Q47">
        <v>45000</v>
      </c>
      <c r="R47" s="55" cm="1">
        <f t="array" ref="R47">_xlfn.XLOOKUP(Table36[[#This Row],[Employee ID]],EmpBonus8[[#All],[EmployeID]],EmpBonus8[[#All],[Bonus %]],"0%",0)</f>
        <v>0.18</v>
      </c>
      <c r="S47" s="56">
        <f>SUM(Table36[[#This Row],[Yearly Sal]]*Table36[[#This Row],[Bonus %]])</f>
        <v>8100</v>
      </c>
    </row>
    <row r="48" spans="13:19" x14ac:dyDescent="0.3">
      <c r="M48" t="s">
        <v>76</v>
      </c>
      <c r="N48" t="s">
        <v>43</v>
      </c>
      <c r="O48" t="s">
        <v>77</v>
      </c>
      <c r="P48" t="s">
        <v>120</v>
      </c>
      <c r="Q48">
        <v>97000</v>
      </c>
      <c r="R48" s="55" cm="1">
        <f t="array" ref="R48">_xlfn.XLOOKUP(Table36[[#This Row],[Employee ID]],EmpBonus8[[#All],[EmployeID]],EmpBonus8[[#All],[Bonus %]],"0%",0)</f>
        <v>0.18</v>
      </c>
      <c r="S48" s="56">
        <f>SUM(Table36[[#This Row],[Yearly Sal]]*Table36[[#This Row],[Bonus %]])</f>
        <v>17460</v>
      </c>
    </row>
    <row r="49" spans="13:19" x14ac:dyDescent="0.3">
      <c r="M49" t="s">
        <v>74</v>
      </c>
      <c r="N49" t="s">
        <v>43</v>
      </c>
      <c r="O49" t="s">
        <v>75</v>
      </c>
      <c r="P49" t="s">
        <v>119</v>
      </c>
      <c r="Q49">
        <v>51800</v>
      </c>
      <c r="R49" s="55" cm="1">
        <f t="array" ref="R49">_xlfn.XLOOKUP(Table36[[#This Row],[Employee ID]],EmpBonus8[[#All],[EmployeID]],EmpBonus8[[#All],[Bonus %]],"0%",0)</f>
        <v>0.19</v>
      </c>
      <c r="S49" s="56">
        <f>SUM(Table36[[#This Row],[Yearly Sal]]*Table36[[#This Row],[Bonus %]])</f>
        <v>9842</v>
      </c>
    </row>
    <row r="50" spans="13:19" x14ac:dyDescent="0.3">
      <c r="M50" t="s">
        <v>59</v>
      </c>
      <c r="N50" t="s">
        <v>43</v>
      </c>
      <c r="O50" t="s">
        <v>60</v>
      </c>
      <c r="P50" t="s">
        <v>118</v>
      </c>
      <c r="Q50">
        <v>140000</v>
      </c>
      <c r="R50" s="55" cm="1">
        <f t="array" ref="R50">_xlfn.XLOOKUP(Table36[[#This Row],[Employee ID]],EmpBonus8[[#All],[EmployeID]],EmpBonus8[[#All],[Bonus %]],"0%",0)</f>
        <v>0.2</v>
      </c>
      <c r="S50" s="56">
        <f>SUM(Table36[[#This Row],[Yearly Sal]]*Table36[[#This Row],[Bonus %]])</f>
        <v>28000</v>
      </c>
    </row>
    <row r="51" spans="13:19" x14ac:dyDescent="0.3">
      <c r="M51" t="s">
        <v>53</v>
      </c>
      <c r="N51" t="s">
        <v>43</v>
      </c>
      <c r="O51" t="s">
        <v>54</v>
      </c>
      <c r="P51" t="s">
        <v>120</v>
      </c>
      <c r="Q51">
        <v>120000</v>
      </c>
      <c r="R51" s="55" cm="1">
        <f t="array" ref="R51">_xlfn.XLOOKUP(Table36[[#This Row],[Employee ID]],EmpBonus8[[#All],[EmployeID]],EmpBonus8[[#All],[Bonus %]],"0%",0)</f>
        <v>0.21</v>
      </c>
      <c r="S51" s="56">
        <f>SUM(Table36[[#This Row],[Yearly Sal]]*Table36[[#This Row],[Bonus %]])</f>
        <v>25200</v>
      </c>
    </row>
    <row r="52" spans="13:19" x14ac:dyDescent="0.3">
      <c r="M52" t="s">
        <v>42</v>
      </c>
      <c r="N52" t="s">
        <v>43</v>
      </c>
      <c r="O52" t="s">
        <v>44</v>
      </c>
      <c r="P52" t="s">
        <v>118</v>
      </c>
      <c r="Q52">
        <v>89500</v>
      </c>
      <c r="R52" s="55" cm="1">
        <f t="array" ref="R52">_xlfn.XLOOKUP(Table36[[#This Row],[Employee ID]],EmpBonus8[[#All],[EmployeID]],EmpBonus8[[#All],[Bonus %]],"0%",0)</f>
        <v>0.24</v>
      </c>
      <c r="S52" s="56">
        <f>SUM(Table36[[#This Row],[Yearly Sal]]*Table36[[#This Row],[Bonus %]])</f>
        <v>21480</v>
      </c>
    </row>
    <row r="53" spans="13:19" x14ac:dyDescent="0.3">
      <c r="M53" t="s">
        <v>51</v>
      </c>
      <c r="N53" t="s">
        <v>43</v>
      </c>
      <c r="O53" t="s">
        <v>52</v>
      </c>
      <c r="P53" t="s">
        <v>118</v>
      </c>
      <c r="Q53">
        <v>58445</v>
      </c>
      <c r="R53" s="55" cm="1">
        <f t="array" ref="R53">_xlfn.XLOOKUP(Table36[[#This Row],[Employee ID]],EmpBonus8[[#All],[EmployeID]],EmpBonus8[[#All],[Bonus %]],"0%",0)</f>
        <v>0.25</v>
      </c>
      <c r="S53" s="56">
        <f>SUM(Table36[[#This Row],[Yearly Sal]]*Table36[[#This Row],[Bonus %]])</f>
        <v>14611.25</v>
      </c>
    </row>
    <row r="54" spans="13:19" x14ac:dyDescent="0.3">
      <c r="M54" t="s">
        <v>47</v>
      </c>
      <c r="N54" t="s">
        <v>43</v>
      </c>
      <c r="O54" t="s">
        <v>48</v>
      </c>
      <c r="P54" t="s">
        <v>119</v>
      </c>
      <c r="Q54">
        <v>80000</v>
      </c>
      <c r="R54" s="55" cm="1">
        <f t="array" ref="R54">_xlfn.XLOOKUP(Table36[[#This Row],[Employee ID]],EmpBonus8[[#All],[EmployeID]],EmpBonus8[[#All],[Bonus %]],"0%",0)</f>
        <v>0.25</v>
      </c>
      <c r="S54" s="56">
        <f>SUM(Table36[[#This Row],[Yearly Sal]]*Table36[[#This Row],[Bonus %]])</f>
        <v>20000</v>
      </c>
    </row>
    <row r="55" spans="13:19" x14ac:dyDescent="0.3">
      <c r="M55" t="s">
        <v>61</v>
      </c>
      <c r="N55" t="s">
        <v>43</v>
      </c>
      <c r="O55" t="s">
        <v>62</v>
      </c>
      <c r="P55" t="s">
        <v>120</v>
      </c>
      <c r="Q55">
        <v>90000</v>
      </c>
      <c r="R55" s="55" cm="1">
        <f t="array" ref="R55">_xlfn.XLOOKUP(Table36[[#This Row],[Employee ID]],EmpBonus8[[#All],[EmployeID]],EmpBonus8[[#All],[Bonus %]],"0%",0)</f>
        <v>0.25</v>
      </c>
      <c r="S55" s="56">
        <f>SUM(Table36[[#This Row],[Yearly Sal]]*Table36[[#This Row],[Bonus %]])</f>
        <v>22500</v>
      </c>
    </row>
  </sheetData>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Master Data WIP</vt:lpstr>
      <vt:lpstr>Master</vt:lpstr>
      <vt:lpstr>1</vt:lpstr>
      <vt:lpstr>2.a</vt:lpstr>
      <vt:lpstr>2.b</vt:lpstr>
      <vt:lpstr>3.a</vt:lpstr>
      <vt:lpstr>3.b</vt:lpstr>
      <vt:lpstr>4.a</vt:lpstr>
      <vt:lpstr>4.b</vt:lpstr>
      <vt:lpstr>5</vt:lpstr>
      <vt:lpstr>Sheet1</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Steven Bailey</cp:lastModifiedBy>
  <dcterms:created xsi:type="dcterms:W3CDTF">2022-04-18T02:07:21Z</dcterms:created>
  <dcterms:modified xsi:type="dcterms:W3CDTF">2024-04-25T13:27:36Z</dcterms:modified>
</cp:coreProperties>
</file>